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DSheet" sheetId="1" r:id="rId3"/>
  </sheets>
  <definedNames/>
  <calcPr/>
</workbook>
</file>

<file path=xl/sharedStrings.xml><?xml version="1.0" encoding="utf-8"?>
<sst xmlns="http://schemas.openxmlformats.org/spreadsheetml/2006/main" count="2057" uniqueCount="2048">
  <si>
    <t>РТК-ГРУПП</t>
  </si>
  <si>
    <t>Прайс-лист</t>
  </si>
  <si>
    <t>38 098 120 92 95</t>
  </si>
  <si>
    <t xml:space="preserve">Артикул </t>
  </si>
  <si>
    <t>Наименование</t>
  </si>
  <si>
    <t>2 Техника китай</t>
  </si>
  <si>
    <t>1 грузовики китай</t>
  </si>
  <si>
    <t>Howo грузовик</t>
  </si>
  <si>
    <t>двигатель (навеска и прочее) HOWO</t>
  </si>
  <si>
    <t>бачок расширительный AZ9112530333</t>
  </si>
  <si>
    <t>бачок расширительный горизонтальный WG9719530260</t>
  </si>
  <si>
    <t>вал компрессора VG2600130122</t>
  </si>
  <si>
    <t>вентилятор  VG2600060446-1</t>
  </si>
  <si>
    <t>вентилятор (крыльчатка) д590 , 9 лопастей VG1500060447</t>
  </si>
  <si>
    <t>вентилятор (крыльчатка) д620 без дифузора 61500060131</t>
  </si>
  <si>
    <t>вентилятор 10 лепестков  VG2600060446</t>
  </si>
  <si>
    <t>вентилятор 612600060215</t>
  </si>
  <si>
    <t>гидромуфта вентилятора охлаждения 61500060226</t>
  </si>
  <si>
    <t>глушитель WG9725540060</t>
  </si>
  <si>
    <t>глушитель квадратный WG9725540002</t>
  </si>
  <si>
    <t>гофра выхлопной  системы металическая с юбкой 6х4 WG9725540053</t>
  </si>
  <si>
    <t>гофра выхлопной системы металическая L=370 D=125 WG9719540021</t>
  </si>
  <si>
    <t>гофра выхлопной системы металическая изогнутая 8х4 WG9731540002</t>
  </si>
  <si>
    <t>диффузор 47 AZ9719530132</t>
  </si>
  <si>
    <t>диффузор 69 AZ9719233037</t>
  </si>
  <si>
    <t>интеркулер    WG9719530250</t>
  </si>
  <si>
    <t>интеркулер 290л.с. 336л.с. WG9725530020</t>
  </si>
  <si>
    <t>испаритель в сборе AZ1630840326</t>
  </si>
  <si>
    <t>кольца уплотнительные двигателя комплект AZ6100004301-1</t>
  </si>
  <si>
    <t>VG1540110005</t>
  </si>
  <si>
    <t>кольцо коллектора уплотнительное VG1540110005</t>
  </si>
  <si>
    <t>компрессор кондиционера Евро 3 WG1500139000</t>
  </si>
  <si>
    <t>корпус термостата VG1500061203</t>
  </si>
  <si>
    <t>крышка расширительного бачка WG9719530260-1</t>
  </si>
  <si>
    <t>крышка термостата задняя VG1500040105</t>
  </si>
  <si>
    <t>наконечник цилиндра остановки двигателя WG92570025</t>
  </si>
  <si>
    <t>насос водяной  (помпа) А-7 двигатель D-12 VG1246060042</t>
  </si>
  <si>
    <t>AZ61500060051</t>
  </si>
  <si>
    <t>насос водяной ( помпа) AZ61500060051</t>
  </si>
  <si>
    <t>насос водяной (плоский ремень) помпа VG1500060051</t>
  </si>
  <si>
    <t>насос водяной (помпа) 612600061603-CK лучшее качество</t>
  </si>
  <si>
    <t>насос водяной в сборе (помпа) VG1500069055</t>
  </si>
  <si>
    <t>насос водяной помпа ХОВО (клин) VG1500060050</t>
  </si>
  <si>
    <t>натяжитель ремня с роликом VG1246060001</t>
  </si>
  <si>
    <t>натяжитель ремня с роликом VG1246060002</t>
  </si>
  <si>
    <t>натяжной ролик под 3 ремня VG1560060069 лучшее качество</t>
  </si>
  <si>
    <t>патрубки впускного интеркулера комплект  VG2600120101</t>
  </si>
  <si>
    <t>патрубки впускного интеркулера комплект  VG2600120121</t>
  </si>
  <si>
    <t>патрубок боковой водяного насоса VG1560060022A</t>
  </si>
  <si>
    <t>патрубок водяного насоса VG1560060001</t>
  </si>
  <si>
    <t>патрубок воздушного фильтра  длинный резиновый WG9725190139</t>
  </si>
  <si>
    <t>патрубок воздушного фильтра WG9719190009</t>
  </si>
  <si>
    <t>патрубок воздушного фильтра WG9719190050</t>
  </si>
  <si>
    <t>патрубок воздушный турбокомпрессора VG2600111196</t>
  </si>
  <si>
    <t>патрубок впускной интеркулера VG2600120100</t>
  </si>
  <si>
    <t>патрубок выхлопной WG9725540043</t>
  </si>
  <si>
    <t>патрубок интеркулера 100х100 WG9112530148</t>
  </si>
  <si>
    <t>патрубок интеркулера 100х110х100 VG2600111068</t>
  </si>
  <si>
    <t>патрубок интеркулера 110х100 WG9112530149</t>
  </si>
  <si>
    <t>патрубок интеркулера 80х90х80 VG2600111086</t>
  </si>
  <si>
    <t>патрубок интеркулера 9725530070 9725530070</t>
  </si>
  <si>
    <t>патрубок интеркулера WG9719530108</t>
  </si>
  <si>
    <t>патрубок интеркуллера нижний 100х100х230 WG9725530070</t>
  </si>
  <si>
    <t>патрубок интеркуллера нижний WG9719530107</t>
  </si>
  <si>
    <t>патрубок радиатора WG9719530111</t>
  </si>
  <si>
    <t>патрубок радиатора верхний d=55мм WG9719530116</t>
  </si>
  <si>
    <t>патрубок радиатора верхний кривой Евро 3 WG9719530115</t>
  </si>
  <si>
    <t>патрубок радиатора металический WG9719530212</t>
  </si>
  <si>
    <t>патрубок радиатора нижний WG9719530228</t>
  </si>
  <si>
    <t>патрубок радиатора нижний прямой WG9719530227</t>
  </si>
  <si>
    <t>патрубок соединительный  61500060045</t>
  </si>
  <si>
    <t>патрубок турбокомпресора алюминиевый (шланг) VG1500119016</t>
  </si>
  <si>
    <t>патрубок турбокомпрессора (шланг) VG1560110013</t>
  </si>
  <si>
    <t>патрубок турбокомпрессора алюминиевый (шланг) VG1800110045</t>
  </si>
  <si>
    <t>патрубок турбокомпрессора алюминиевый (шланг) VG2600111141</t>
  </si>
  <si>
    <t>подушка двигателя передняя ( кпп ) 1680590095</t>
  </si>
  <si>
    <t>прокладка глушителя ( гофры) AZ9719540019</t>
  </si>
  <si>
    <t>прокладка турбины (нижняя, на впуск) VG1560110210</t>
  </si>
  <si>
    <t>WG9112540015</t>
  </si>
  <si>
    <t>прокладка турбины круглая (глушителя) WG9112540015</t>
  </si>
  <si>
    <t>радиатор кондиционера в сборе AZ1642820010</t>
  </si>
  <si>
    <t>SBXLB</t>
  </si>
  <si>
    <t>ремкомплект водяного насоса ( помпа) SBXLB</t>
  </si>
  <si>
    <t>термостат без корпуса 65 ° (вкладыш термостата) VG1500061206</t>
  </si>
  <si>
    <t>термостат без корпуса 71 ° (вкладыш термостата) VG1500061201</t>
  </si>
  <si>
    <t>термостат без корпуса 80 ° (вкладыш термостата) VG1500061202</t>
  </si>
  <si>
    <t>термостат в  сборе новой модели 80 ° VG14060136</t>
  </si>
  <si>
    <t>термостат в корпусе лучшее качество 614060135-CK</t>
  </si>
  <si>
    <t>термостат в сборе старая модель 71 ° VG1500060116</t>
  </si>
  <si>
    <t>термостат в сборе старая модель 80 ° VG14060135</t>
  </si>
  <si>
    <t>термостат евро 2 Vg1500060117</t>
  </si>
  <si>
    <t>трубка возврата масла (обратка) VG1099080065</t>
  </si>
  <si>
    <t>трубка возврата масла турбины VG1540110009A</t>
  </si>
  <si>
    <t>трубка кондиционера WG1642820022</t>
  </si>
  <si>
    <t>трубка обратки масла VG1540080099</t>
  </si>
  <si>
    <t>трубка обратки масла двигателя VG1540689074</t>
  </si>
  <si>
    <t>трубка резиновая 61560070002/0002A/0004/0004A</t>
  </si>
  <si>
    <t>трубка соединительная от турбины 1560110165</t>
  </si>
  <si>
    <t>трубка стальная кондиционера (печки) AZ1642840013</t>
  </si>
  <si>
    <t>трубка турбины VG1560070001</t>
  </si>
  <si>
    <t>WG9719590001</t>
  </si>
  <si>
    <t>трубчатая поперечина WG9719590001</t>
  </si>
  <si>
    <t>турбокомпрессор Eвро 3 VG1540110066A</t>
  </si>
  <si>
    <t>турбокомпрессор VG1560118227D</t>
  </si>
  <si>
    <t>турбокомпрессор VG1560118228</t>
  </si>
  <si>
    <t>турбокомпрессор VG1560118229</t>
  </si>
  <si>
    <t>VG1560118230</t>
  </si>
  <si>
    <t>турбокомпрессор VG1560118230</t>
  </si>
  <si>
    <t>VG2600118895</t>
  </si>
  <si>
    <t>турбокомпрессор VG2600118895</t>
  </si>
  <si>
    <t>турбокомпрессор VG2600118898</t>
  </si>
  <si>
    <t>щуп измерения уровня масла двигателя VG1500010600</t>
  </si>
  <si>
    <t>WG15600010600</t>
  </si>
  <si>
    <t>щуп масляный WG15600010600</t>
  </si>
  <si>
    <t>двигатель (основные детали) HOWO</t>
  </si>
  <si>
    <t>блок зажимной гбц VG1500040009</t>
  </si>
  <si>
    <t>блок зажимной гбц двойной VG1500040012</t>
  </si>
  <si>
    <t>блок зажимной гбц одинарный VG1200040027</t>
  </si>
  <si>
    <t>блок цилиндров Евро 3 AZ1099010077</t>
  </si>
  <si>
    <t>блок цилиндров узкий Евро 2 61500010373</t>
  </si>
  <si>
    <t>блок цилиндров широкий Евро 2 61500010383</t>
  </si>
  <si>
    <t>болт головки блока ( шпилька) VG1500010185</t>
  </si>
  <si>
    <t>болт крепления выхлопного коллектора VG2600111052</t>
  </si>
  <si>
    <t>болт крышки крепления коленвала VG14010217</t>
  </si>
  <si>
    <t>болт маховика 61500020046</t>
  </si>
  <si>
    <t>болт нижней крышки крепленияя коленвала VG14010114</t>
  </si>
  <si>
    <t>болт регулировки клапана (винт настройки клапана) VG614050010</t>
  </si>
  <si>
    <t>болт стяжной  AZ9112550227/28/29/30</t>
  </si>
  <si>
    <t>болт шатуна 81500030023</t>
  </si>
  <si>
    <t>болт шатуна VG1500030023</t>
  </si>
  <si>
    <t>венец маховика 136 зубьев VG2600020208</t>
  </si>
  <si>
    <t>венец маховика 159 зубьев VG1400020009</t>
  </si>
  <si>
    <t>венец маховика 612600020208-СК</t>
  </si>
  <si>
    <t>венец маховика VG2600020208/VG1400020009</t>
  </si>
  <si>
    <t>вкладыши коненные 81500010046</t>
  </si>
  <si>
    <t>вкладыши коненные VG1500010046-LEO</t>
  </si>
  <si>
    <t>вкладыши коненные VG1500010046-НТ</t>
  </si>
  <si>
    <t>вкладыши коренные ном к-т VG1500010046</t>
  </si>
  <si>
    <t>вкладыши коренные ном к-т VG1500010046 лучшее качество</t>
  </si>
  <si>
    <t>вкладыши коренные ном к-т евро-3 VG1540010021122</t>
  </si>
  <si>
    <t>вкладыши шатуна 0,25 к-т VG1560030033/34</t>
  </si>
  <si>
    <t>вкладыши шатуна 0,25 к-т VG1560030033/34 лучшее качество</t>
  </si>
  <si>
    <t>вкладыши шатуна 61560030033</t>
  </si>
  <si>
    <t>вкладыши шатуна VG1560030033/4</t>
  </si>
  <si>
    <t>VG1560030034/33-LEO</t>
  </si>
  <si>
    <t>вкладыши шатуна VG1560030034/33-LEO</t>
  </si>
  <si>
    <t>VG1560030034/33-НТ</t>
  </si>
  <si>
    <t>вкладыши шатуна VG1560030034/33-НТ</t>
  </si>
  <si>
    <t>вкладыши шатуна к-т вд 618 61800030049</t>
  </si>
  <si>
    <t>вкладыши шатуна к-т Евро 3 VG1540030015/16</t>
  </si>
  <si>
    <t>втулка распорная болта натяжителя VG1500090027</t>
  </si>
  <si>
    <t>втулка распределительного вала (большая) VG1560010029-1</t>
  </si>
  <si>
    <t>втулка распределительного вала VG1560010029</t>
  </si>
  <si>
    <t>втулка распределительного вала VG2600010990</t>
  </si>
  <si>
    <t>втулка шатуна (большая) VG1500030077-1</t>
  </si>
  <si>
    <t>втулка шатуна 61500030077</t>
  </si>
  <si>
    <t>втулка шатуна VG1500030077</t>
  </si>
  <si>
    <t>гайка регулировки клапана VG2130050065</t>
  </si>
  <si>
    <t>гильза цилиндра (618) 61800010125</t>
  </si>
  <si>
    <t>гильза цилиндра (618) 61800010125 лучшее качество</t>
  </si>
  <si>
    <t>гильза цилиндра Евро 3 VG1540010006</t>
  </si>
  <si>
    <t>головка блока цилиндра 61500040058</t>
  </si>
  <si>
    <t>головка блока цилиндров гбц 161560040058</t>
  </si>
  <si>
    <t>головка блока цилиндров гбц 61260040282L</t>
  </si>
  <si>
    <t>головка блока цилиндров гбц Евро 2 61560040040A</t>
  </si>
  <si>
    <t>головка блока цилиндров гбц Евро 3 R61540040002</t>
  </si>
  <si>
    <t>двигатель в сборе Евро 2 AZ6100004401</t>
  </si>
  <si>
    <t>двигатлеь в сборе Евро 3 AZ6100004361</t>
  </si>
  <si>
    <t>демпфер крутильных колебаний коленвала VG1560020010</t>
  </si>
  <si>
    <t>демпфер крутильных колебаний коленвала Евро 3 VG1540020003</t>
  </si>
  <si>
    <t>держатель коромысел ( опора ) Евро-3 VG1540050010D</t>
  </si>
  <si>
    <t>держатель коромысла ( опора ) VG14050119</t>
  </si>
  <si>
    <t>картер маслянного поддона двигателя VG1800150015</t>
  </si>
  <si>
    <t>картер маховика AZ1500010012</t>
  </si>
  <si>
    <t>картер маховика Евро 3 61540010010</t>
  </si>
  <si>
    <t>VG156005001</t>
  </si>
  <si>
    <t>клапан впусконой VG156005001</t>
  </si>
  <si>
    <t>клапан впусконой Евро 3 VG1540050015</t>
  </si>
  <si>
    <t>клапан выпускной 612600050025/61560050041</t>
  </si>
  <si>
    <t>клапан выпускной Eвро3 VG1540050014</t>
  </si>
  <si>
    <t>клапан выпускной VG1560050041</t>
  </si>
  <si>
    <t>клапан предохранительный маслянного насоса в сборе VG1500070097</t>
  </si>
  <si>
    <t>клапан премаслянного насоса VG1560070099</t>
  </si>
  <si>
    <t>коленчатый вал (коленвал) 61560020029</t>
  </si>
  <si>
    <t>коленчатый вал (коленвал) 61560020029/24</t>
  </si>
  <si>
    <t>коленчатый вал (коленвал) 61800020022</t>
  </si>
  <si>
    <t>коленчатый вал (коленвал) д12 AZ1246020014</t>
  </si>
  <si>
    <t>коллектор водяного охлаждения вд615 VG1500040102</t>
  </si>
  <si>
    <t>коллектор водяного охлаждения вд615 VG1500040104</t>
  </si>
  <si>
    <t>коллектор воздушный 612600113058</t>
  </si>
  <si>
    <t>коллектор воздушный VG2600110131</t>
  </si>
  <si>
    <t>коллектор воздушный впускной  VG2600110810</t>
  </si>
  <si>
    <t>коллектор выпускной задняя часть 612600111280</t>
  </si>
  <si>
    <t>коллектор выпускной задняя часть VG2600111136</t>
  </si>
  <si>
    <t>коллектор выпускной передняя часть VG2600111137</t>
  </si>
  <si>
    <t>колпачек маслосъемный d12 VG15400040016</t>
  </si>
  <si>
    <t>колпачек маслосъемный d14 61560040032</t>
  </si>
  <si>
    <t>колпачек маслосъемный VG2600040114</t>
  </si>
  <si>
    <t>кольца поршневые  VG1540030005</t>
  </si>
  <si>
    <t>кольца поршневые комплект VG1560030046/78/45</t>
  </si>
  <si>
    <t>кольцо коллектора   VG260110162</t>
  </si>
  <si>
    <t>кольцо поршневое комплект на двигатель лучшее качество</t>
  </si>
  <si>
    <t>кольцо пробки поддона   VG2600150106</t>
  </si>
  <si>
    <t>кольцо пружины клапана Eвро3 VG1540050013</t>
  </si>
  <si>
    <t>кольцо разбега вала двигателя (упорный подшипник) VG1500010125</t>
  </si>
  <si>
    <t>VG1500010125-1</t>
  </si>
  <si>
    <t>кольцо разбега коленвала ( упорное кольцо) VG1500010125-1</t>
  </si>
  <si>
    <t>кольцо стопорное клапана (сухарь) Eвро3 VG1540050012</t>
  </si>
  <si>
    <t>кольцо стопорное клапана (сухарь) VG1500050025</t>
  </si>
  <si>
    <t>кольцо стопорное поршневого пальца</t>
  </si>
  <si>
    <t>кольцо стопорное поршневого пальца WG1560030012</t>
  </si>
  <si>
    <t>коромысло впускного клапана VG14050048</t>
  </si>
  <si>
    <t>коромысло выпускного клапана Eвро3 VG1540050033</t>
  </si>
  <si>
    <t>коромысло выпускного клапана VG14050049</t>
  </si>
  <si>
    <t>коромысло выпускнрго клапана Eвро3 VG1540050032</t>
  </si>
  <si>
    <t>крепление поддона двигателя VG14150046</t>
  </si>
  <si>
    <t>AZ9725590047</t>
  </si>
  <si>
    <t>кронштейн двигателя AZ9725590047</t>
  </si>
  <si>
    <t>кронштейн двигателя левый AZ9731590015</t>
  </si>
  <si>
    <t>кронштейн двигателя правый AZ9731590016</t>
  </si>
  <si>
    <t>WG9719570010</t>
  </si>
  <si>
    <t>кронштейн крепления WG9719570010</t>
  </si>
  <si>
    <t>кронштейн крепления бампера WG9725930029</t>
  </si>
  <si>
    <t>кронштейн крепления двигателя</t>
  </si>
  <si>
    <t>кронштейн крепления двигателя передний правый VG9100590009</t>
  </si>
  <si>
    <t>кронштейн крепления двигателя правый VG9100590119</t>
  </si>
  <si>
    <t>кронштейн передний правый AZ9725930706</t>
  </si>
  <si>
    <t>крышка воздушного клапана Eвро3 VG1500050105</t>
  </si>
  <si>
    <t>крышка клапанная 614040065</t>
  </si>
  <si>
    <t>крышка клапанная гбц хово А7 д12 VG1246040003</t>
  </si>
  <si>
    <t>крышка клапанов высокая 612600040149</t>
  </si>
  <si>
    <t>крышка клапанов высокая евро3 VG1099040049</t>
  </si>
  <si>
    <t>крышка коромысел на 4 клапана верхняя VG1099140019</t>
  </si>
  <si>
    <t>крышка коромысел на 4 клапана верхняя VG1099140020</t>
  </si>
  <si>
    <t>крышка коромысел нижняя (проставка крышки клапанов) VG1099040053</t>
  </si>
  <si>
    <t>крышка маслозаливной горловины VG2600010489</t>
  </si>
  <si>
    <t>крышка передняя  блока   612600010932</t>
  </si>
  <si>
    <t>VG1560050046A</t>
  </si>
  <si>
    <t>крышка передняя двс VG1560050046A</t>
  </si>
  <si>
    <t>крышка передняя шестерен двигателя 61557010008</t>
  </si>
  <si>
    <t>крышка передняя шестерен двигателя 61860010094</t>
  </si>
  <si>
    <t>крышка передняя шестерен двигателя AZ1500010932</t>
  </si>
  <si>
    <t>крышка передняя шестерен двигателя AZ1500010933</t>
  </si>
  <si>
    <t>крышка теплообменника длинная VG14010083B</t>
  </si>
  <si>
    <t>крышка теплообменника короткая VG1540010014A</t>
  </si>
  <si>
    <t>крышка шестрени распредвала VG1500010008A</t>
  </si>
  <si>
    <t>маховик AZ612600020220</t>
  </si>
  <si>
    <t>маховик двигателя 612600020220</t>
  </si>
  <si>
    <t>615G00020041</t>
  </si>
  <si>
    <t>маховик двигателя 615G00020041</t>
  </si>
  <si>
    <t>мост впускного клапана VG1540050018B</t>
  </si>
  <si>
    <t>мост выпускного клапана VG1540050019В</t>
  </si>
  <si>
    <t>набор прокладок двигателя 61560010701-LEO</t>
  </si>
  <si>
    <t>VG1560050058</t>
  </si>
  <si>
    <t>направляющая вал шестерни VG1560050058</t>
  </si>
  <si>
    <t>направляющая клапана 61560040031</t>
  </si>
  <si>
    <t>направляющая клапана диаметр 11 Евро 2 VG2600040113</t>
  </si>
  <si>
    <t>направляющая клапана диаметр 9 Евро 3 VG1540040008</t>
  </si>
  <si>
    <t>напрпвляющая клапана 614040005/612600040113</t>
  </si>
  <si>
    <t>насос маслянный в сборе VG1500070021</t>
  </si>
  <si>
    <t>натяжитель ролик 612600060310</t>
  </si>
  <si>
    <t>натяжной ролик под 3 ремня VG1560060069</t>
  </si>
  <si>
    <t>натяжной ролик ремня  VG2600060313</t>
  </si>
  <si>
    <t>опора двигателя  передняя левая VG9100590006</t>
  </si>
  <si>
    <t>опора двигателя левая VG9100590116</t>
  </si>
  <si>
    <t>опора передняя  AZ9725930704</t>
  </si>
  <si>
    <t>ось промежуточной шестерни распредвала VG1560050044</t>
  </si>
  <si>
    <t>VG1540059031</t>
  </si>
  <si>
    <t>ось шестерни промежуточной распредвала VG1540059031</t>
  </si>
  <si>
    <t>палец поршня VG1560030013</t>
  </si>
  <si>
    <t>VG15401500024</t>
  </si>
  <si>
    <t>поддон масляный двигателя Eвро 3 VG15401500024</t>
  </si>
  <si>
    <t>подушка крепл.двигателя задняя AZ9725590031</t>
  </si>
  <si>
    <t>подушка крепл.двигателя передняя WG1680590095</t>
  </si>
  <si>
    <t>подушка крепления радиатора AZ9719530272</t>
  </si>
  <si>
    <t>подшипник 6019 1990003311410</t>
  </si>
  <si>
    <t>подшипник маховика 19000331146</t>
  </si>
  <si>
    <t>поршень ( с вырезом) 612600030011</t>
  </si>
  <si>
    <t>поршень ( с вырезом) лучшее качество 612600030011-LEO</t>
  </si>
  <si>
    <t>поршень VG1560030010</t>
  </si>
  <si>
    <t>поршень VG260030011</t>
  </si>
  <si>
    <t>поршень Евро 2 VG2600030011</t>
  </si>
  <si>
    <t>поршневая группа WD615E2-3A</t>
  </si>
  <si>
    <t>поршневая группа в сборе  СК лучшее качество 615600030011-CК</t>
  </si>
  <si>
    <t>поршневая группа воздушного компрессора 1 ц лучшее качество 61800130043-SPT-5-CK</t>
  </si>
  <si>
    <t>поршневая группа воздушного компрессора 1ц лучшее качество 612600130177-SPT-4</t>
  </si>
  <si>
    <t>поршневые кольца  к-т VG15400300/06/07/08</t>
  </si>
  <si>
    <t>поршневые кольца  к-т Евро2 VG1560030045/46/78</t>
  </si>
  <si>
    <t>поршнь Евро3 VG1540030004</t>
  </si>
  <si>
    <t>предохранительный клапан VG14070069</t>
  </si>
  <si>
    <t>VG1540060202</t>
  </si>
  <si>
    <t>привод (переходной фланец) гидромуфты вентилятора VG1540060202</t>
  </si>
  <si>
    <t>приемная труба WG9719540009</t>
  </si>
  <si>
    <t>приемная труба в сборе WG9719540012</t>
  </si>
  <si>
    <t>пробка блока двигателя (заглушка) 190003982121</t>
  </si>
  <si>
    <t>пробка блока двигателя (заглушка) 190003989210</t>
  </si>
  <si>
    <t>пробка блока двигателя (заглушка) 190003989288</t>
  </si>
  <si>
    <t>пробка поддона двигателя VG2600150108</t>
  </si>
  <si>
    <t>VG15400800191B</t>
  </si>
  <si>
    <t>прокладка VG15400800191B</t>
  </si>
  <si>
    <t>прокладка впускного коллектора VG1500110024</t>
  </si>
  <si>
    <t>прокладка впускного коллектора VG1540110018</t>
  </si>
  <si>
    <t>прокладка выпускного колектора VG1560110111</t>
  </si>
  <si>
    <t>прокладка выпускного коллектора лучшее качество 61560110111/61560110242СК</t>
  </si>
  <si>
    <t>прокладка ГБ (ЕВрО2) VG1500040049</t>
  </si>
  <si>
    <t>прокладка головки блока цилиндров 612600040355</t>
  </si>
  <si>
    <t>прокладка головки блока цилиндров Евро 3 VG1540040015</t>
  </si>
  <si>
    <t>прокладка двигателя (комплект) лучшее качество WD615-CK</t>
  </si>
  <si>
    <t>KC1400400021</t>
  </si>
  <si>
    <t>прокладка двигателя наборр полный лучшее качество KC1400400021</t>
  </si>
  <si>
    <t>прокладка клапанной крышки VG14040021</t>
  </si>
  <si>
    <t>прокладка клапанной крышки Вп10 614040021</t>
  </si>
  <si>
    <t>прокладка крышки клапанов ( верхняя ) VG1099040052</t>
  </si>
  <si>
    <t>прокладка крышки клапанов ( нижняя ) VG1099040051</t>
  </si>
  <si>
    <t>прокладка патрубка турбины резиновая (уплотнительное кольцо) VG190320035</t>
  </si>
  <si>
    <t>прокладка поддона двигателя (резиновая) VG14150004</t>
  </si>
  <si>
    <t>прокладка поддона двигателя (резиновая) лучшее качество VG14150004-CK</t>
  </si>
  <si>
    <t>прокладка турбины (квадратная) VG1540110017</t>
  </si>
  <si>
    <t>прокладки двигателя комплект Eвро 2 AZ1560010701</t>
  </si>
  <si>
    <t>промежуточная шестерня (раздатка) Д12 VG1500019018</t>
  </si>
  <si>
    <t>пружина клапана Eвро3 VG1540050011</t>
  </si>
  <si>
    <t>пружина клапана внешняя VG1500050002</t>
  </si>
  <si>
    <t>пружина клапана внутренняя VG1500050001</t>
  </si>
  <si>
    <t>пружина предохранительного клапана VG14070068</t>
  </si>
  <si>
    <t>радиатор 290-336л.с. 860х790 WG9719530011</t>
  </si>
  <si>
    <t>радиатор 290-336л.с. WG9719530010</t>
  </si>
  <si>
    <t>радиатор 371л.с. WG9719530231</t>
  </si>
  <si>
    <t>радиатор DZ9112539268</t>
  </si>
  <si>
    <t>радиатор WG9719530230</t>
  </si>
  <si>
    <t>радиатор кондиционера WG1630820073</t>
  </si>
  <si>
    <t>радиатор масляный (теплообменник) D12 VG1246070012</t>
  </si>
  <si>
    <t>радиатор масляный (теплообменник) VG1500010334</t>
  </si>
  <si>
    <t>радиатор печки AZ1630840074</t>
  </si>
  <si>
    <t>радиатор системы охлаждения 99112530268</t>
  </si>
  <si>
    <t>распределительный вал ВД615 Евро-2</t>
  </si>
  <si>
    <t>ремкомплект двигателя Евро 2 199100360736-H1</t>
  </si>
  <si>
    <t>решетка передняя радиатора WG162111011</t>
  </si>
  <si>
    <t>сальник коленвала передний 95x115x12 VG1500010037</t>
  </si>
  <si>
    <t>сальник коленвала передний 95x115x12 Евро 3 VG1047010038</t>
  </si>
  <si>
    <t>седло впускного клапана VG1560040057</t>
  </si>
  <si>
    <t>седло впускного клапана Евро 3 VG1540040006</t>
  </si>
  <si>
    <t>седло выпускного клапана VG1560040037</t>
  </si>
  <si>
    <t>седло выпускного клапана Евро3 VG1540040007</t>
  </si>
  <si>
    <t>седло переднего сальника VG2600010928</t>
  </si>
  <si>
    <t>седло пружины выпускного клапана нижнее VG1500040014</t>
  </si>
  <si>
    <t>тарелка пружины верхняя (опора пружины верхняя) VG1500050109</t>
  </si>
  <si>
    <t>тарелка пружины нижняя (опора пружины нижняя) VG14050017</t>
  </si>
  <si>
    <t>толкатель клапана VG1500050032</t>
  </si>
  <si>
    <t>фланец водяного насоса ( муфта вентилятора) VG1500060240</t>
  </si>
  <si>
    <t>фланец коленвала VG1500020070</t>
  </si>
  <si>
    <t>фланец крышкии клапанов VG1540040023</t>
  </si>
  <si>
    <t>форсунка охлаждения поршня VG1560010090</t>
  </si>
  <si>
    <t>хомут гофры плоский широкий WG 9719540016</t>
  </si>
  <si>
    <t>хомут турбины d103 VG1500119215</t>
  </si>
  <si>
    <t>хомут турбины d123 VG1500119216</t>
  </si>
  <si>
    <t>хомут турбины d87 VG1560110226</t>
  </si>
  <si>
    <t>хомут турбины нового образца VG1034110100</t>
  </si>
  <si>
    <t>цилиндр (гильза) VG1500010344</t>
  </si>
  <si>
    <t>цилиндр (гильза) лучшее качество VG1500010344-CK</t>
  </si>
  <si>
    <t>шайба рычага клапана Eвро3 VG1540050020</t>
  </si>
  <si>
    <t>шайба стопорная (полукольца вкладышей коленвала) VG1500010125 +0.25</t>
  </si>
  <si>
    <t>шайба стопорная распредвала VG14050133</t>
  </si>
  <si>
    <t>шатун 161500030008</t>
  </si>
  <si>
    <t>шатун в сборе 61500030008</t>
  </si>
  <si>
    <t>шатун в сборе 618 61800030040</t>
  </si>
  <si>
    <t>шестерня коленвала VG14020038</t>
  </si>
  <si>
    <t>шестерня коленвала VG1500019014</t>
  </si>
  <si>
    <t>шестерня маслянного насоса промежуточная VG14070061</t>
  </si>
  <si>
    <t>шестерня промежуточная VG1560050053</t>
  </si>
  <si>
    <t>шестерня распредвала двигателя Евро-2, Евро-3 VG14050053</t>
  </si>
  <si>
    <t>шкив натяжной коленвала ( шкив натяжения ремня) VG1560020016</t>
  </si>
  <si>
    <t>шкив натяжной коленвала ( шкив натяжения ремня) VG1560020020</t>
  </si>
  <si>
    <t>шкив натяжной коленвала ( шкив натяжения ремня) Д12 VG1560020022</t>
  </si>
  <si>
    <t>шпилька головки блока цилиндров 61500010185</t>
  </si>
  <si>
    <t>штанга толкателя клапана VG1500050070</t>
  </si>
  <si>
    <t>штанга толкателя клапана Евро3 VG1540050008</t>
  </si>
  <si>
    <t>щуп измерения уровня масла двигателя VG2600010705</t>
  </si>
  <si>
    <t>карданные валы HOWO</t>
  </si>
  <si>
    <t>болт карданного вала M16 WG9000310049</t>
  </si>
  <si>
    <t>болт карданного вала WG9000310049-M14</t>
  </si>
  <si>
    <t>болт карданного вала WG9000310049-M16</t>
  </si>
  <si>
    <t>вал карданный  AZ9319311710</t>
  </si>
  <si>
    <t>AZ9319311710-1</t>
  </si>
  <si>
    <t>вал карданный  AZ9319311710-1</t>
  </si>
  <si>
    <t>AZ9114310126</t>
  </si>
  <si>
    <t>вал карданный AZ9114310126</t>
  </si>
  <si>
    <t>вал карданный AZ9114311441</t>
  </si>
  <si>
    <t>вал карданный межосевой  WG9014310125</t>
  </si>
  <si>
    <t>вал карданный межосевой AZ9320311675</t>
  </si>
  <si>
    <t>вал карданный межосевой AZ932131185</t>
  </si>
  <si>
    <t>вал карданный межосевой промежуточного и заднего мостов 199012310126</t>
  </si>
  <si>
    <t>вал карданный межосевой промежуточный AZ9115314492</t>
  </si>
  <si>
    <t>112413500011/1</t>
  </si>
  <si>
    <t>вал карданный подъема кузова  112413500011/1</t>
  </si>
  <si>
    <t>вал карданный подъема кузова  26013310010/1-500</t>
  </si>
  <si>
    <t>вал карданный подъема кузова  26013310010/1-540</t>
  </si>
  <si>
    <t>вал карданный подъема кузова  AZ9319311740</t>
  </si>
  <si>
    <t>вал карданный подъема кузова Lобщ=50см Lкрест=36 см 6 шл 99112290664 50</t>
  </si>
  <si>
    <t>вал карданный подъема кузова Lобщ=52см Lкрест=36 см 6 шл 99112290664 52</t>
  </si>
  <si>
    <t>вал карданный подъема кузова Lобщ=54см Lкрест=40 см 6 шл 99112290664 54</t>
  </si>
  <si>
    <t>WG9014310125 520</t>
  </si>
  <si>
    <t>вал карданный привода коМ (L=520MM) WG9014310125 520</t>
  </si>
  <si>
    <t>WG9014310125 550</t>
  </si>
  <si>
    <t>вал карданный привода коМ (L=550MM) WG9014310125 550</t>
  </si>
  <si>
    <t>WG9014310125 610</t>
  </si>
  <si>
    <t>вал карданный привода коМ (L=610 MM) WG9014310125 610</t>
  </si>
  <si>
    <t>WG9014310125 720</t>
  </si>
  <si>
    <t>вал карданный привода коМ (L=720 MM) WG9014310125 720</t>
  </si>
  <si>
    <t>WG9014310125 665</t>
  </si>
  <si>
    <t>вал карданный промежуточный (L=665mm) WG9014310125 665</t>
  </si>
  <si>
    <t>вал карданный промежуточный на тягачи AZ9716310590</t>
  </si>
  <si>
    <t>гайка карданного вала ( торцевая ) 2601334052</t>
  </si>
  <si>
    <t>гайка фланца карданного вала 26013314052</t>
  </si>
  <si>
    <t>кольцо стопорное крестовины кардана 52 99100310703</t>
  </si>
  <si>
    <t>кольцо стопорное крестовины кардана 57 99100310705</t>
  </si>
  <si>
    <t>кольцо стопорное крестовины кардана 62 99100310704</t>
  </si>
  <si>
    <t>К29-B BJ212</t>
  </si>
  <si>
    <t>крестовина вала карданного лучшее качество К29-B BJ212</t>
  </si>
  <si>
    <t>крестовина кардана 52мм AZ26013314080</t>
  </si>
  <si>
    <t>крестовина кардана 52мм AZ26013314080 лучшее качество</t>
  </si>
  <si>
    <t>крестовина кардана 62мм 9115311060</t>
  </si>
  <si>
    <t>AZ9115311060-1</t>
  </si>
  <si>
    <t>крестовина кардана 62х160 AZ9115311060-1</t>
  </si>
  <si>
    <t>крестовина карданного вала  26013314080</t>
  </si>
  <si>
    <t>крестовина карданного вала 52*133 AZ26013314080\26013314080</t>
  </si>
  <si>
    <t>крестовина карданного вала 57х144 19036311080</t>
  </si>
  <si>
    <t>крестовина карданного вала 57х152 A6204100031</t>
  </si>
  <si>
    <t>крестовина карданного вала лучшее качество AZ19036311080-CK</t>
  </si>
  <si>
    <t>WG9725310020-CK</t>
  </si>
  <si>
    <t>крестовина карданного вала лучшее качество WG9725310020-CK</t>
  </si>
  <si>
    <t>А620410031-СК</t>
  </si>
  <si>
    <t>крестовина карданного вала лучшее качество А620410031-СК</t>
  </si>
  <si>
    <t>крестовина рулевого кардана  AZ9719470043</t>
  </si>
  <si>
    <t>опора кардана промежуточного в сборе 70 AZ954100622</t>
  </si>
  <si>
    <t>опора кардана промежуточного в сборе AZ9115314120</t>
  </si>
  <si>
    <t>подшипник опоры промежуточный без корпуса 6х4 26013314045</t>
  </si>
  <si>
    <t>подшипник подвесной</t>
  </si>
  <si>
    <t>подшипник подвесной 26013314030-70-CK</t>
  </si>
  <si>
    <t>подшипник подвесной 99114310100-2204030-В</t>
  </si>
  <si>
    <t>подшипник подвесной кардана 60мм 26013314030</t>
  </si>
  <si>
    <t>подшипник подвесной кардана 60мм 26013314030 60</t>
  </si>
  <si>
    <t>подшипник подвесной кардана 60мм 26013314030-60</t>
  </si>
  <si>
    <t>подшипник подвесной кардана 70мм,основание-200мм 26013314030 70</t>
  </si>
  <si>
    <t>подшипник подвесной кардана 70мм,основание-200мм 26013314030-70</t>
  </si>
  <si>
    <t>26013314030-H3</t>
  </si>
  <si>
    <t>подшипник подвесной кардана 70мм,основание-200мм 26013314030-H3</t>
  </si>
  <si>
    <t>26013314030-H4</t>
  </si>
  <si>
    <t>подшипник подвесной кардана 70мм,основание-220мм 26013314030-H4</t>
  </si>
  <si>
    <t>26013314030-65-СК</t>
  </si>
  <si>
    <t>подшипник подвесной лучшее качество 26013314030-65-СК</t>
  </si>
  <si>
    <t>фланец кардана D=180 мелкий шлиц 4отверствия 199014320261</t>
  </si>
  <si>
    <t>AZ9128320015</t>
  </si>
  <si>
    <t>фланец кардана промежуточного AZ9128320015</t>
  </si>
  <si>
    <t>фланец карданного вала  CDZBCH57</t>
  </si>
  <si>
    <t>фланец карданного вала промежуточного D=165 4отверстия AZ9112320110</t>
  </si>
  <si>
    <t>фланец соединительный карданного вала D=165 D=52 26013314062</t>
  </si>
  <si>
    <t>фланец соединительный карданного вала D=165 D=52 c зубом AZ9113314062</t>
  </si>
  <si>
    <t>фланец соединительный карданного вала D=165 D=57 19036311062</t>
  </si>
  <si>
    <t>фланец соединительный карданного вала D=165 D=57 с зубом AZ9136311062</t>
  </si>
  <si>
    <t>фланец соединительный карданного вала D=180 D=62 AZ9115311010</t>
  </si>
  <si>
    <t>коробка передач HOWO</t>
  </si>
  <si>
    <t>блок переключения 1/2 передач (головка) F99588</t>
  </si>
  <si>
    <t>блок подшипников 258369</t>
  </si>
  <si>
    <t>А-С09008</t>
  </si>
  <si>
    <t>болт крышки подшипника кпп   А-с09008</t>
  </si>
  <si>
    <t>болт шестиугольный Q15131632TF2</t>
  </si>
  <si>
    <t>вал вилки сцепления A-C-04009-1</t>
  </si>
  <si>
    <t>вал вторичный F99882</t>
  </si>
  <si>
    <t>вал вторичный кпп 2159304001</t>
  </si>
  <si>
    <t>вал выходной кпп 1269232010</t>
  </si>
  <si>
    <t>вал первичный кпп 19694</t>
  </si>
  <si>
    <t>вал первичный кпп 199012320177A</t>
  </si>
  <si>
    <t>вал первичный кпп ZF 2159302059</t>
  </si>
  <si>
    <t>вал первичный кпп ZF D=50 2159302006</t>
  </si>
  <si>
    <t>Howo-2</t>
  </si>
  <si>
    <t>вал переключения передач (тросовый) Howo-2</t>
  </si>
  <si>
    <t>вал промежуточный  19549</t>
  </si>
  <si>
    <t>вал промежуточный делителя передач 18222</t>
  </si>
  <si>
    <t>вал промежуточный демультипликатора A-5119</t>
  </si>
  <si>
    <t>вал промежуточный короткий с шестерней делителя A-C09019</t>
  </si>
  <si>
    <t>вал промежуточный кпп 1292303004</t>
  </si>
  <si>
    <t>вал реверсивный 16405</t>
  </si>
  <si>
    <t>вилка выжимного подшипника 12817A</t>
  </si>
  <si>
    <t>вилка делителя кпп 22319944</t>
  </si>
  <si>
    <t>вилка демультипликатора 16775</t>
  </si>
  <si>
    <t>вилка переключателя кпп 875421</t>
  </si>
  <si>
    <t>вилка переключения 3/4 передач 16136</t>
  </si>
  <si>
    <t>вилка переключения заднего хода 99664</t>
  </si>
  <si>
    <t>вилка переключения передач 115206006</t>
  </si>
  <si>
    <t>вилка переключения передач 2159328001</t>
  </si>
  <si>
    <t>вилка переключения пониженного заднего хода 2159206001</t>
  </si>
  <si>
    <t>вторичный вал 18729</t>
  </si>
  <si>
    <t>WG2229002520</t>
  </si>
  <si>
    <t>втулка вала вилки WG2229002520</t>
  </si>
  <si>
    <t>втулка вала кпп  8677</t>
  </si>
  <si>
    <t>втулка направл.вторичного вала</t>
  </si>
  <si>
    <t>втулка направл.вторичного вала 16566</t>
  </si>
  <si>
    <t>втулка направляющая   15566</t>
  </si>
  <si>
    <t>втулка промежуточного вала кпп C01025</t>
  </si>
  <si>
    <t>втулка синхронизатора 3-4 передачи 2159304010</t>
  </si>
  <si>
    <t>AK99012320121</t>
  </si>
  <si>
    <t>втулка хвостовика AK99012320121</t>
  </si>
  <si>
    <t>гайка   96006</t>
  </si>
  <si>
    <t>гайка первичного вала кпп 8858</t>
  </si>
  <si>
    <t>гайка фланцевая F96006</t>
  </si>
  <si>
    <t>гофра на рычаг кпп (основание 145х110) AZ9719240002</t>
  </si>
  <si>
    <t>зубчастая муфта синхронизации 3-4 передачи 1292304041</t>
  </si>
  <si>
    <t>каретка синхронизатора   1269333047</t>
  </si>
  <si>
    <t>каретка синхронизатора 1-2 передачи 1312302057</t>
  </si>
  <si>
    <t>каретка синхронизации 1-2 передачи 1240304375</t>
  </si>
  <si>
    <t>каретка синхронизации 1272304077</t>
  </si>
  <si>
    <t>каретка синхронизации повышенной и пониженной передачи 2159555001</t>
  </si>
  <si>
    <t>клапан включения делителя 750132006 750132006</t>
  </si>
  <si>
    <t>клапан пневматический кпп повышеной и пониженой передачи F99660</t>
  </si>
  <si>
    <t>клапан распределительный воздушны A-4740</t>
  </si>
  <si>
    <t>клапан управляющий кпп 750132008</t>
  </si>
  <si>
    <t>17109 1</t>
  </si>
  <si>
    <t>ключ вторичного вала 17109 1</t>
  </si>
  <si>
    <t>ключ вторичного вала(шпонка) 17109</t>
  </si>
  <si>
    <t>X-6-11</t>
  </si>
  <si>
    <t>ключ полукруглый X-6-11</t>
  </si>
  <si>
    <t>X-6-F1</t>
  </si>
  <si>
    <t>ключ полукруглый X-6-F1</t>
  </si>
  <si>
    <t>C01026</t>
  </si>
  <si>
    <t>колесо зубчатое вторичного вала кпп C01026</t>
  </si>
  <si>
    <t>кольцо выжимного подшипника 1450</t>
  </si>
  <si>
    <t>кольцо подшипника шестерни заднего хода втор вала 2159304009</t>
  </si>
  <si>
    <t>кольцо синхронизатора 3-4 передачи 1312304027</t>
  </si>
  <si>
    <t>кольцо синхронизатора высш низ   1269328289</t>
  </si>
  <si>
    <t>кольцо синхронизации   1297304402</t>
  </si>
  <si>
    <t>кольцо синхронизации 1272304076</t>
  </si>
  <si>
    <t>кольцо синхронизации повышенной и пониженной передачи 2159328002</t>
  </si>
  <si>
    <t>кольцо стопорно кпп   190003935383</t>
  </si>
  <si>
    <t>кольцо стопорное   14750</t>
  </si>
  <si>
    <t>кольцо стопорное 16763 16763</t>
  </si>
  <si>
    <t>кольцо стопорное 25 19000393316</t>
  </si>
  <si>
    <t>Q43145</t>
  </si>
  <si>
    <t>кольцо стопорное к-т Q43145</t>
  </si>
  <si>
    <t>кольцо стопорное кпп 14317</t>
  </si>
  <si>
    <t>кольцо стопорное кпп C01019</t>
  </si>
  <si>
    <t>кольцо стопорное кпп к-т КПП RT11509C стопорн</t>
  </si>
  <si>
    <t>кольцо стопорное кпп понижающей шестерни делителя F14327</t>
  </si>
  <si>
    <t>коробка передач в сборе 5S-150GP 5S-150GP</t>
  </si>
  <si>
    <t>корпус хвостовика кпп 986532</t>
  </si>
  <si>
    <t>КПП в сборе без коробки отбора мощности RT-11509C - 1</t>
  </si>
  <si>
    <t>КПП в сборе с коробкой отбора мощности RT-11509C</t>
  </si>
  <si>
    <t>кронштейн для коробки передач AZ9725596010</t>
  </si>
  <si>
    <t>кронштейн для коробки передач верхний WG9112590100</t>
  </si>
  <si>
    <t>крышка  подшипника кпп   17376</t>
  </si>
  <si>
    <t>крышка гидробака 123456</t>
  </si>
  <si>
    <t>крышка заднего подшипника F99967</t>
  </si>
  <si>
    <t>крышка задняя кпп 1269338095</t>
  </si>
  <si>
    <t>крышка кпп ZF4S-130/5S-150 1269307484</t>
  </si>
  <si>
    <t>крышка кпп задняя F99975</t>
  </si>
  <si>
    <t>крышка первичного вала кпп 2159302007</t>
  </si>
  <si>
    <t>крышка первичного вала кпп D=50мм 2159302003</t>
  </si>
  <si>
    <t>крышка подшипника первичного вала F91409</t>
  </si>
  <si>
    <t>крышка подшипника первичного вала JS180-1701040</t>
  </si>
  <si>
    <t>крышка подшипника среднего моста 199014320129</t>
  </si>
  <si>
    <t>крышку подшипника JS180-1707155</t>
  </si>
  <si>
    <t>кулиса переключения передач WG9716240010</t>
  </si>
  <si>
    <t>AZ2203220103</t>
  </si>
  <si>
    <t>механизм переключения 4ой передачи AZ2203220103</t>
  </si>
  <si>
    <t>муфта зубчастая синхронизации 1-2 передачи 2159304011</t>
  </si>
  <si>
    <t>муфта зубчастая синхронизации 3-4 передачи 1310302045</t>
  </si>
  <si>
    <t>муфта зубчатая блокировки дифференциала редуктора неподвижная 13809320155</t>
  </si>
  <si>
    <t>муфта зубчатая синхронизации повышенной и пониженной передачи 2159333004</t>
  </si>
  <si>
    <t>муфта переключения передач 16118</t>
  </si>
  <si>
    <t>муфта пониженного заднего хода 2159304017</t>
  </si>
  <si>
    <t>WG2210040010</t>
  </si>
  <si>
    <t>муфта скользящая вторичного вала WG2210040010</t>
  </si>
  <si>
    <t>муфта соединительная шестерни пониженного заднего хода 2159304015</t>
  </si>
  <si>
    <t>набор колец кпп 226584</t>
  </si>
  <si>
    <t>набор регулировочный шайб 769140115</t>
  </si>
  <si>
    <t>наружная пружина толкателя 732040385</t>
  </si>
  <si>
    <t>насос масляний кпп  1269202027</t>
  </si>
  <si>
    <t>насос маслянный кпп ZF 1269202104</t>
  </si>
  <si>
    <t>опора кпп (подушка) 2159302022</t>
  </si>
  <si>
    <t>опорная пластина 1269233010</t>
  </si>
  <si>
    <t>GB87976</t>
  </si>
  <si>
    <t>палец цилиндрический GB87976</t>
  </si>
  <si>
    <t>патрон планетарный  199114250109</t>
  </si>
  <si>
    <t>переключатель реверсивный 79100710068</t>
  </si>
  <si>
    <t>пластина опорная ступицы синхронизации 2159233001</t>
  </si>
  <si>
    <t>пневмоцилиндр демультипликатора передач кпп A-C09016</t>
  </si>
  <si>
    <t>WG9100570014</t>
  </si>
  <si>
    <t>пневмоцилиндр переключения передач WG9100570014</t>
  </si>
  <si>
    <t>подшипник   192310E</t>
  </si>
  <si>
    <t>37309J</t>
  </si>
  <si>
    <t>подшипник   37309J</t>
  </si>
  <si>
    <t>подшипник   50118</t>
  </si>
  <si>
    <t>подшипник   к808840</t>
  </si>
  <si>
    <t>подшипник 102308E</t>
  </si>
  <si>
    <t>подшипник вторичного вала кпп конический 200628</t>
  </si>
  <si>
    <t>подшипник выходного вала (блок подшипников) КПП  717813</t>
  </si>
  <si>
    <t>подшипник выходного вала (блок подшипников) КПП  717813 лучшее качество</t>
  </si>
  <si>
    <t>подшипник игольчатый  задней передачи K808835</t>
  </si>
  <si>
    <t>подшипник игольчатый  пониженной передачи K808840</t>
  </si>
  <si>
    <t>подшипник игольчатый  шестерни 2-й передачи 735320418</t>
  </si>
  <si>
    <t>подшипник игольчатый 1-й передачи 735320401</t>
  </si>
  <si>
    <t>подшипник игольчатый шестерни 3й передачи 735320499</t>
  </si>
  <si>
    <t>подшипник конический   750117010</t>
  </si>
  <si>
    <t>192310Е</t>
  </si>
  <si>
    <t>подшипник кпп   192310Е</t>
  </si>
  <si>
    <t>25х32х20</t>
  </si>
  <si>
    <t>подшипник кпп   25х32х20</t>
  </si>
  <si>
    <t>подшипник кпп 212-GB276</t>
  </si>
  <si>
    <t>42307Е</t>
  </si>
  <si>
    <t>подшипник кпп 42307Е</t>
  </si>
  <si>
    <t>подшипник кпп лучшее качество</t>
  </si>
  <si>
    <t>подшипник первичного вала   0750118129-1</t>
  </si>
  <si>
    <t>подшипник первичного вала   150212K</t>
  </si>
  <si>
    <t>подшипник первичного вала   42307E</t>
  </si>
  <si>
    <t>подшипник первичного вала (маховика) 90003311416</t>
  </si>
  <si>
    <t>AZ9003326213</t>
  </si>
  <si>
    <t>подшипник первичного вала AZ9003326213</t>
  </si>
  <si>
    <t>подшипник передней ступицы 1990003326543</t>
  </si>
  <si>
    <t>подшипник промежуточного вала кпп 5S-150GP 3007910/735370011</t>
  </si>
  <si>
    <t>подшипнкик роликовій кпп 750116019</t>
  </si>
  <si>
    <t>поршень тормоза промежуточного вала 16658</t>
  </si>
  <si>
    <t>прокладка корпуса подшипника кпп   17352</t>
  </si>
  <si>
    <t>11 800 320 012</t>
  </si>
  <si>
    <t>прокладка кпп 11 800 320 012</t>
  </si>
  <si>
    <t>11800 320012</t>
  </si>
  <si>
    <t>прокладка кпп 11800 320012</t>
  </si>
  <si>
    <t>11800 320131</t>
  </si>
  <si>
    <t>прокладка регулировочная 11800 320131</t>
  </si>
  <si>
    <t>11800 320132</t>
  </si>
  <si>
    <t>прокладка регулировочная 11800 320132</t>
  </si>
  <si>
    <t>прокладка шестерни полувала 11800320131</t>
  </si>
  <si>
    <t>HOWO HW18709</t>
  </si>
  <si>
    <t>прокладки кпп HW18709 комплект</t>
  </si>
  <si>
    <t>прокладки кпп набор 9JS135A</t>
  </si>
  <si>
    <t>пружина 14897</t>
  </si>
  <si>
    <t>пружина выжимного подшипника 4425</t>
  </si>
  <si>
    <t>пружина оттяжная вилки выключения сцепления 9293</t>
  </si>
  <si>
    <t>пружина толкателя внутренняя 732040386</t>
  </si>
  <si>
    <t>пружина упорного сигмента синхронизации 1311304021</t>
  </si>
  <si>
    <t>F96119</t>
  </si>
  <si>
    <t>пыльник кпп  F96119</t>
  </si>
  <si>
    <t>ремкомплект кулисы кпп лучшее качество 81.32670.6184-XLB</t>
  </si>
  <si>
    <t>14345/14765/14344-2-CK</t>
  </si>
  <si>
    <t>ремкомплект цилиндра переключения кпп лучшее качество 14345/14765/14344-2-CK</t>
  </si>
  <si>
    <t>рычаг вилки переключения передач 1269334002</t>
  </si>
  <si>
    <t>рычаг механизма кпп F99585</t>
  </si>
  <si>
    <t>рычаг переключения передач WG9719240116</t>
  </si>
  <si>
    <t>рычаг переключения передач кпп F96035</t>
  </si>
  <si>
    <t>C01132</t>
  </si>
  <si>
    <t>сальник   C01132</t>
  </si>
  <si>
    <t>сальник   F500A-1802191</t>
  </si>
  <si>
    <t>сальник  2402030D</t>
  </si>
  <si>
    <t>сальник  734310110</t>
  </si>
  <si>
    <t>сальник вторичного вала внешний 734300093</t>
  </si>
  <si>
    <t>сальник вторичного вала внутренний 734310109</t>
  </si>
  <si>
    <t>сальник заднего хвостовика 19109</t>
  </si>
  <si>
    <t>сальник заднего хвостовика 19109 (лучшее качество)</t>
  </si>
  <si>
    <t>сальник КПП 55х75 55</t>
  </si>
  <si>
    <t>сальник кпп 85х105х8</t>
  </si>
  <si>
    <t>сальник КПП задний C01032</t>
  </si>
  <si>
    <t>C01032-CK</t>
  </si>
  <si>
    <t>сальник КПП задний C01032 (лучшее качество)</t>
  </si>
  <si>
    <t>сальник КПП задний C01032-KIT комплект 19109 + С01032</t>
  </si>
  <si>
    <t>C01032 LEO</t>
  </si>
  <si>
    <t>сальник КПП задний комплект C01032</t>
  </si>
  <si>
    <t>сальник первиxного вала F91410 (лучшее качество)</t>
  </si>
  <si>
    <t>AZ9003070055</t>
  </si>
  <si>
    <t>сальник первичного вала AZ9003070055</t>
  </si>
  <si>
    <t>F91410 LEO</t>
  </si>
  <si>
    <t>сальник первичного вала F91410</t>
  </si>
  <si>
    <t>AZ9003070105</t>
  </si>
  <si>
    <t>сальник хвостовика AZ9003070105</t>
  </si>
  <si>
    <t>сальник хвостовика кпп 200629</t>
  </si>
  <si>
    <t>сальник хвостовика кпп 258147</t>
  </si>
  <si>
    <t>синхронизатор высшей/низшей передач  A-C09005</t>
  </si>
  <si>
    <t>синхронизатор КПП</t>
  </si>
  <si>
    <t>синхронизатор КПП 235689</t>
  </si>
  <si>
    <t>синхронизатор кпп A-5056</t>
  </si>
  <si>
    <t>ступица синхронизатора 1269333048</t>
  </si>
  <si>
    <t>ступица синхронизатора 3-4 передачи 1310304158</t>
  </si>
  <si>
    <t>ступица синхронизации 3-4 передачи 1269304196</t>
  </si>
  <si>
    <t>ступица синхронизации кпп 2159333002</t>
  </si>
  <si>
    <t>сухарь вилки  ползун 1272334003</t>
  </si>
  <si>
    <t>сухарь вилки  ползун 1295334027</t>
  </si>
  <si>
    <t>сухарь вилки блокировки 11800320077</t>
  </si>
  <si>
    <t>сухарь вилки кпп (упор переключения передач) 115306006</t>
  </si>
  <si>
    <t>сухарь вилки пониженного заднего хода 1297306027</t>
  </si>
  <si>
    <t>сухарь демультипликатора 2229100042</t>
  </si>
  <si>
    <t>сухарь синхронизатора 1240304278</t>
  </si>
  <si>
    <t>WG1642310026</t>
  </si>
  <si>
    <t>трос включения кпп (красный) WG1642310026</t>
  </si>
  <si>
    <t>трос переключение передач  ZF WG9719240111</t>
  </si>
  <si>
    <t>трос переключение передач красный WG9719240007</t>
  </si>
  <si>
    <t>трос переключение передач черный WG9719240112</t>
  </si>
  <si>
    <t>трос переключения передач 9719240008</t>
  </si>
  <si>
    <t>WG9719240008</t>
  </si>
  <si>
    <t>трос переключения передач WG9719240008</t>
  </si>
  <si>
    <t>трубка воздушная механизма переключения передач 55518</t>
  </si>
  <si>
    <t>тяга переключения передач WG9719240117</t>
  </si>
  <si>
    <t>lactai 270</t>
  </si>
  <si>
    <t>фиксатор резьбы lactai 270</t>
  </si>
  <si>
    <t>фланец кпп F99900</t>
  </si>
  <si>
    <t>фланец кпп диам 165 F99900-1</t>
  </si>
  <si>
    <t>фланец кпп диам 180 F99902</t>
  </si>
  <si>
    <t>фланец КПП ф165  плоский 1269338028</t>
  </si>
  <si>
    <t>фланец КПП ф165 плоский 1269338020</t>
  </si>
  <si>
    <t>фланец кпп ф165 с торцевым зубом 109304212</t>
  </si>
  <si>
    <t>фланец кпп ф180 плоский 108308020</t>
  </si>
  <si>
    <t>цилиндр переключения передач   627207001</t>
  </si>
  <si>
    <t>цилиндр переключения передач  750132019</t>
  </si>
  <si>
    <t>цилиндр переключения передач кпп двухходовой A-C03001</t>
  </si>
  <si>
    <t>шайба  кпп   769140186</t>
  </si>
  <si>
    <t>шайба 14749</t>
  </si>
  <si>
    <t>шайба вала   14322</t>
  </si>
  <si>
    <t>шайба главного вала кпп 14332</t>
  </si>
  <si>
    <t>AZ2208040001</t>
  </si>
  <si>
    <t>шайба корончатая вторичного вала AZ2208040001</t>
  </si>
  <si>
    <t>шайба кпп 19466</t>
  </si>
  <si>
    <t>шайба кпп выходного вала 14331</t>
  </si>
  <si>
    <t>шайба кпп выходного вала 14332</t>
  </si>
  <si>
    <t>WG2210040012</t>
  </si>
  <si>
    <t>шайба регулировочн вторичного вала WG2210040012</t>
  </si>
  <si>
    <t>шайба шестерни понижающей передачи 19466</t>
  </si>
  <si>
    <t>WG2210040021</t>
  </si>
  <si>
    <t>шайба шестерни фиксирующая WG2210040021</t>
  </si>
  <si>
    <t>шайба шлицевая шестерни вторичного вала 18701</t>
  </si>
  <si>
    <t>шестерню 1-й передачи вала промежуточного кпп 19753</t>
  </si>
  <si>
    <t>шестерня 1-2 передачи промежуточного вала 2159303002</t>
  </si>
  <si>
    <t>шестерня 1й передачи вторичного вала 2159304003</t>
  </si>
  <si>
    <t>шестерня 2-й передачи промежуточного вала кпп 16751</t>
  </si>
  <si>
    <t>шестерня 2-ой передачи вторичного вала кпп 16750</t>
  </si>
  <si>
    <t>шестерня 2й передачи вторичного вала 2159304004</t>
  </si>
  <si>
    <t>шестерня 3-4 передачи промежуточного вала 2159303003</t>
  </si>
  <si>
    <t>шестерня 3-4 передачи промежуточного вала кпп 1292303005</t>
  </si>
  <si>
    <t>шестерня 3-ей (третей) передачи вторичного вала кпп 16748</t>
  </si>
  <si>
    <t>шестерня 3-й передачи промежуточного вала кпп 16749</t>
  </si>
  <si>
    <t>шестерня 3й передачи вторичного вала 2159304005</t>
  </si>
  <si>
    <t>шестерня ведущая 18869</t>
  </si>
  <si>
    <t>шестерня задней передачи вторичного вала кпп 16756</t>
  </si>
  <si>
    <t>шестерня задней передачи промежуточная 16757</t>
  </si>
  <si>
    <t>шестерня отбора мощности передачи левая 15953</t>
  </si>
  <si>
    <t>шестерня первичного вала кпп 17568</t>
  </si>
  <si>
    <t>шестерня первой передачи кпп 16752</t>
  </si>
  <si>
    <t>шестерня понижающая демультипликатора 19726</t>
  </si>
  <si>
    <t>шестерня понижающей передачи вторичного вала 16754</t>
  </si>
  <si>
    <t>шестерня понижающей передачи вторичного вала 2159304014</t>
  </si>
  <si>
    <t>шестерня привода демультипликатора кпп Fuller 12JS160T-1707030</t>
  </si>
  <si>
    <t>шестерня привода промежуточного вала кпп 19552</t>
  </si>
  <si>
    <t>шестерня синхронизатора кпп 124578</t>
  </si>
  <si>
    <t>шестерня солнечная вторичного вала 1286304022</t>
  </si>
  <si>
    <t>шестерня спидометра ведомоя F91055</t>
  </si>
  <si>
    <t>F91054</t>
  </si>
  <si>
    <t>шестерня спидометра ведущая F91054</t>
  </si>
  <si>
    <t>шестерняя понижающая главного вала кпп 19726</t>
  </si>
  <si>
    <t>шплинт 17109</t>
  </si>
  <si>
    <t>шплинт 19673</t>
  </si>
  <si>
    <t>Q5280326</t>
  </si>
  <si>
    <t>шплинт Q5280326</t>
  </si>
  <si>
    <t>Q5280526</t>
  </si>
  <si>
    <t>шплинт Q5280526</t>
  </si>
  <si>
    <t>WG2229040002</t>
  </si>
  <si>
    <t>шпонка вторичного вала длинная WG2229040002</t>
  </si>
  <si>
    <t>WG2229040101</t>
  </si>
  <si>
    <t>шпонка шестиугольная WG2229040101</t>
  </si>
  <si>
    <t>Q5180310</t>
  </si>
  <si>
    <t>штифт Q5180310</t>
  </si>
  <si>
    <t>штифт упругий   62509</t>
  </si>
  <si>
    <t>шток синхронизатора нажимной 1311304020</t>
  </si>
  <si>
    <t>кузов и кабина HOWO</t>
  </si>
  <si>
    <t>амортизатор кабины AZ1642440025A</t>
  </si>
  <si>
    <t>амортизатор кабины горизонтальный (тонкое ухо) D=35 d=14 AZ1642430091</t>
  </si>
  <si>
    <t>амортизатор кабины задний   WG1642440028</t>
  </si>
  <si>
    <t>амортизатор кабины задний   WG1642440082</t>
  </si>
  <si>
    <t>AZ1642440027</t>
  </si>
  <si>
    <t>амортизатор кабины задний AZ1642440027</t>
  </si>
  <si>
    <t>амортизатор кабины малый   AZ1642440021</t>
  </si>
  <si>
    <t>амортизатор кабины малый   AZ1642440021 лучшее качество</t>
  </si>
  <si>
    <t>амортизатор кабины передний   WG1642430285/1</t>
  </si>
  <si>
    <t>амортизатор кабины передний лучшее качество</t>
  </si>
  <si>
    <t>амортизатор кабины передний с пружиной</t>
  </si>
  <si>
    <t>амортизатор кабины регулируемый с пружиной WG1642430285</t>
  </si>
  <si>
    <t>амортизатор кабины регулируемый с пружиной WG1642430385</t>
  </si>
  <si>
    <t>амортизатор капота WG1642110024</t>
  </si>
  <si>
    <t>NZ9525930091</t>
  </si>
  <si>
    <t>бампер NZ9525930091</t>
  </si>
  <si>
    <t>бампер WG1642240101 WG1642240101</t>
  </si>
  <si>
    <t>бампер передний пластик узкий WG1641240001</t>
  </si>
  <si>
    <t>бампер передний пластик широкий до 2007 WG1642240002</t>
  </si>
  <si>
    <t>бампер передний пластик широкий кабина 2008 WG16422401020</t>
  </si>
  <si>
    <t>бампер передний пластик широкий кабина 2010 WG1642241021</t>
  </si>
  <si>
    <t>бачок омывателя в сборе с моторчиком WG1642860001</t>
  </si>
  <si>
    <t>болт торсиона кабины 28х102 AZ1642430071</t>
  </si>
  <si>
    <t>брызговик заднего крыла в сборе WG9719950130</t>
  </si>
  <si>
    <t>брызговик задний левый WG1642230003</t>
  </si>
  <si>
    <t>брызговик задний левый WG1642230103</t>
  </si>
  <si>
    <t>брызговик задний правый WG1642230104</t>
  </si>
  <si>
    <t>брызговик передний правый WG1642230004</t>
  </si>
  <si>
    <t>внутренняя отделка стенок кабины задняя панель WG1642610006</t>
  </si>
  <si>
    <t>внутренняя отделка стенок кабины левая панель WG1642610007</t>
  </si>
  <si>
    <t>внутренняя отделка стенок кабины правая панель WG1642610009</t>
  </si>
  <si>
    <t>воздухозаборник в зборе WG9725190012</t>
  </si>
  <si>
    <t>воздухозаборник в зборе Евро 2 WG97255190009</t>
  </si>
  <si>
    <t>втулка 1 крепления амортизатора кабины AZ1642440031</t>
  </si>
  <si>
    <t>втулка 2 крепления амортизатора кабины AZ1642440032</t>
  </si>
  <si>
    <t>втулка торсиона кабины AZ164243026110263</t>
  </si>
  <si>
    <t>втулка торсиона кабины железная   AZ1642430061</t>
  </si>
  <si>
    <t>втулка торсиона кабины металлическая WG1642430061</t>
  </si>
  <si>
    <t>AZ16424300261</t>
  </si>
  <si>
    <t>втулка торсиона кабины пластиковая AZ16424300261</t>
  </si>
  <si>
    <t>AZ1642430263</t>
  </si>
  <si>
    <t>втулка торсиона кабины пластиковая AZ1642430263</t>
  </si>
  <si>
    <t>датчик закрытия кабины WG1642440052</t>
  </si>
  <si>
    <t>дверь кабины левая в сборе A1616210001</t>
  </si>
  <si>
    <t>дверь кабины левая в сборе AZ1642210001</t>
  </si>
  <si>
    <t>дверь кабины правая в сборе AZ1616210002</t>
  </si>
  <si>
    <t>дверь кабины правая в сборе AZ1642210002</t>
  </si>
  <si>
    <t>дефлектор в сборе (воздух в салон ) AZ1642160150</t>
  </si>
  <si>
    <t>дефлектор капота боковой левый WG1642111013</t>
  </si>
  <si>
    <t>дефлектор капота боковой правый WG1642111014</t>
  </si>
  <si>
    <t>WG1642340012/2</t>
  </si>
  <si>
    <t>замок двери (левый) WG1642340012/2</t>
  </si>
  <si>
    <t>WG1642340012/0013</t>
  </si>
  <si>
    <t>замок двери (механизм замка двери, защелка ) WG1642340012/0013</t>
  </si>
  <si>
    <t>WG1600340009</t>
  </si>
  <si>
    <t>замок двери (правый) WG1600340009</t>
  </si>
  <si>
    <t>замок двери в сборе (комплект на две двери) WG1642341001</t>
  </si>
  <si>
    <t>замок двери левой в сборе WG1642340014/1</t>
  </si>
  <si>
    <t>замок двери правой в сборе WG1642340015/1</t>
  </si>
  <si>
    <t>замок зажигания   AZ9130583019</t>
  </si>
  <si>
    <t>замок зажигания AZ9132583019</t>
  </si>
  <si>
    <t>замок капота кабины левый WG1642110028</t>
  </si>
  <si>
    <t>замок капота кабины правый WG1642110027</t>
  </si>
  <si>
    <t>зеркало бордюрное на дверь WG1600770007</t>
  </si>
  <si>
    <t>зеркало заднего вида WG1642777010</t>
  </si>
  <si>
    <t>зеркало заднего вида круглое WG1642770004</t>
  </si>
  <si>
    <t>зеркало заднего вида метал правое WG1642777020</t>
  </si>
  <si>
    <t>зеркало заднего вида наружное левое   WG1642770001</t>
  </si>
  <si>
    <t>зеркало заднего вида наружное правое   WG1642770003</t>
  </si>
  <si>
    <t>капот,решетка радиатора WG1642110013</t>
  </si>
  <si>
    <t>карта левой двери (облицовка левой двери) WG1642330020</t>
  </si>
  <si>
    <t>карта правой двери (облицовка правой двери) WG1642330040</t>
  </si>
  <si>
    <t>клапан подъема кабины ( ручка) WG9000360100</t>
  </si>
  <si>
    <t>клапан подъема пневматический CKHY-002</t>
  </si>
  <si>
    <t>клапан управления подъемом кабины WG1642440051</t>
  </si>
  <si>
    <t>кожух защитный датчика абс AZ9107346010</t>
  </si>
  <si>
    <t>кожух салона WG1644610011</t>
  </si>
  <si>
    <t>козырек солнцезащитный WG164477146</t>
  </si>
  <si>
    <t>козырек солнцезащитный высокой крышей WG1644870002</t>
  </si>
  <si>
    <t>козырек солнцезащитный кабины AZ1644870231</t>
  </si>
  <si>
    <t>козырек солнцезащитный кабины WG9719790005/0008</t>
  </si>
  <si>
    <t>козырек солнцезащитный стандартной кабины WG1642870231</t>
  </si>
  <si>
    <t>колпачок защитный    AZ9725520269-H1</t>
  </si>
  <si>
    <t>корпус подножки левый WG164120113</t>
  </si>
  <si>
    <t>корпус подножки павый WG164120114</t>
  </si>
  <si>
    <t>AZ16308440320</t>
  </si>
  <si>
    <t>кран отопителя AZ16308440320</t>
  </si>
  <si>
    <t>кран подъема кузова CKHY0014</t>
  </si>
  <si>
    <t>кронштейн (крепление) решетки бампера левый AZ1642240005</t>
  </si>
  <si>
    <t>кронштейн (крепление) решетки бампера правый AZ1642240006</t>
  </si>
  <si>
    <t>WG1642260040</t>
  </si>
  <si>
    <t>кронштейн (рамка) противотуманной фары левый 07 WG1642260040</t>
  </si>
  <si>
    <t>кронштейн (рамка) противотуманной фары левый 08 WG164240107</t>
  </si>
  <si>
    <t>кронштейн (рамка) противотуманной фары правый 07 WG1642240041</t>
  </si>
  <si>
    <t>кронштейн (рамка) противотуманной фары правый 08 WG164240108</t>
  </si>
  <si>
    <t>кронштейн амортизатор кабины задний левый AZ1642440011</t>
  </si>
  <si>
    <t>кронштейн амортизатор кабины задний правый AZ1642440012</t>
  </si>
  <si>
    <t>кронштейн бампера - верхняя AZ9725930007</t>
  </si>
  <si>
    <t>кронштейн бампера AZ9725930002</t>
  </si>
  <si>
    <t>кронштейн бампера защиты WG9725930010</t>
  </si>
  <si>
    <t>кронштейн бампера защиты WG9725930060</t>
  </si>
  <si>
    <t>кронштейн бампера левый AZ1642240019</t>
  </si>
  <si>
    <t>кронштейн бампера правый AZ1642240020</t>
  </si>
  <si>
    <t>кронштейн для солнцезащитного козырька WG1642870232/34/35/36</t>
  </si>
  <si>
    <t>кронштейн для солнцезащитного козырька высокой кабины AZ1644870003</t>
  </si>
  <si>
    <t>кронштейн задней подвески кабины левый верхний WG1644240040</t>
  </si>
  <si>
    <t>кронштейн задней подвески кабины правый WG1642440041</t>
  </si>
  <si>
    <t>AZ9719520007</t>
  </si>
  <si>
    <t>кронштейн задней рессоры (передний) AZ9719520007</t>
  </si>
  <si>
    <t>кронштейн капота кабины AZ162110032/33</t>
  </si>
  <si>
    <t>кронштейн крепления крыла левый WG9719930315</t>
  </si>
  <si>
    <t>кронштейн крепления крыла правый WG9719930313</t>
  </si>
  <si>
    <t>кронштейн переднего стабилизатора верхний AZ9719680013</t>
  </si>
  <si>
    <t>кронштейн подножки WG925930017</t>
  </si>
  <si>
    <t>кронштейн подножки в сборе AZ9725930049</t>
  </si>
  <si>
    <t>кронштейн сиденья водительского AZ1642510003</t>
  </si>
  <si>
    <t>кронштейн сиденья пассажирского AZ1642510005</t>
  </si>
  <si>
    <t>кронштейн торсиона кабины передний левый AZ1642430231</t>
  </si>
  <si>
    <t>кронштейн торсиона кабины передний правый AZ1642430232</t>
  </si>
  <si>
    <t>крыло кабины с подножкой (со спальником) левое WG1642230012</t>
  </si>
  <si>
    <t>крыло кабины с подножкой (со спальником) правое WG1642230013</t>
  </si>
  <si>
    <t>крыло переднее левое задняя часть 08 Евро3 WG1642230107</t>
  </si>
  <si>
    <t>крыло переднее левое передняя часть 08 Евро3 WG1642230105</t>
  </si>
  <si>
    <t>крыло переднее правое задняя часть 08 Евро3 WG1642230108</t>
  </si>
  <si>
    <t>крыло переднее правое передняя часть 08 Евро3 WG1642230106</t>
  </si>
  <si>
    <t>VG1560050045</t>
  </si>
  <si>
    <t>крышка VG1560050045</t>
  </si>
  <si>
    <t>крышка защитная аккумулятора AZ9100760102</t>
  </si>
  <si>
    <t>крышка защитная рулевой колонки AZ1642160217</t>
  </si>
  <si>
    <t>крышка люка в сборе WG1642770006</t>
  </si>
  <si>
    <t>крышка люка внутренняя обшивка WG1642770008</t>
  </si>
  <si>
    <t>крышка пластиковая крыши в кабине WG1644610005</t>
  </si>
  <si>
    <t>крюк буксеровочный (лапа) AZ9114930093</t>
  </si>
  <si>
    <t>крючок сиденья AZ9725930028</t>
  </si>
  <si>
    <t>лампа освещения кабины WG9719790002</t>
  </si>
  <si>
    <t>лампа освещения кабины WG9719790003</t>
  </si>
  <si>
    <t>молдинг бампера левый AZ1642240050</t>
  </si>
  <si>
    <t>молдинг бампера правый AZ1642240051</t>
  </si>
  <si>
    <t>WG1642110001/3</t>
  </si>
  <si>
    <t>накладка кабины угловая правая WG1642110001/3</t>
  </si>
  <si>
    <t>накладка панели приборов AZ1642160175</t>
  </si>
  <si>
    <t>накладка педали резиновая AZ9719570001</t>
  </si>
  <si>
    <t>накладка подножки левая металлическая 07 WG1642230018</t>
  </si>
  <si>
    <t>накладка подножки правая металлическая 07 WG1642230019</t>
  </si>
  <si>
    <t>направляющая стекла левая WG1642330009</t>
  </si>
  <si>
    <t>направляющая стекла правая WG1642330010</t>
  </si>
  <si>
    <t>20100-СК</t>
  </si>
  <si>
    <t>насос подъема кабины лучшее качество 20100-СК</t>
  </si>
  <si>
    <t>насос подъема кузова   CBTx-F580 30</t>
  </si>
  <si>
    <t>насос подъема кузова   кбр G2080</t>
  </si>
  <si>
    <t>насос подьема кабины (ручной) WG9719820001</t>
  </si>
  <si>
    <t>насос подьема кабины (ручной) WG9719820001 лучшее качество</t>
  </si>
  <si>
    <t>WG971540025</t>
  </si>
  <si>
    <t>облицовка WG971540025</t>
  </si>
  <si>
    <t>обтекатель кабины, фары правый (боковина) WG1642110001</t>
  </si>
  <si>
    <t>обтекатель стойки кабины левый WG1642110019</t>
  </si>
  <si>
    <t>обтекатель фары боковой левый WG1642110002</t>
  </si>
  <si>
    <t>отбойник буфер кабины резиновый AZ1642430097</t>
  </si>
  <si>
    <t>отбойник буфер кабины резиновый WG1642430083</t>
  </si>
  <si>
    <t>палец буксировочного устройства AZ9114930094</t>
  </si>
  <si>
    <t>педаль акселератора (газа) AZ9719570002</t>
  </si>
  <si>
    <t>пепельница переносная AZ1642160243</t>
  </si>
  <si>
    <t>пепельница стационарная WG1642160192</t>
  </si>
  <si>
    <t>подножка вехняя левая металлическая 08 WG1642231090</t>
  </si>
  <si>
    <t>подножка вехняя правая металлическая 08 WG1642230110</t>
  </si>
  <si>
    <t>подножка левая WG164120111</t>
  </si>
  <si>
    <t>подножка левая WG16412011313</t>
  </si>
  <si>
    <t>подножка левая WG1642241031</t>
  </si>
  <si>
    <t>подножка нижняя левая WG1642240113</t>
  </si>
  <si>
    <t>подножка нижняя левая металлическая 07 WG1642240032</t>
  </si>
  <si>
    <t>подножка нижняя правая металлическая 07 WG1642240033</t>
  </si>
  <si>
    <t>подножка нижняя правая металлическая 08 WG16422400114</t>
  </si>
  <si>
    <t>подножка пластиковая ( правая) WG1641240011</t>
  </si>
  <si>
    <t>подножка правая WG164120112</t>
  </si>
  <si>
    <t>подножка правая WG16412011413</t>
  </si>
  <si>
    <t>подножка правая WG1642240112</t>
  </si>
  <si>
    <t>подножка правая WG1642241032</t>
  </si>
  <si>
    <t>подставка под ногу WG1642160236</t>
  </si>
  <si>
    <t>99100590031-CK</t>
  </si>
  <si>
    <t>подушка двигателя задняя лучшее качество 99100590031-CK</t>
  </si>
  <si>
    <t>6805900095-CK</t>
  </si>
  <si>
    <t>подушка двигателя передняя лучшее качество 6805900095-CK</t>
  </si>
  <si>
    <t>подушка под кабину (отбойник кабины) WG1642430081</t>
  </si>
  <si>
    <t>полка кабины верхняя WG1644770102</t>
  </si>
  <si>
    <t>прикуриватель WG9100582141-1</t>
  </si>
  <si>
    <t>провода кабины AZ9719770001</t>
  </si>
  <si>
    <t>прокладка верхней средней части панели приборов AZ1642160214</t>
  </si>
  <si>
    <t>регулятор ручной акселератора AZ9725570070</t>
  </si>
  <si>
    <t>ремкомплект гидравлического маслянного насоса WG9719820001-XLB</t>
  </si>
  <si>
    <t>ремкомплект торсиона кабины лучшее качество 81.41715.6010-XLB-CK</t>
  </si>
  <si>
    <t>решетка бампера AZ1642240011</t>
  </si>
  <si>
    <t>решетка радиатора (капот) WG1642110013/ AZ1642110013</t>
  </si>
  <si>
    <t>WG1642340031</t>
  </si>
  <si>
    <t>ручка двери внешняя левая WG1642340031</t>
  </si>
  <si>
    <t>ручка двери внутренняя WG1642340032</t>
  </si>
  <si>
    <t>ручка двери внутренняя WG1642340033</t>
  </si>
  <si>
    <t>ручка двери наружная WG1642340001</t>
  </si>
  <si>
    <t>ручка капота кабины WG1642110016</t>
  </si>
  <si>
    <t>ручка стеклоподьемника WG1642330001</t>
  </si>
  <si>
    <t>рычаг в сборе WG9731470016</t>
  </si>
  <si>
    <t>рычаг в сборе WG9731470030</t>
  </si>
  <si>
    <t>рычаг кабины маятниковый левый AZ1642430051</t>
  </si>
  <si>
    <t>рычаг кабины маятниковый правый AZ1642430052</t>
  </si>
  <si>
    <t>WG9719570015</t>
  </si>
  <si>
    <t>рычаг под тросик акселератора газа WG9719570015</t>
  </si>
  <si>
    <t>рычаг стеклоочистителя (стойка дворника)с форсункой омывателя WG1642740010</t>
  </si>
  <si>
    <t>свеча накаливания 24V 61200090162-24V</t>
  </si>
  <si>
    <t>седельное устройство (седло) WG9112930002</t>
  </si>
  <si>
    <t>сетка защитная воздухозаборника (перед печкой) AZ1642840084</t>
  </si>
  <si>
    <t>сидение водительское с подушкой WG1642510007</t>
  </si>
  <si>
    <t>сидение кабины водитель WG1642510005</t>
  </si>
  <si>
    <t>сидение кабины пасажир WG1642510006</t>
  </si>
  <si>
    <t>спальное место верхнее AZ1644570001</t>
  </si>
  <si>
    <t>спальное место нижнее AZ163570001</t>
  </si>
  <si>
    <t>PWS05JN</t>
  </si>
  <si>
    <t>стеклоподъемник двери PWS05JN</t>
  </si>
  <si>
    <t>PWS05JN 1</t>
  </si>
  <si>
    <t>стеклоподъемник двери PWS05JN 1</t>
  </si>
  <si>
    <t>стеклоподъемник левой двери WG1642330003</t>
  </si>
  <si>
    <t>стойка а левая WC1412000010</t>
  </si>
  <si>
    <t>стойка а правая WC1412000011</t>
  </si>
  <si>
    <t>торсион кабины AZ1642430219</t>
  </si>
  <si>
    <t>торсион кабины лучшее качество</t>
  </si>
  <si>
    <t>трапеция стеклоочистителя (привод стеклоочистителя) WG1642740009</t>
  </si>
  <si>
    <t>трос акселератора (газа) WG9725570001</t>
  </si>
  <si>
    <t>фара головная левая A7 WG9925720001</t>
  </si>
  <si>
    <t>фара головная правая A7 WG9925720002</t>
  </si>
  <si>
    <t>фара левая в сборе WG9719720001</t>
  </si>
  <si>
    <t>фара передняя левая 08 WG9100720111</t>
  </si>
  <si>
    <t>фара передняя правая  08 WG9100720112</t>
  </si>
  <si>
    <t>фара правая в сборе  WG9719720002</t>
  </si>
  <si>
    <t>фара противотуманная левая  WG9719720005</t>
  </si>
  <si>
    <t>фара противотуманная левая  WG9719720015</t>
  </si>
  <si>
    <t>фара противотуманная правая  WG9719720006</t>
  </si>
  <si>
    <t>фара противотуманная правая 08 WG9719720016</t>
  </si>
  <si>
    <t>фонарь боковой WG9100720012</t>
  </si>
  <si>
    <t>фонарь задний L в сборе HOWO длинный WG9719810001</t>
  </si>
  <si>
    <t>фонарь задний R в сборе HOWO длинный WG9719810002</t>
  </si>
  <si>
    <t>фонарь задний левый A7 WG9925810001</t>
  </si>
  <si>
    <t>фонарь задний левый WG9719810001-LED</t>
  </si>
  <si>
    <t>фонарь задний правый A7 WG9925810002</t>
  </si>
  <si>
    <t>фонарь задний правый WG9719810002-LED</t>
  </si>
  <si>
    <t>фонарь поворотный WG9719720017/0018</t>
  </si>
  <si>
    <t>фонарь солнцезащитного козырька WG9719790006</t>
  </si>
  <si>
    <t>фонарь солнцезащитного козырька WG9719790007</t>
  </si>
  <si>
    <t>фонарь солнцезащитного козырька левый A7 WG9925720003</t>
  </si>
  <si>
    <t>фонарь солнцезащитного козырька правый A7 WG9925720004</t>
  </si>
  <si>
    <t>форсунка водяного насоса смазочная VG2600060456</t>
  </si>
  <si>
    <t>Цилиндр подъема кабины WG971982002</t>
  </si>
  <si>
    <t>WG199100820028</t>
  </si>
  <si>
    <t>Цилиндр подьёма кабины Хания WG199100820028</t>
  </si>
  <si>
    <t>шланг (патрубок) печки WG1642840091</t>
  </si>
  <si>
    <t>шланг высокого давления WG9719821006</t>
  </si>
  <si>
    <t>шланг подъема кабины WG911282005</t>
  </si>
  <si>
    <t>шланг соединительный подъема кабины L=2600 WG9719821005</t>
  </si>
  <si>
    <t>шланг соединительный подъема кабины L=3150 WG9719820007</t>
  </si>
  <si>
    <t>шланг соединительный подъема кабины L=3500 WG1642440072</t>
  </si>
  <si>
    <t>щетка стеклоочистителя 700мм WG1642740011</t>
  </si>
  <si>
    <t>эмблема значка (буквы) сИнотрак AZ1646950002</t>
  </si>
  <si>
    <t>эмблема значок сИнотрак AZ1646950001</t>
  </si>
  <si>
    <t>ящик для вещей салона с подстаканником WG1642160242</t>
  </si>
  <si>
    <t>мосты HOWO</t>
  </si>
  <si>
    <t>болт картера дифференциала Q15131480TF2</t>
  </si>
  <si>
    <t>болт редуктора бортового  Q151C1295TF2</t>
  </si>
  <si>
    <t>вал (палец) сателлита бортового редуктора 199012340004</t>
  </si>
  <si>
    <t>вал отбора мощности QH50-4211105</t>
  </si>
  <si>
    <t>вал полый   199014320135</t>
  </si>
  <si>
    <t>вал проходной   199114320031</t>
  </si>
  <si>
    <t>вал проходной 8 з лучшее качество</t>
  </si>
  <si>
    <t>вал проходной среднего редуктора хово AZ9761321010</t>
  </si>
  <si>
    <t>вилка блокировки заднего колеса 199012320014</t>
  </si>
  <si>
    <t>вилка блокировки среднего моста 1,99112E+11</t>
  </si>
  <si>
    <t>вилка включения блокировки межосевого дифференциала 199014320053</t>
  </si>
  <si>
    <t>втулка распорная 3 мм  880320012</t>
  </si>
  <si>
    <t>втулка распорная 99014320132</t>
  </si>
  <si>
    <t>гайка подшипника межколесного дифференциала 13809320159</t>
  </si>
  <si>
    <t>гайка проходного вала 179000320013</t>
  </si>
  <si>
    <t>гайка редуктора промежуточного вала 199012250031</t>
  </si>
  <si>
    <t>гайка стопорная 13809320157</t>
  </si>
  <si>
    <t>гайка ступицы AZ9100411140</t>
  </si>
  <si>
    <t>гайка ступицы задней 1680340013</t>
  </si>
  <si>
    <t>гайка ступицы задней 637006022</t>
  </si>
  <si>
    <t>1680340013L</t>
  </si>
  <si>
    <t>гайка ступицы задняя (левая резьба) 1680340013</t>
  </si>
  <si>
    <t>1680340013R</t>
  </si>
  <si>
    <t>гайка ступицы задняя (правая резьба) 1680340013</t>
  </si>
  <si>
    <t>диск колесный 22,5 х 9,00  10 х 335 2920774</t>
  </si>
  <si>
    <t>диск колесный WG99100610061</t>
  </si>
  <si>
    <t>диск маслоотражательный 199014320174</t>
  </si>
  <si>
    <t>диск маслоотражательный бортового редуктора 199012340018</t>
  </si>
  <si>
    <t>дифференциал в сборе 19901432017A</t>
  </si>
  <si>
    <t>дифференциал колесный 199112340029</t>
  </si>
  <si>
    <t>дифференциал межколесный заднего моста в сборе 199012320198</t>
  </si>
  <si>
    <t>дифференциал межколесный среднего моста в сборе 199014320165</t>
  </si>
  <si>
    <t>дифференциал межосевой (мод) в сборе (крупный шлиц) 199014320166 кр шЛ</t>
  </si>
  <si>
    <t>дифференциал межосевой 199014320166</t>
  </si>
  <si>
    <t>дифференциал межосевой в сборе мелкий шлиц 199014320166 м шЛ</t>
  </si>
  <si>
    <t>199014320166 КР ШЛ корпус</t>
  </si>
  <si>
    <t>дифференциал межосевой(крупный шлиц) корпус 199014320166 кр шЛ корпус</t>
  </si>
  <si>
    <t>картер (корпус) заднего моста (чулок) AZ9231330265</t>
  </si>
  <si>
    <t>картер (корпус) заднего моста (чулок) AZ9231330918</t>
  </si>
  <si>
    <t>картер (корпус) среднего моста (чулок) AZ2931332208</t>
  </si>
  <si>
    <t>картер (корпус) среднего моста (чулок) AZ9231330920</t>
  </si>
  <si>
    <t>AZ9761320411</t>
  </si>
  <si>
    <t>картер главной передачи с крышкой подшипника (корпус) AZ9761320411</t>
  </si>
  <si>
    <t>картер дифференциала 199014320171A</t>
  </si>
  <si>
    <t>картер редуктора заднего моста с бугелями 199012320098</t>
  </si>
  <si>
    <t>картер среднего редуктора (задняя чать) 199014320120</t>
  </si>
  <si>
    <t>кожух редуктора средний мост (задняя крышка картера) 99014320119</t>
  </si>
  <si>
    <t>WG9112340008</t>
  </si>
  <si>
    <t>кольцо АБС WG9112340008</t>
  </si>
  <si>
    <t>199012340029/199012340027</t>
  </si>
  <si>
    <t>кольцо бортового редуктора большое+малое 199012340029/199012340027</t>
  </si>
  <si>
    <t>кольцо включения межосевой блокировки 1228320105</t>
  </si>
  <si>
    <t>кольцо маслоуловительное бортового редуктора 1880420027</t>
  </si>
  <si>
    <t>кольцо распорное подшипника 199014320140</t>
  </si>
  <si>
    <t>199012340019/1</t>
  </si>
  <si>
    <t>кольцо распрорное ступицы задней 199012340019/1</t>
  </si>
  <si>
    <t>кольцо сальника заднего моста 19901230121</t>
  </si>
  <si>
    <t>кольцо стопорное гайки межколесного дифференциала 13809320158</t>
  </si>
  <si>
    <t>кольцо стопорное подшипника среднего моста 199014320256</t>
  </si>
  <si>
    <t>кольцо стопорное полуоси D=49 1990003933580</t>
  </si>
  <si>
    <t>кольцо стопорное солнечной шестерни 190003933351</t>
  </si>
  <si>
    <t>кольцо стопорное шестерни бортового редуктора WG1880420014</t>
  </si>
  <si>
    <t>19/6312</t>
  </si>
  <si>
    <t>кольцо стопроное подшипника 19/6312</t>
  </si>
  <si>
    <t>кольцо стопроное подшипника 190003933580</t>
  </si>
  <si>
    <t>кольцо ступицы промежуточное заднего и среднего моста 199012340019</t>
  </si>
  <si>
    <t>кольцо ступицы уплотнительное внутреннего подшипника задней 199012340027</t>
  </si>
  <si>
    <t>кольцо ступицы упорное сальника передней 199000410114</t>
  </si>
  <si>
    <t>кольцо уплотнительное корпуса бортового редуктора 199012340029</t>
  </si>
  <si>
    <t>кольцо упорное бортового редуктора 1880420034</t>
  </si>
  <si>
    <t>2402048Е260</t>
  </si>
  <si>
    <t>кольцо упорное подшипника редуктора заднего моста 2402048Е260</t>
  </si>
  <si>
    <t>коническая пара редуктора, главная передача, хвостовик-планетарка AZ9004320251A</t>
  </si>
  <si>
    <t>коническая пара редуктора, главная передача, хвостовик-планетарка заднего моста  29/21199012320181</t>
  </si>
  <si>
    <t>коническая пара редуктора, главная передача, хвостовик-планетарка заднего моста 28\17 199012320177</t>
  </si>
  <si>
    <t>коническая пара редуктора, главная передача, хвостовик-планетарка среднего моста  28/17 AZ9114320251</t>
  </si>
  <si>
    <t>коническая пара редуктора, главная передача, хвостовик-планетарка среднего моста 29/21 AZ9981320152</t>
  </si>
  <si>
    <t>коробка отбора мощности   QH50</t>
  </si>
  <si>
    <t>коробка отбора мощности PR70</t>
  </si>
  <si>
    <t>коробка отбора мощности QH60</t>
  </si>
  <si>
    <t>коробка отбора мощности QH70</t>
  </si>
  <si>
    <t>корпус подшипника редуктора заднего моста 199012320131</t>
  </si>
  <si>
    <t>корпус привода среднего моста 199014320259</t>
  </si>
  <si>
    <t>корпус редуктора среднего моста 199014320119</t>
  </si>
  <si>
    <t>крестовина дифференциала 24 мм   199014320091</t>
  </si>
  <si>
    <t>крестовина дифференциала 24 мм 199014320091 24</t>
  </si>
  <si>
    <t>крестовина дифференциала 24 мм 199014320091-24</t>
  </si>
  <si>
    <t>крестовина дифференциала 27мм 199014320091 27</t>
  </si>
  <si>
    <t>крестовина дифференциала 27мм 199014320091-1</t>
  </si>
  <si>
    <t>крестовина дифференциала 27мм 199014320091-27</t>
  </si>
  <si>
    <t>крышка бортового редуктора   AZ9112340123</t>
  </si>
  <si>
    <t>крышка картера редуктора среднего моста 199014320118</t>
  </si>
  <si>
    <t>крышка проходного вала (вырез полумесяц)   1990114320141</t>
  </si>
  <si>
    <t>крышка редуктора заднего моста 199014320144</t>
  </si>
  <si>
    <t>крышка ступицы задней планетарной передачи (задняя) пыльник 199012340021</t>
  </si>
  <si>
    <t>крышка ступицы передней 1880410043</t>
  </si>
  <si>
    <t>AK99012340021</t>
  </si>
  <si>
    <t>крышка супицы задней планетарной передачи (задняя) пыльник   AK99012340021</t>
  </si>
  <si>
    <t>крышка торцевая   199014320175</t>
  </si>
  <si>
    <t>крышка торцевая бортового редуктора 199112340001</t>
  </si>
  <si>
    <t>мост средний в сборе AH 71131542961</t>
  </si>
  <si>
    <t>муфта скользящая зубчатая блокировки дифференциала 13809320156</t>
  </si>
  <si>
    <t>палец (штифт) механизма блокировки дифференциала 1228320106</t>
  </si>
  <si>
    <t>AH71141.00701</t>
  </si>
  <si>
    <t>передний мост поворотный с AвS AH71141.00701</t>
  </si>
  <si>
    <t>подшиник ступицы задней внутренний 30222 ( 7222A )</t>
  </si>
  <si>
    <t>подшипник   2159304013</t>
  </si>
  <si>
    <t>31311/190003326333</t>
  </si>
  <si>
    <t>подшипник   31311/190003326333</t>
  </si>
  <si>
    <t>подшипник   350212</t>
  </si>
  <si>
    <t>подшипник 1990003326236</t>
  </si>
  <si>
    <t>WC9014320257</t>
  </si>
  <si>
    <t>подшипник 232314 WC9014320257</t>
  </si>
  <si>
    <t>подшипник 30222 1990003326067</t>
  </si>
  <si>
    <t>подшипник 32216 1990003326148</t>
  </si>
  <si>
    <t>подшипник 32315 1990003326547</t>
  </si>
  <si>
    <t>подшипник 32316 1990003326546</t>
  </si>
  <si>
    <t>подшипник 370309Y</t>
  </si>
  <si>
    <t>подшипник 570304002 570304002</t>
  </si>
  <si>
    <t>подшипник 6019 1990003310239</t>
  </si>
  <si>
    <t>AZ190003311543/6312N</t>
  </si>
  <si>
    <t>подшипник 6312  (средний ред. выход.) с проточкой   AZ190003311543/6312N</t>
  </si>
  <si>
    <t>подшипник 6312N 1990003311543</t>
  </si>
  <si>
    <t>подшипник 90003311416/6305</t>
  </si>
  <si>
    <t>подшипник WG880410049A</t>
  </si>
  <si>
    <t>подшипник внешний переднего колеса 1,99E+12</t>
  </si>
  <si>
    <t>подшипник дифференциала задний 6019-Z   AZ190003310239/6019</t>
  </si>
  <si>
    <t>подшипник дифференциала редуктора ср мост 6019Z</t>
  </si>
  <si>
    <t>подшипник дифференциаларедуктора   WG9014320257</t>
  </si>
  <si>
    <t>подшипник редуктора среднего моста лучшее качество 190003310239</t>
  </si>
  <si>
    <t>99014320257 NU314EN</t>
  </si>
  <si>
    <t>подшипник редуктора среднеко моста 99014320257 NU314EN</t>
  </si>
  <si>
    <t>подшипник сателита WG99-934-013</t>
  </si>
  <si>
    <t>подшипник сателлита бортового редуктора 99934013</t>
  </si>
  <si>
    <t>подшипник ступицы задней  внутренний (30222) 190003326067</t>
  </si>
  <si>
    <t>подшипник ступицы задней внешний 32222 ( 7522 )</t>
  </si>
  <si>
    <t>подшипник ступицы задней наружный (32222) 1990003326167</t>
  </si>
  <si>
    <t>подшипник ступицы передней внешний (32310) 190003326531</t>
  </si>
  <si>
    <t>подшипник ступицы передней внешний 7610(32310)</t>
  </si>
  <si>
    <t>подшипник ступицы передней внутренний (32314) 190003326543</t>
  </si>
  <si>
    <t>подшипник ступицы передней внутренний 7614(32314)</t>
  </si>
  <si>
    <t>подшипник хвостовика редуктора 6212 ( зі стопором )</t>
  </si>
  <si>
    <t>подшипник хвостовика редуктора ср моста 6312N</t>
  </si>
  <si>
    <t>подшипник шариковый 190003311036</t>
  </si>
  <si>
    <t>полуось AZ9231320261</t>
  </si>
  <si>
    <t>полуось левая AZ9761341020</t>
  </si>
  <si>
    <t>AZ199012340023</t>
  </si>
  <si>
    <t>полуось левая\правая 2х шлицевая AZ199012340023</t>
  </si>
  <si>
    <t>AZ199012340024</t>
  </si>
  <si>
    <t>полуось правая AZ199012340024</t>
  </si>
  <si>
    <t>полуось правая AZ9761341010</t>
  </si>
  <si>
    <t>пробка картера моста маслозаливнвя 181500010163</t>
  </si>
  <si>
    <t>прокладка сателлита 24мм 199012320150</t>
  </si>
  <si>
    <t>прокладка сателлита 24мм 199012320150-24</t>
  </si>
  <si>
    <t>прокладка сателлита 27мм 199012320150-1</t>
  </si>
  <si>
    <t>прокладка сателлита 27мм 199012320150-27</t>
  </si>
  <si>
    <t>редуктор заднего моста AZ9112320025</t>
  </si>
  <si>
    <t>редуктор среднего моста  AZ199112340029</t>
  </si>
  <si>
    <t>редуктор среднего моста i=5,73 AZ9114320214</t>
  </si>
  <si>
    <t>редуктор среднего моста в сборе   AZ9631320211</t>
  </si>
  <si>
    <t>ремкомплект борового редуктора  199112340029 ремк</t>
  </si>
  <si>
    <t>ремкомплект МОД межосевого дифференциала 24 лучшее качество</t>
  </si>
  <si>
    <t>рычаг блокировки дифференциала 199014330125</t>
  </si>
  <si>
    <t>рычаг блокировки дифференциала среднего моста 199014320076</t>
  </si>
  <si>
    <t>рычаг блокировки среднего моста 199014330126</t>
  </si>
  <si>
    <t>VG1047010010</t>
  </si>
  <si>
    <t>сальник коробки отбора мощности VG1047010010</t>
  </si>
  <si>
    <t>сальник полувала 1990003074340</t>
  </si>
  <si>
    <t>сальник полуоси AZ9112340067</t>
  </si>
  <si>
    <t>Сальник редуктора среднего моста 85x105x13</t>
  </si>
  <si>
    <t>сальник среднего редуктора передний 85х105х8 AZ9112320030</t>
  </si>
  <si>
    <t>сальник ступицы 06.56289.0331</t>
  </si>
  <si>
    <t>сальник ступицы задней внешний  199012340113</t>
  </si>
  <si>
    <t>сальник ступицы задней внутренний  199012340114</t>
  </si>
  <si>
    <t>сальник ступицы задней внутренний WG9112340114</t>
  </si>
  <si>
    <t>сальник ступицы задней комплект WG9112340113</t>
  </si>
  <si>
    <t>сальник ступицы передней 140х160х13 AZ9100410061</t>
  </si>
  <si>
    <t>сальник ступицы передней 190003074387</t>
  </si>
  <si>
    <t>сальник ступицы передней 190003074387\AZ9100410061</t>
  </si>
  <si>
    <t>сальник хвостовика 190003078772/002</t>
  </si>
  <si>
    <t>сальник хвостовика редуктора  85*105*8</t>
  </si>
  <si>
    <t>сальник хвостовика редуктора AZ9112320030/84</t>
  </si>
  <si>
    <t>сальник хвостовика редуктора AZ9112320184</t>
  </si>
  <si>
    <t>сателлит 24 мм 19912320010</t>
  </si>
  <si>
    <t>сателлит 24 мм 19912320010-24</t>
  </si>
  <si>
    <t>сателлит 27мм 19912320010-27</t>
  </si>
  <si>
    <t>сателлит 27мм 19912320010-H20</t>
  </si>
  <si>
    <t>сателлит крестовины D = 24 199012320010</t>
  </si>
  <si>
    <t>сателлит крестовины дифференциала 24 199012320010-24</t>
  </si>
  <si>
    <t>сателлит планетарного колеса кпп 1286298902</t>
  </si>
  <si>
    <t>ступица задняя 199112340009</t>
  </si>
  <si>
    <t>AZ199012340068</t>
  </si>
  <si>
    <t>ступица задняя AZ199012340068</t>
  </si>
  <si>
    <t>ступица передняя 199112410009</t>
  </si>
  <si>
    <t>ступица передняя AZ199112410009</t>
  </si>
  <si>
    <t>фланец мост D=165 8 отверстий 199014320205</t>
  </si>
  <si>
    <t>фланец мост ф165 с торцевым зубом AZ9114320205</t>
  </si>
  <si>
    <t>фланец мост ф180 с торцовым зубом AZ9128320014</t>
  </si>
  <si>
    <t>AZ9014320110</t>
  </si>
  <si>
    <t>фланец редуктора среднего моста  AZ9014320110</t>
  </si>
  <si>
    <t>фланец редуктора среднего моста  AZ9014320205</t>
  </si>
  <si>
    <t>цилиндр дифференциала рабочий   179100360018</t>
  </si>
  <si>
    <t>шайба дифференциала передняя 11800320012</t>
  </si>
  <si>
    <t>шайба картера межосевого дифференциала 199014320061</t>
  </si>
  <si>
    <t>шайба проставочная игольчатого подшипника бортового редуктора 199012340077</t>
  </si>
  <si>
    <t>шайба сателлита 199012340075</t>
  </si>
  <si>
    <t>шайба сателлита 24мм 199012320150 24</t>
  </si>
  <si>
    <t>шайба сателлита 27мм 199012320150 27</t>
  </si>
  <si>
    <t>шайба солнечной шестерни 199012340076</t>
  </si>
  <si>
    <t>шайба ступицы переденей AZ9100410062</t>
  </si>
  <si>
    <t>шайба ступицы стопорная 1680340015</t>
  </si>
  <si>
    <t>шайба шестерни дифференциала 78541236</t>
  </si>
  <si>
    <t>шайба шестерни межосевого дифференциала 199014320071</t>
  </si>
  <si>
    <t>шайба шестерни межосевого дифференциала передняя мост 199014320067</t>
  </si>
  <si>
    <t>шестерня (опора) бортовой передачи 199112340021</t>
  </si>
  <si>
    <t>шестерня бортового редуктора 199012340121</t>
  </si>
  <si>
    <t>шестерня бортовой передачи малая 199012340122B</t>
  </si>
  <si>
    <t>шестерня ведомая  199014320208</t>
  </si>
  <si>
    <t>шестерня ведомая 199014320137A</t>
  </si>
  <si>
    <t>шестерня ведущая 199014320136A</t>
  </si>
  <si>
    <t>шестерня ведущая 199014320209</t>
  </si>
  <si>
    <t>шестерня дифференциала 785412</t>
  </si>
  <si>
    <t>шестерня дифференциала ведомая Z=35 сред. мост 199014320137</t>
  </si>
  <si>
    <t>шестерня коническая полуоси 199012320009</t>
  </si>
  <si>
    <t>шестерня межосевого дифференциала 199114320032</t>
  </si>
  <si>
    <t>шестерня МОД задняя 199014320059</t>
  </si>
  <si>
    <t>шестерня МОД редуктора среднего моста ( передняя) 199014320032</t>
  </si>
  <si>
    <t>шестерня полувала 199012320009A</t>
  </si>
  <si>
    <t>шестерня полувала 199114320059</t>
  </si>
  <si>
    <t>шестерня солнечная центральная бортового редуктора 199012340005</t>
  </si>
  <si>
    <t>шестерня цилиндрическая ведущая среднего моста 199014320136</t>
  </si>
  <si>
    <t>315/80R22.5</t>
  </si>
  <si>
    <t>шина 315/80R22.5</t>
  </si>
  <si>
    <t>199012340123-CK A+</t>
  </si>
  <si>
    <t>шпилька колесная задняя 199012340123 лучшее качество</t>
  </si>
  <si>
    <t>шпилька колесная задняя AZ9112340123-H5</t>
  </si>
  <si>
    <t>шпилька колесная передняя AZ9112340123-H16</t>
  </si>
  <si>
    <t>шплинт цилиндрический бортовой передачи 190003901704</t>
  </si>
  <si>
    <t>подвеска HOWO</t>
  </si>
  <si>
    <t>амортизатор переднего моста WG910068004</t>
  </si>
  <si>
    <t>амортизатор передней подвески   WG9100680001</t>
  </si>
  <si>
    <t>амортизатор передней подвески 8х4   WG9114680004</t>
  </si>
  <si>
    <t>амортизатор передней подвески 8х4   WG9114680004 лучшее качество</t>
  </si>
  <si>
    <t>амортизатор подвески передней 9910468004</t>
  </si>
  <si>
    <t>амотризато передний 1,2 оси WG9114680004-LEO</t>
  </si>
  <si>
    <t>балка переднего моста AZ9719410103</t>
  </si>
  <si>
    <t>балка поперечная WG9114510510</t>
  </si>
  <si>
    <t>башмак подшипника 1780320088</t>
  </si>
  <si>
    <t>башмак подшипника балансира 199014520188</t>
  </si>
  <si>
    <t>башмак рессоры AZ99014520295</t>
  </si>
  <si>
    <t>башмак рессоры передней (накладка под стремянку) WG80520002</t>
  </si>
  <si>
    <t>болт амортизатора верхний длинный 199100680036</t>
  </si>
  <si>
    <t>болт балансира 18х72 WG9014520227</t>
  </si>
  <si>
    <t>болт балансира Q151B1865</t>
  </si>
  <si>
    <t>болт балансира Q171B1655TF2</t>
  </si>
  <si>
    <t>болт балансира WG9114520041</t>
  </si>
  <si>
    <t>болт колеса переднего с гайкой AZ9100410104</t>
  </si>
  <si>
    <t>болт крепления V-образной тяги AZ9725520360</t>
  </si>
  <si>
    <t>болт подушки рессоры задней Q151B22280TF2</t>
  </si>
  <si>
    <t>болт реактивной тяги  М20 L100 Q151B2090</t>
  </si>
  <si>
    <t>болт реактивной тяги 190003803974</t>
  </si>
  <si>
    <t>болт реактивной тяги М20 L200 Q151B20200</t>
  </si>
  <si>
    <t>болт реактивной штанги 190003800008</t>
  </si>
  <si>
    <t>болт реактивной штанги Q151B2-90</t>
  </si>
  <si>
    <t>болт реактивнойй тяги Q151B22230</t>
  </si>
  <si>
    <t>болт рессоры задней 360мм 199014520800C</t>
  </si>
  <si>
    <t>болт рессоры задней крепления кронштейна Q151B22260</t>
  </si>
  <si>
    <t>болт рессоры задней центральный 300мм WG9725520283</t>
  </si>
  <si>
    <t>болт рессоры задней центральный WG9232520008-M14-330</t>
  </si>
  <si>
    <t>болт рессоры передней 199014520259A</t>
  </si>
  <si>
    <t>болт рессоры передней центральный 99100520710</t>
  </si>
  <si>
    <t>болт стабилизатора переднего  199100680069</t>
  </si>
  <si>
    <t>болт центральный задней рессоры (стар.обр) одинарная шляпка WG9232520008+013</t>
  </si>
  <si>
    <t>вал балансирный AZ9232520004</t>
  </si>
  <si>
    <t>вилка кронштейна амортизатора   199012680025</t>
  </si>
  <si>
    <t>WG9100680046</t>
  </si>
  <si>
    <t>втулка амортизатора передней подвески WG9100680046</t>
  </si>
  <si>
    <t>втулка балансира металл   AZ9725520238</t>
  </si>
  <si>
    <t>втулка балансира распорная металл   199014520191</t>
  </si>
  <si>
    <t>втулка рессоры задней  WG9000520079</t>
  </si>
  <si>
    <t>втулка рессоры передн.88мм WG9000520078</t>
  </si>
  <si>
    <t>втулка рессоры передн.88мм WG9000520078 лучшее качество</t>
  </si>
  <si>
    <t>втулка стабилизатора заднего (метал) NS-07 199100680037</t>
  </si>
  <si>
    <t>втулка стабилизатора заднего (средняя) 199100680067</t>
  </si>
  <si>
    <t>втулка стабилизатора заднего AZ199100680067</t>
  </si>
  <si>
    <t>втулка стабилизатора заднего конусная (NS-07) 199100680066</t>
  </si>
  <si>
    <t>втулка стабилизатора переднего  199100680068</t>
  </si>
  <si>
    <t>втулка стабилизатора переднего  AZ199100680068</t>
  </si>
  <si>
    <t>гайка колесная WG9003884160</t>
  </si>
  <si>
    <t>кольцо распорное балансира 199114520136</t>
  </si>
  <si>
    <t>корпус балансира 199114520035 ( букса) 199114520035</t>
  </si>
  <si>
    <t>корпус балансира в сборе 199114520035 ( букса)</t>
  </si>
  <si>
    <t>корпус балансира в сборе под 4 стремянки AZ9725520235-1</t>
  </si>
  <si>
    <t>корпус балансира под 4стремянки  07 AZ9725520235</t>
  </si>
  <si>
    <t>крепление ( скоба крепления стабилизатора )  1880680024</t>
  </si>
  <si>
    <t>кронштейн V-образной тяги AZ9231340041</t>
  </si>
  <si>
    <t>кронштейн амортизатора нижний с вилкой 199100680065</t>
  </si>
  <si>
    <t>кронштейн амортизатора переднего моста WG9731680005</t>
  </si>
  <si>
    <t>кронштейн амортизатора переднего моста верхний WG9731680008</t>
  </si>
  <si>
    <t>кронштейн буфера рессоры средний мост AZ9232520003</t>
  </si>
  <si>
    <t>кронштейн крепления V-образной тяги средний мост AZ9231340042</t>
  </si>
  <si>
    <t>кронштейн рессоры (второй передней рессоры передний левый 8х4) AZ9731520024</t>
  </si>
  <si>
    <t>кронштейн рессоры (второй передней рессоры передний правый 8х4) AZ9731520021</t>
  </si>
  <si>
    <t>кронштейн рессоры левый 08 AZ9725520277</t>
  </si>
  <si>
    <t>кронштейн рессоры левый задний AZ9232520010</t>
  </si>
  <si>
    <t>кронштейн рессоры передней (передний) AZ9719520005</t>
  </si>
  <si>
    <t>кронштейн рессоры правый 08 AZ9725520279</t>
  </si>
  <si>
    <t>кронштейн рессоры правый задний AZ9232520011</t>
  </si>
  <si>
    <t>кронштейн стабилизатора заднего WG780680032</t>
  </si>
  <si>
    <t>кронштейн стабилизатора переднего (стойка стабилизатора) WG9100680055</t>
  </si>
  <si>
    <t>кронштейн тяги Vобразной левый AZ9725520361</t>
  </si>
  <si>
    <t>кронштейн тяги Vобразной правый AZ9725520362</t>
  </si>
  <si>
    <t>крышка балансира 199014520311 199014520311</t>
  </si>
  <si>
    <t>крышка бортового редуктора   AZ9112340123 лучшее качество</t>
  </si>
  <si>
    <t>крышка шкворня 1880410100</t>
  </si>
  <si>
    <t>лист рессоры задней №3 WG9725520286-3</t>
  </si>
  <si>
    <t>лист рессоры задней коренной № 1 AZ199014520840</t>
  </si>
  <si>
    <t>лист рессоры задней коренной №1 WG9232520028-1</t>
  </si>
  <si>
    <t>лист рессоры задней коренной №1 WG9638520008-1</t>
  </si>
  <si>
    <t>лист рессоры задней коренной №1 WG9725520285-1</t>
  </si>
  <si>
    <t>лист рессоры задней подкоренной № 2 (L=165) (F, H)  AZ199014520841</t>
  </si>
  <si>
    <t>лист рессоры задней подкоренной № 2 WG9725520284-2</t>
  </si>
  <si>
    <t>лист рессоры задней подкоренной №2 WG9232520028-2</t>
  </si>
  <si>
    <t>лист рессоры задней подкоренной №2 WG9638520008-2</t>
  </si>
  <si>
    <t>лист рессоры задней подкоренной №2 WG9725520286</t>
  </si>
  <si>
    <t>лист рессоры передней №2 6х4 WG9725520283+002</t>
  </si>
  <si>
    <t>99000520084-2</t>
  </si>
  <si>
    <t>лист рессоры передней №2 8х4 99000520084-2</t>
  </si>
  <si>
    <t>лист рессоры передней №3 8х4 WG9232520025/6-3</t>
  </si>
  <si>
    <t>лист рессоры передней №3 WG9725520072-3</t>
  </si>
  <si>
    <t>лист рессоры передней коренной № 1 А7 6х4 (L=1850)  AZ199100520707</t>
  </si>
  <si>
    <t>лист рессоры передней коренной №1 6х4   WG9725520072+1</t>
  </si>
  <si>
    <t>99000520084-1</t>
  </si>
  <si>
    <t>лист рессоры передней коренной №1 8х4  99000520084</t>
  </si>
  <si>
    <t>лист рессоры передней коренной №1 8х4  WG9731520011+1</t>
  </si>
  <si>
    <t>лист рессоры передней коренной №1 8х4 WG9232520025/6-1</t>
  </si>
  <si>
    <t>лист рессоры передней коренной №1 8х4 WG9731520041-1</t>
  </si>
  <si>
    <t>лист рессоры передней подкоренной № 2 (L=1900) AZ199100520708</t>
  </si>
  <si>
    <t>лист рессоры передней подкоренной №2  8х4 WG9232520025/6-2</t>
  </si>
  <si>
    <t>лист рессоры передней подкоренной №2 6х4  WG9725520072+2</t>
  </si>
  <si>
    <t>лист рессоры передней подкоренной №2 8х4   WG9731520011+2</t>
  </si>
  <si>
    <t>лист рессоры передней подкоренной №2 8х4 WG9731520041-2</t>
  </si>
  <si>
    <t>ось балансира в сборе AZ9925520310</t>
  </si>
  <si>
    <t>отбойник передней рессоры (подушка ) AZ9725521210</t>
  </si>
  <si>
    <t>палец передней рессоры под гидроцилиндр лучшее качество DZ9100520007-CK</t>
  </si>
  <si>
    <t>палец рессоры (D-29, L-150) 189000520015</t>
  </si>
  <si>
    <t>палец рессоры D=30  L=164 199100520006</t>
  </si>
  <si>
    <t>палец рессоры передней (под пластину) 8х4 199100520080</t>
  </si>
  <si>
    <t>палец рессоры передней 155 мм WG9100520065</t>
  </si>
  <si>
    <t>пальць рессоры  30 22354</t>
  </si>
  <si>
    <t>AZ9725520266</t>
  </si>
  <si>
    <t>пластина крепления подушки рессоры задней AZ9725520266</t>
  </si>
  <si>
    <t>WG880680027</t>
  </si>
  <si>
    <t>пластина крепления стабилизатора переднего WG880680027</t>
  </si>
  <si>
    <t>пластина рессоры (под заднюю подушку рессоры с одной направл.) AZ9725520265</t>
  </si>
  <si>
    <t>подушка рессоры задней (трапеция) AZ9114520091</t>
  </si>
  <si>
    <t>подушка рессоры задней 2 \ 4 отв  универсальная AZ9725520269</t>
  </si>
  <si>
    <t>подушка рессоры задней 2 \ 4 отв  универсальная AZ9725520269createk</t>
  </si>
  <si>
    <t>подушка рессоры задней 2 отв AZ9725520276</t>
  </si>
  <si>
    <t>подушка рессоры задней 4 отв AZ9725520278</t>
  </si>
  <si>
    <t>подушка рессоры задней 6 отв AZ9725520276/78</t>
  </si>
  <si>
    <t>подушка рессоры задней старого образца AZ9638520005</t>
  </si>
  <si>
    <t>подушка рессоры передней WG9323520010</t>
  </si>
  <si>
    <t>подшипник балансира   99014520310</t>
  </si>
  <si>
    <t>подшипник балансира   WG9114520042</t>
  </si>
  <si>
    <t>подшипник балансира   WG9114520042 лучшее качество</t>
  </si>
  <si>
    <t>подшипник балансира WG9114520042-LEO</t>
  </si>
  <si>
    <t>прокладка стабилизатора 1880680027</t>
  </si>
  <si>
    <t>AZ9114520222\99114520222</t>
  </si>
  <si>
    <t>пыльник балансира (комплект с кольцом) AZ9114520222</t>
  </si>
  <si>
    <t>пыльник балансира 99114520222</t>
  </si>
  <si>
    <t>AZ9631521174</t>
  </si>
  <si>
    <t>реактивная тяга с сайленблоками AZ9631521174</t>
  </si>
  <si>
    <t>AZ9631521174-CK</t>
  </si>
  <si>
    <t>реактивная тяга с сайленблоками AZ9631521174 лучшее качество</t>
  </si>
  <si>
    <t>1500-000 Ростар</t>
  </si>
  <si>
    <t>ремкомплект V-тяги центр 1500-000 Ростар</t>
  </si>
  <si>
    <t>ремкомплект V-тяги центр AZ9725523272-1</t>
  </si>
  <si>
    <t>ремкомплект балансира 199100360736-H9</t>
  </si>
  <si>
    <t>ремкомплект тяги реактивной 99014520865</t>
  </si>
  <si>
    <t>ремкомплект тяги реактивной V-образной 199100360736-H8</t>
  </si>
  <si>
    <t>ремкомплект тяги реактивной Vобразной AZ9725521272-1</t>
  </si>
  <si>
    <t>ремкомплект тягиреактивной Vобразной AZ9725529272-3</t>
  </si>
  <si>
    <t>рессора задняя в сборе 6х4 WG9725520284</t>
  </si>
  <si>
    <t>рессора задняя в сборе 8х4 12 листов WG9232520028</t>
  </si>
  <si>
    <t>рессора задняя в сборе WG9638520008</t>
  </si>
  <si>
    <t>рессора передняя в сборе  WG9725520072/73</t>
  </si>
  <si>
    <t>WG9100520003</t>
  </si>
  <si>
    <t>рессора передняя в сборе 10 листов WG9100520003</t>
  </si>
  <si>
    <t>рессора передняя в сборе 6 на 4 WG9725520072</t>
  </si>
  <si>
    <t>рессора передняя в сборе WG9232520025/6</t>
  </si>
  <si>
    <t>рессора передняя в сборе WG9725522007/4</t>
  </si>
  <si>
    <t>сайлентблок 85 узкий металл AZ9631523175-JX</t>
  </si>
  <si>
    <t>сайлентблок 85 узкий резин AZ9631523175-JX-1</t>
  </si>
  <si>
    <t>сайлентблок 85х57 AZ9631523175+001 лучшее качество</t>
  </si>
  <si>
    <t>сайлентблок 90х57 AZ9725529272-2</t>
  </si>
  <si>
    <t>сайлентблок V образной  AZ9725521272-jx лучшее качество</t>
  </si>
  <si>
    <t>сайлентблок V образной нижний  AZ9725521272-н</t>
  </si>
  <si>
    <t>сайлентблок V-образной реактивной тяги хово 85х53 AZ9725521272</t>
  </si>
  <si>
    <t>сайлентблок задней реактивной тяги широкий AZ9631521175-JX</t>
  </si>
  <si>
    <t>сайлентблок лучшее качество AZ9725521272-jx-CK</t>
  </si>
  <si>
    <t>AZ9631521177</t>
  </si>
  <si>
    <t>сайлентблок реактивной тяги 152х85х57 AZ9631521177</t>
  </si>
  <si>
    <t>AZ9631521177-LEO</t>
  </si>
  <si>
    <t>сайлентблок реактивной тяги 152х85х57 лучшее качество AZ9631521177-LEO</t>
  </si>
  <si>
    <t>сайлентблок реактивной тяги 85х75 AZ9631523175-LEO</t>
  </si>
  <si>
    <t>сайлентблок реактивной тяги лучшее качество AZ9114521175-CK</t>
  </si>
  <si>
    <t>сайлентблок реактивной тяги лучшее качество AZ9631523175-jx-CK</t>
  </si>
  <si>
    <t>сайлентблок реактивной тяги металл 80 мм AZ9114521175-80-1</t>
  </si>
  <si>
    <t>сайлентблок стабилзатора задний 1780680035</t>
  </si>
  <si>
    <t>сайлентблок стабилизатора заднего лучшее качество 1780680035-CK</t>
  </si>
  <si>
    <t>сайлентблок стабилизатора передний 6х4 99100680052</t>
  </si>
  <si>
    <t>сайлентблок торсиона кабины лучшее качество 81.96210.0437A-1-CK</t>
  </si>
  <si>
    <t>сальник балансира 160х185х10.5 AZ9114520223</t>
  </si>
  <si>
    <t>сальник балансира лучшее качество WG9114520223-CK</t>
  </si>
  <si>
    <t>сальник оси балансира   AZ9114520223\SX99114520223</t>
  </si>
  <si>
    <t>сальник оси балансира (лучше качество) SX99114520223\AZ9114520223</t>
  </si>
  <si>
    <t>серьга рессоры передней Howo  WG9100520034</t>
  </si>
  <si>
    <t>серьга рессоры передней WG9100520018</t>
  </si>
  <si>
    <t>серьга стабилизатора заднего  WG9719680011</t>
  </si>
  <si>
    <t>стабилизатор задний в сборе AZ9719680006</t>
  </si>
  <si>
    <t>стабилизатор поперечной устойчивости ( задний) WG9719680006</t>
  </si>
  <si>
    <t>стабилизатор поперечной устойчивости передний  AZ9719680003</t>
  </si>
  <si>
    <t>стремянка рессоры задняя 500 мм AZ9725520055-500mm</t>
  </si>
  <si>
    <t>стремянка рессоры задняя 500мм AZ9112520312</t>
  </si>
  <si>
    <t>стремянка рессоры задняя 500мм AZ9925520268</t>
  </si>
  <si>
    <t>стремянка рессоры задняя 540мм AZ9725520037</t>
  </si>
  <si>
    <t>стремянка рессоры задняя 550 мм AZ9725520055-550mm</t>
  </si>
  <si>
    <t>стремянка рессоры задняя 550мм AZ9725520055</t>
  </si>
  <si>
    <t>AZ9725520345</t>
  </si>
  <si>
    <t>стремянка рессоры задняя нов обр  AZ9725520345</t>
  </si>
  <si>
    <t>стремянка рессоры передняя 199000520086</t>
  </si>
  <si>
    <t>тяга реактивная  (верхняя) AZ9631523175</t>
  </si>
  <si>
    <t>тяга реактивная (с косыми сайленблоками) 99014520175</t>
  </si>
  <si>
    <t>тяга реактивная V-образная  (металич.центр) AZ9725523272</t>
  </si>
  <si>
    <t>тяга реактивная V-образная AZ9725529272</t>
  </si>
  <si>
    <t>тяга реактивная верхняя AZ9631521175</t>
  </si>
  <si>
    <t>тяга реактивная верхняя прямая усиленная WG9114521175</t>
  </si>
  <si>
    <t>АZ9631521174</t>
  </si>
  <si>
    <t>тяга реактивная нижняя (смещенная)   аZ9631521174</t>
  </si>
  <si>
    <t>тяга реактивнаяв сборе с сайлентблоком  WG9114521174</t>
  </si>
  <si>
    <t>фланец  мост Ф165 плоский</t>
  </si>
  <si>
    <t>фланец  мост Ф180 плоский</t>
  </si>
  <si>
    <t>шайба балансира круглая  199014520265</t>
  </si>
  <si>
    <t>AZ9114520188</t>
  </si>
  <si>
    <t>шайба балансира стопорная AZ9114520188</t>
  </si>
  <si>
    <t>шкворень набор на ось AZ9100413045-KIT</t>
  </si>
  <si>
    <t>шпилька крепления V образной тяги 5487</t>
  </si>
  <si>
    <t>шпилька кронштейна V-образной тяги 199014520227</t>
  </si>
  <si>
    <t>штанга реактивная верхняя Vобразная AZ9725526272</t>
  </si>
  <si>
    <t>рулевой механизм HOWO</t>
  </si>
  <si>
    <t>амортизатор поперечной рулевой тяги WG9114470106</t>
  </si>
  <si>
    <t>бачок гидравлической жидкости рулевого управления WG9100470252/1</t>
  </si>
  <si>
    <t>бачок гидравлической жидкости рулевого управления WG9719470033</t>
  </si>
  <si>
    <t>бачок гидравлической жидкости рулевого управления WG9725470060/1</t>
  </si>
  <si>
    <t>втулка шкворня верхняя 1880410035</t>
  </si>
  <si>
    <t>втулка шкворня верхняя 1880410035 лучшее качество</t>
  </si>
  <si>
    <t>втулка шкворня нижняя 1880410029</t>
  </si>
  <si>
    <t>втулка шкворня нижняя 1880410029 лучшее качество</t>
  </si>
  <si>
    <t>гидроусилитель руля (ГУр)   AZ9100470225</t>
  </si>
  <si>
    <t>гидроусилитель руля (ГУр) AZ9719470228</t>
  </si>
  <si>
    <t>гидроцилиндр поворота 2-й оси (большой)   WG9731470070</t>
  </si>
  <si>
    <t>гидроцилиндр поворота колеса WG9014470070</t>
  </si>
  <si>
    <t>кольцо возвратное WG9130593018</t>
  </si>
  <si>
    <t>кольцо уплотнительное  шкворня   1880410052</t>
  </si>
  <si>
    <t>кронштейн гидроусилителя 095 AZ9725470295</t>
  </si>
  <si>
    <t>кронштейн гидроусилителя AZ9731470020</t>
  </si>
  <si>
    <t>кронштейн рулевой в сборе левый AZ9100410032</t>
  </si>
  <si>
    <t>кронштейн рулевой в сборе правый AZ9100410036</t>
  </si>
  <si>
    <t>крышка (чехол) рулевой колонки задняя AZ9719470041</t>
  </si>
  <si>
    <t>крышка (чехол) рулевой колонки передняя AZ9719470042</t>
  </si>
  <si>
    <t>крышка защитная нижняя слева от рулевой колонки WG1642160218</t>
  </si>
  <si>
    <t>WG9631470075</t>
  </si>
  <si>
    <t>наконечник гидроцилиндра WG9631470075</t>
  </si>
  <si>
    <t>наконечник гидроцилиндра с наружной малой резьбой AZ9118470024</t>
  </si>
  <si>
    <t>наконечник гидроцилиндра с наружной малой резьбой AZ9118470024 лучшее качество</t>
  </si>
  <si>
    <t>наконечник поеречной рулеой тяги правый лучшее качество TZ3303050TSLA-R-CK</t>
  </si>
  <si>
    <t>наконечник поперечной рулевой тяги левый лучшее качество TZ3303050TSLA-L-CK</t>
  </si>
  <si>
    <t>наконечник продольной тяги правый   AZ9100430218-4</t>
  </si>
  <si>
    <t>наконечник рулевого цилиндра  9631470075</t>
  </si>
  <si>
    <t>наконечник рулевой тяги (лев) 20 AZ9100430218-002</t>
  </si>
  <si>
    <t>наконечник рулевой тяги (лев) 24 AZ9100430218-002 24</t>
  </si>
  <si>
    <t>AZ910043218-001</t>
  </si>
  <si>
    <t>наконечник рулевой тяги (прав) 20  AZ910043218-001</t>
  </si>
  <si>
    <t>AZ910043218-001 24</t>
  </si>
  <si>
    <t>наконечник рулевой тяги (прав) 24 AZ910043218-001 24</t>
  </si>
  <si>
    <t>наконечник рулевой тяги 199100430701</t>
  </si>
  <si>
    <t>наконечник рулевой тяги левый 24 лучшее качество</t>
  </si>
  <si>
    <t>наконечник рулевой тяги левый AZ9100430218-001</t>
  </si>
  <si>
    <t>наконечник рулевой тяги левый фав 3252 лучшее качество</t>
  </si>
  <si>
    <t>наконечник рулевой тяги левый фотон 3258 лучшее качество</t>
  </si>
  <si>
    <t>наконечник рулевой тяги правый 24 лучшее качество 99100430704-CK</t>
  </si>
  <si>
    <t>99100430703-CK</t>
  </si>
  <si>
    <t>наконечник рулевой тяги правый 27 99100430703-CK</t>
  </si>
  <si>
    <t>наконечник рулевой тяги правый 27 лучшее качество AZ9100430218-4-CK</t>
  </si>
  <si>
    <t>наконечник рулевой тяги правый AZ9100430218-11</t>
  </si>
  <si>
    <t>AZ91430218-002</t>
  </si>
  <si>
    <t>наконечник рулевой тяги правый AZ91430218-002</t>
  </si>
  <si>
    <t>наконечник рулевой тяги правый лучшее качество 3003060-1H-CK</t>
  </si>
  <si>
    <t>наконечник рулевой тяги правый фотон 3258 лучшее качество 3303N-060-CK</t>
  </si>
  <si>
    <t>1,991E+11</t>
  </si>
  <si>
    <t>наконечник рулевой тяги продольный правый 1,991E+11 1,991E+11</t>
  </si>
  <si>
    <t>наконечники рулевых тяг большие(левые) 99100430701</t>
  </si>
  <si>
    <t>наконечники рулевых тяг большие(правые) 99100430704</t>
  </si>
  <si>
    <t>наконечники рулевых тяг малые(левые) AZ9100430218-L</t>
  </si>
  <si>
    <t>наконечники рулевых тяг малые(правые) AZ9100430218-R</t>
  </si>
  <si>
    <t>наконечникк гидроцилиндра 2 осн WG9631470050</t>
  </si>
  <si>
    <t>наконечникк гидроцилиндра 2 осн внутр AZ9118470025</t>
  </si>
  <si>
    <t>наконечникк гидроцилиндра 2 осн внутр лучшее качество AZ9118470025-CK</t>
  </si>
  <si>
    <t>насос гидроусилитееля (ГУр)   WG9719470037</t>
  </si>
  <si>
    <t>насос гидроусилитееля (ГУр) А7 WG9619470080</t>
  </si>
  <si>
    <t>поворотный кулак (цапфа) левый 199112410057</t>
  </si>
  <si>
    <t>поворотный кулак (цапфа) правый 199112410058</t>
  </si>
  <si>
    <t>подшипник шкворня WG880410049</t>
  </si>
  <si>
    <t>подшипник шкворня WG880410049 лучшее качество</t>
  </si>
  <si>
    <t>рулевая колонка в сборе AZ971970050</t>
  </si>
  <si>
    <t>рулевой вал телескопический AZ9719470044</t>
  </si>
  <si>
    <t>руль (рулевое колесо) AZ9719470100</t>
  </si>
  <si>
    <t>рычаг поворотного кулака   199000410045</t>
  </si>
  <si>
    <t>рычаг рулевой тяги левый (сошка) AZ9160410121 (1880410040)</t>
  </si>
  <si>
    <t>рычаг рулевой тяги левый AZ9160410121</t>
  </si>
  <si>
    <t>рычаг рулевой тяги правый AZ9160410120</t>
  </si>
  <si>
    <t>сошка поперечной рулевой тяги левая 1880410040</t>
  </si>
  <si>
    <t>сошка поперечной рулевой тяги правая 1880410041</t>
  </si>
  <si>
    <t>сошка рулевая WG979470020</t>
  </si>
  <si>
    <t>сошка рулевая гидроусилителя  WG9725470298</t>
  </si>
  <si>
    <t>тяга продольная левая в сборе AZ9731430010</t>
  </si>
  <si>
    <t>тяга продольная правая в сборе AZ9731430020</t>
  </si>
  <si>
    <t>тяга рулевая поперечная   AZ9112430003</t>
  </si>
  <si>
    <t>тяга рулевая поперечная   AZ9731430002</t>
  </si>
  <si>
    <t>тяга рулевая поперечная в сборе AZ9731430018</t>
  </si>
  <si>
    <t>тяга рулевая продольная (второй оси) AZ9731430030</t>
  </si>
  <si>
    <t>тяга рулевая продольная 1 изгиб   AZ9731430040</t>
  </si>
  <si>
    <t>цилиндр поворота 2-й оси (малый) WG9014470008</t>
  </si>
  <si>
    <t>шайба шкворня регулировочная 1880410104</t>
  </si>
  <si>
    <t>шкворень   1880410031</t>
  </si>
  <si>
    <t>199112410057-XLB-CK А+</t>
  </si>
  <si>
    <t>шкворень комплект на ось 1 й ремонт лучшее качество 199112410057-XLB-CK А+</t>
  </si>
  <si>
    <t>199112410057-XLB-CK</t>
  </si>
  <si>
    <t>шкворень комплект на ось лучшее качество 199112410057-XLB-CK</t>
  </si>
  <si>
    <t>шкворень комплект на ось лучшее качество 3001044-4Е-XLB-CK</t>
  </si>
  <si>
    <t>шкворень комплект на ось лучшее качество 81.44205.0057XLB-CK</t>
  </si>
  <si>
    <t>AZ1880410031-CK</t>
  </si>
  <si>
    <t>шкворень лучшее качество AZ1880410031-CK</t>
  </si>
  <si>
    <t>шкворневой комплект  1880410031KIT</t>
  </si>
  <si>
    <t>шланг соеденительный гидроусилителя руля WG9100470107</t>
  </si>
  <si>
    <t>стартеры и генераторы HOWO</t>
  </si>
  <si>
    <t>бендикс стартера 11 зубов BEND10-ISKRA-MP</t>
  </si>
  <si>
    <t>бендикс стартера 11 зубов BEND11-ISKRA-MP</t>
  </si>
  <si>
    <t>бендикс стартера 2006382019</t>
  </si>
  <si>
    <t>бендикс стартера 612600090293-DXQ</t>
  </si>
  <si>
    <t>болт натяжитель ремня генератора VG1500090026</t>
  </si>
  <si>
    <t>болт натяжитель ремня генератора VG1500090039</t>
  </si>
  <si>
    <t>генератор VG1500090010</t>
  </si>
  <si>
    <t>генератор под клиновой ремень VG1500090019</t>
  </si>
  <si>
    <t>генератор под клиновой ремень VG1560090010</t>
  </si>
  <si>
    <t>генератор под ручейковый ремень VG1560090012</t>
  </si>
  <si>
    <t>VG1500130018</t>
  </si>
  <si>
    <t>кронштейн генератора VG1500130018</t>
  </si>
  <si>
    <t>реле втягивающее стартера 612600090293-DCKG-CK</t>
  </si>
  <si>
    <t>реле стартера лучшее качество 612600090293-JDQ</t>
  </si>
  <si>
    <t>612600090248/259/352-XLB</t>
  </si>
  <si>
    <t>ремкомплект генератора лучшее качество 612600090248/259/352-XLB</t>
  </si>
  <si>
    <t>стартер  (оригинал) 10зубов VG1560090001</t>
  </si>
  <si>
    <t>стартер  (оригинал) 10зубов VG1560090001 лучшее качество</t>
  </si>
  <si>
    <t>стартер 10 з 612600090210  QDJ287B</t>
  </si>
  <si>
    <t>стартер 10 зубов сапог VG2600090210</t>
  </si>
  <si>
    <t>стартер 11 з QD2745-61500090029</t>
  </si>
  <si>
    <t>стартер 11 зубов VG1560090001 11</t>
  </si>
  <si>
    <t>стартер 11 зубов сапог VG2600090029</t>
  </si>
  <si>
    <t>стартер 7,5 кВт (10 зубьев) VG1560090001 10Z</t>
  </si>
  <si>
    <t>стартер 7,5 кВт (11 зубьев) VG1560090001 11Z</t>
  </si>
  <si>
    <t>шестерня стартера (бендикс) 10 зубов VG2600090210-1</t>
  </si>
  <si>
    <t>стекла HOWO</t>
  </si>
  <si>
    <t>накладка лобового стекла внешняя правая</t>
  </si>
  <si>
    <t>поводок стеклоочистителя</t>
  </si>
  <si>
    <t>стекло заднее кабины WG1642710005</t>
  </si>
  <si>
    <t>стекло левой двери (бумеранг) кабины WG1642350003</t>
  </si>
  <si>
    <t>стекло левой двери кабины AZ1642330060</t>
  </si>
  <si>
    <t>стекло лобовое  (ветровое) хово WG1642710001</t>
  </si>
  <si>
    <t>стекло правой двери (бумеранг) кабины WG1642350004</t>
  </si>
  <si>
    <t>стекло правой двери кабины AZ1642330061</t>
  </si>
  <si>
    <t>стекло фары  левой WG9719720001-1</t>
  </si>
  <si>
    <t>стекло фары правой WG9719720002-1</t>
  </si>
  <si>
    <t>уплотнение стекла левой двери WG1642350001</t>
  </si>
  <si>
    <t>уплотнение стекла правой двери WG1642350002</t>
  </si>
  <si>
    <t>уплотнитель заднего стекла WG1642710006</t>
  </si>
  <si>
    <t>уплотнитель лобового стекла WG1642710002</t>
  </si>
  <si>
    <t>сцепление HOWO</t>
  </si>
  <si>
    <t>бачок цилиндра сцепления главного WG9719230014</t>
  </si>
  <si>
    <t>вал вилки включения сцепления лучшее качество 99112230033-CK</t>
  </si>
  <si>
    <t>вал вилки выключения  сцепления JS180-1601023-1</t>
  </si>
  <si>
    <t>вал вилки выключения сцепления 199112230033</t>
  </si>
  <si>
    <t>вилка выключения сцепления 2159302009</t>
  </si>
  <si>
    <t>вилка выключения сцепления JS180-1601021-2</t>
  </si>
  <si>
    <t>диск сцепления 420 WG1560161130</t>
  </si>
  <si>
    <t>диск сцепления 420 WG1560161130 лучшее качество</t>
  </si>
  <si>
    <t>диск сцепления 420 другой вид WG1560161130\1</t>
  </si>
  <si>
    <t>диск сцепления 430 WG9114160020</t>
  </si>
  <si>
    <t>диск сцепления 9114160020</t>
  </si>
  <si>
    <t>диск сцепления DZ1560160014 лучшее качество</t>
  </si>
  <si>
    <t>диск сцепления лучшее качество DZ1560160020-CK</t>
  </si>
  <si>
    <t>клапан четырехконтурный WG9000360366/2</t>
  </si>
  <si>
    <t>кольцо корзины сцепления упорное 420 ( пятак) BZ1560161212</t>
  </si>
  <si>
    <t>корзина сцепления 430 отжимная  WG9114160011</t>
  </si>
  <si>
    <t>корзина сцепления 430 отжимная WG9114160010</t>
  </si>
  <si>
    <t>корзина сцепления в сборе 420 нажимная  BZ1560161090</t>
  </si>
  <si>
    <t>корзина сцепления в сборе 430 нажимная  DZ9114160028</t>
  </si>
  <si>
    <t>корзина сцепления в сборе 430 нажимная DZ9114160026</t>
  </si>
  <si>
    <t>корпус (картер) сцепления 15410-17</t>
  </si>
  <si>
    <t>корпус (картер) сцепления 2159302008</t>
  </si>
  <si>
    <t>корпус (картер) сцепления JS180-1601015-5</t>
  </si>
  <si>
    <t>кронштейн крепления ПГУ сцепления AZ9114230016</t>
  </si>
  <si>
    <t>кронштейн крепления педалей сцепления и тормоза AZ9719360072</t>
  </si>
  <si>
    <t>кронштейн педали сцепления и тормоза AZ9719360050</t>
  </si>
  <si>
    <t>муфта выжимного подшипника 420 11203</t>
  </si>
  <si>
    <t>ПГУ  108 мм (корзина 430) WG9719230025</t>
  </si>
  <si>
    <t>ПГУ  90  мм (корзина 420) WG9114230023</t>
  </si>
  <si>
    <t>ПГУ 102 мм (корзина 430) WG9114230018</t>
  </si>
  <si>
    <t>ПГУ 90  мм (корзина 420) WG9114230029</t>
  </si>
  <si>
    <t>ПГУ ШС лучшее качество DZ9112230166-CK</t>
  </si>
  <si>
    <t>AZ97119230045</t>
  </si>
  <si>
    <t>педаль сцепления в сборе AZ97119230045</t>
  </si>
  <si>
    <t>педаль сцепления в сборе AZ9725360002</t>
  </si>
  <si>
    <t>пластина держатель вилки сцепления JS180-1601024-2</t>
  </si>
  <si>
    <t>подшипник вала сцепления GB304-64UC25</t>
  </si>
  <si>
    <t>подшипник выжимной 420 без муфты 11203 996914</t>
  </si>
  <si>
    <t>подшипник выжимной 420 в сборе с муфтой 11203 996914+11203</t>
  </si>
  <si>
    <t>подшипник выжимной 57 мм лучшее качество 85CT5787F2-CK</t>
  </si>
  <si>
    <t>подшипник выжимной в сборе 430 5787 5787</t>
  </si>
  <si>
    <t>подшипник выжимной в сборе 430 DZ9114160035\6395</t>
  </si>
  <si>
    <t>подшипник выжимной в сборе 430обратный выжим  AZ9114160030</t>
  </si>
  <si>
    <t>подшипник выжимной в сборе 430прямой выжим  WG9012210078</t>
  </si>
  <si>
    <t>пружина муфты выжимного подшипника  4425 (4424)</t>
  </si>
  <si>
    <t>пружина оттяжная педали сцепления 12054230100</t>
  </si>
  <si>
    <t>пружина оттяжная педали сцепления AZ9719230009</t>
  </si>
  <si>
    <t>пружина оттяжного рычага (прижим) BZ1560161084</t>
  </si>
  <si>
    <t>ремкомплект главного цилиндра сцепления 199100360736-H10</t>
  </si>
  <si>
    <t>ремкомплект главного цилиндра сцепления WG9719230015-1</t>
  </si>
  <si>
    <t>ремкомплект ПГУ  199100360736-H11</t>
  </si>
  <si>
    <t>ремкомплект ПГУ  199100360736-H12</t>
  </si>
  <si>
    <t>рычаг включения сцепления AZ9114230004</t>
  </si>
  <si>
    <t>толкатель главного цилиндра сцепления AZ9719230016</t>
  </si>
  <si>
    <t>цилиндр сцепления главный  WG9719230013</t>
  </si>
  <si>
    <t>цилиндр сцепления главный  WG9719230013 лучшее качество</t>
  </si>
  <si>
    <t>цилиндр сцепления главный WG9719230015</t>
  </si>
  <si>
    <t>DZ9114230022+21-CK</t>
  </si>
  <si>
    <t>цилиндр сцепления главный лучшее качество DZ9114230022+21-CK</t>
  </si>
  <si>
    <t>цилиндр сцепления рабочий WG9719230011</t>
  </si>
  <si>
    <t>шланг для смазки выжимного подшипника  51016</t>
  </si>
  <si>
    <t>шланг для смазки выжимного подшипника 200614</t>
  </si>
  <si>
    <t>шланг сцепления (гидропровод масляный) WG9719230027</t>
  </si>
  <si>
    <t>топливная система HOWO</t>
  </si>
  <si>
    <t>болт полый топливный л34 д13 190003962621</t>
  </si>
  <si>
    <t>датчик температуры топлива Евро 3 R615400090005</t>
  </si>
  <si>
    <t>WG9112550129</t>
  </si>
  <si>
    <t>датчик уровня топлива бака 380л две трубы (топливозаборник) WG9112550129</t>
  </si>
  <si>
    <t>датчик уровня топлива бака две трубы (топливозаборник) -A7 WG992555002</t>
  </si>
  <si>
    <t>WG9112550131</t>
  </si>
  <si>
    <t>датчик уровня топлива бака две трубы (топливозаборник) WG9112550131</t>
  </si>
  <si>
    <t>VG1540080021E</t>
  </si>
  <si>
    <t>держатель форсунки  VG1540080021E</t>
  </si>
  <si>
    <t>зажим инжектора  VG15400080094A</t>
  </si>
  <si>
    <t>инжектор тнвд  насоса трубка блока Евро 3 комплект  R611540080016</t>
  </si>
  <si>
    <t>клапан обратки ТНВД VG2600080213 лучшее качество</t>
  </si>
  <si>
    <t>клапан перепускной (топливный клапан) VG1540080022</t>
  </si>
  <si>
    <t>колпачек маслосъемный VG2600040114 лучшее качество</t>
  </si>
  <si>
    <t>кольцо уплотнительное форсунки  VG1540080018A</t>
  </si>
  <si>
    <t>крепление (сиденье) фильтра топливного VG1560080014</t>
  </si>
  <si>
    <t>кроншнейн ТНВД 614080074</t>
  </si>
  <si>
    <t>кронштейн тнвд  VG14080074</t>
  </si>
  <si>
    <t>кронштейн тнвд Евро 2  VG1500080174</t>
  </si>
  <si>
    <t>кронштейн топливного бака AZ9112550220</t>
  </si>
  <si>
    <t>кронштейн топливного фильтра VG14080295A-Z</t>
  </si>
  <si>
    <t>крышка топливного бака  AZ9112550210-2</t>
  </si>
  <si>
    <t>крышка топливного бака (с замком) 9910055005</t>
  </si>
  <si>
    <t>YXG0608-CK</t>
  </si>
  <si>
    <t>крышка топливного бака лучшее качество YXG0608-CK</t>
  </si>
  <si>
    <t>лента крепежная топливного бака AZ9112550225</t>
  </si>
  <si>
    <t>муфта привода тнвд VG1560080275</t>
  </si>
  <si>
    <t>муфта привода тнвд Евро 3  VG1540080300</t>
  </si>
  <si>
    <t>муфта приводатнвд Евро 2 VG1560080277</t>
  </si>
  <si>
    <t>насос подкачки топлива ТННД лучшее качество 614080719-CK</t>
  </si>
  <si>
    <t>VG154008000413</t>
  </si>
  <si>
    <t>пластина муфты привода  тнвд  VG154008000413</t>
  </si>
  <si>
    <t>пластина муфты привода  тнвд квадратная  VG1560080219</t>
  </si>
  <si>
    <t>пластина муфты привода  тнвд квадратная  VG1560080219 лучшее качество</t>
  </si>
  <si>
    <t>плунжерная пара  (ЕВрО2)  X1700S</t>
  </si>
  <si>
    <t>плунжерная пара  X170S</t>
  </si>
  <si>
    <t>подушка фильтра топливного VG1092080035</t>
  </si>
  <si>
    <t>подушка фильтра топливного VG109280034</t>
  </si>
  <si>
    <t>подушка фильтра топливного Евро 3 VG101280036</t>
  </si>
  <si>
    <t>привод ТНВД VG1560080300</t>
  </si>
  <si>
    <t>прокладка кронштейна топливного бака AZ9112550226</t>
  </si>
  <si>
    <t>распылитель  DLLA155P180</t>
  </si>
  <si>
    <t>распылитель DLLA 155P179</t>
  </si>
  <si>
    <t>DLLA 155P137</t>
  </si>
  <si>
    <t>распылитель форсунки  DLLA 155P137</t>
  </si>
  <si>
    <t>распылитель форсунки ( 290 лс ) 61560080255</t>
  </si>
  <si>
    <t>распылитель форсунки ( 290 лс ) DELFI-L204</t>
  </si>
  <si>
    <t>DELPHI-203</t>
  </si>
  <si>
    <t>распылитель форсунки ( от 300 лс ) DELPHI-203</t>
  </si>
  <si>
    <t>распылитель форсунки 204  VG1560080305-1</t>
  </si>
  <si>
    <t>DLLA155P217</t>
  </si>
  <si>
    <t>распылитель форсунки 371 л.с.  DLLA155P217</t>
  </si>
  <si>
    <t>распылитель форсунки 965  R61540080017A-1</t>
  </si>
  <si>
    <t>распылитель форсунки лучшее качество DLLA 155P179-CK</t>
  </si>
  <si>
    <t>199100360736-H7</t>
  </si>
  <si>
    <t>ремкомплект прокладок тнвд  199100360736-H7</t>
  </si>
  <si>
    <t>ремкомплект прокладок ТНВД 615600810701</t>
  </si>
  <si>
    <t>ремкомплект ТНВД RKIP61550</t>
  </si>
  <si>
    <t>сальник крышки вала ТНВД наружный 48х62х8 90003070092</t>
  </si>
  <si>
    <t>сальник форсунки Хово Евро-3  VG1540040022A</t>
  </si>
  <si>
    <t>стакан форсунки  61560040049</t>
  </si>
  <si>
    <t>стакан форсунки  VG2600040099</t>
  </si>
  <si>
    <t>стакан форсунки д12  VG1246040016</t>
  </si>
  <si>
    <t>стакан форсунки Евро 3  VG1540040009</t>
  </si>
  <si>
    <t>тнвд топливный насос высокого давления R61540080101</t>
  </si>
  <si>
    <t>тнвд топливный насос высокого давления VG15600083162</t>
  </si>
  <si>
    <t>тнвд топливный насос высокого давления VG1560080021</t>
  </si>
  <si>
    <t>тнвд топливный насос высокого давления VG1560080022</t>
  </si>
  <si>
    <t>тнвд топливный насос высокого давления VG1560080023</t>
  </si>
  <si>
    <t>тнвд топливный насос высокого давления VG1560080302</t>
  </si>
  <si>
    <t>тнвд топливный насос высокого давления VG1560083151</t>
  </si>
  <si>
    <t>топливная трубка (топливопровод) VG1560070060</t>
  </si>
  <si>
    <t>топливная трубка (топливопровод) VG1560080038</t>
  </si>
  <si>
    <t>топливная трубка от фильтров до тнвд VG1560080018</t>
  </si>
  <si>
    <t>топливная форсунка VG1560080276</t>
  </si>
  <si>
    <t>топливная форсунка Евро 2 VG1560080305</t>
  </si>
  <si>
    <t>топливная форсунка Евро 3 R61540080017A</t>
  </si>
  <si>
    <t>топливный бак 380л AZ9112550210</t>
  </si>
  <si>
    <t>топливный бак 400л WG9725550006</t>
  </si>
  <si>
    <t>топливный фильтр VG1540080110</t>
  </si>
  <si>
    <t>топливный фильтр VG1540080211</t>
  </si>
  <si>
    <t>топливный фильтр с кронштейном VG14080295A</t>
  </si>
  <si>
    <t>трос акселератора (газа) WG9725570001 лучшее качество</t>
  </si>
  <si>
    <t>трубка высокого давления ТНВД на форсунки 61560080278</t>
  </si>
  <si>
    <t>трубка масла тнвд  VG1560070025</t>
  </si>
  <si>
    <t>трубка обратки топлива VG61500080095</t>
  </si>
  <si>
    <t>трубка тнвд комплект  VG1246080001\VG1540080093</t>
  </si>
  <si>
    <t>трубка топливная (топливопровод) VG1047080005</t>
  </si>
  <si>
    <t>трубка топливная (топливопровод) VG1560080017</t>
  </si>
  <si>
    <t>трубка топливная (топливопровод) VG1560087018</t>
  </si>
  <si>
    <t>трубка топливная VG1540080093</t>
  </si>
  <si>
    <t>трубка топливная VG1540080094</t>
  </si>
  <si>
    <t>трубка топливная к-т  тнвд (ЕВРО2) VG1560080278A</t>
  </si>
  <si>
    <t>трубка топливная обратки VG1099089065</t>
  </si>
  <si>
    <t>трубка топливная рециркуляции отработавших газов VG1092080017</t>
  </si>
  <si>
    <t>трубки тнвд топливная магистраль Евро 3 VG1540080040</t>
  </si>
  <si>
    <t>трубки тнвд топливная магистраль Евро 3 VG1557080036</t>
  </si>
  <si>
    <t>фланец регулировки угла на тнвд  61560080194</t>
  </si>
  <si>
    <t>форсунка топливная 61560080276</t>
  </si>
  <si>
    <t>шланг маслянный тнвд 400мм  VG1560070011A</t>
  </si>
  <si>
    <t>шланг маслянный тнвд 600мм  VG1560070012A</t>
  </si>
  <si>
    <t>шланг обратки топлива 61500080095</t>
  </si>
  <si>
    <t>тормозная система HOWO</t>
  </si>
  <si>
    <t>барабан тормозной задний AZ9112340006</t>
  </si>
  <si>
    <t>барабан тормозной задний AZ9118340006</t>
  </si>
  <si>
    <t>барабан тормозной передний  AZ9112440001</t>
  </si>
  <si>
    <t>вал тормозной задний левый   AZ9199112340026</t>
  </si>
  <si>
    <t>вал тормозной задний левый AZ199112340026</t>
  </si>
  <si>
    <t>вал тормозной задний правый   AZ9199112340027</t>
  </si>
  <si>
    <t>вал тормозной кулачковый передний левый 199100440001</t>
  </si>
  <si>
    <t>вал тормозной кулачковый передний правый 199100440002</t>
  </si>
  <si>
    <t>вал тормозной передний левый  AZ199100440001</t>
  </si>
  <si>
    <t>вал тормозной передний правый   AZ199100440002</t>
  </si>
  <si>
    <t>втулка кулака разжимного AZ9100340017</t>
  </si>
  <si>
    <t>втулка кулака разжимного WG9100340017</t>
  </si>
  <si>
    <t>втулка оси колодки проходная 1880340016</t>
  </si>
  <si>
    <t>WG880440016</t>
  </si>
  <si>
    <t>втулка тормозной колодки WG880440016</t>
  </si>
  <si>
    <t>втулка тормозной колодки передней  WG880440006</t>
  </si>
  <si>
    <t>выхлопной тормозной клапан в сборе (горный тормоз) WG9725541041</t>
  </si>
  <si>
    <t>выхлопной тормозной клапан в сборе (горный тормоз) WG9725541042</t>
  </si>
  <si>
    <t>датчик нажатия педали тормоза 7654321</t>
  </si>
  <si>
    <t>диск опорный задних тормозных колодок   AZ9107340062</t>
  </si>
  <si>
    <t>заклепка тормозной колодки 189000340068</t>
  </si>
  <si>
    <t>камера тормозная задняя WG9000360108</t>
  </si>
  <si>
    <t>клапан ABS электромагнитный 3550ADQ-010</t>
  </si>
  <si>
    <t>WG9100360001</t>
  </si>
  <si>
    <t>клапан поднятия кабины (с ручкой ) WG9100360001</t>
  </si>
  <si>
    <t>клапан тормозной воздушный WG9000360134</t>
  </si>
  <si>
    <t>клапан тормозной воздушный четырехконтурный WG9000360366</t>
  </si>
  <si>
    <t>WG971971001</t>
  </si>
  <si>
    <t>кнопка горного тормоза WG971971001</t>
  </si>
  <si>
    <t>кожух пылезащитный переднего тормоза 1880440007</t>
  </si>
  <si>
    <t>AZ9231342010</t>
  </si>
  <si>
    <t>колодка толрмознаяя задняя хово AZ9231342010</t>
  </si>
  <si>
    <t>колодка тормозная задняя 199000340061</t>
  </si>
  <si>
    <t>колодка тормозная передняя   199000440031</t>
  </si>
  <si>
    <t>компресор двухцилиндровый воздушный VG1560130080</t>
  </si>
  <si>
    <t>компрессор одноцилиндровый в сборе VG1560130070</t>
  </si>
  <si>
    <t>кран ручного (стояночного) тормоза WG9000360165</t>
  </si>
  <si>
    <t>кронштейн кулака разжимного заднего 199014340041</t>
  </si>
  <si>
    <t>кронштейн тормозного цилиндра   199014340042</t>
  </si>
  <si>
    <t>крышка шестерни компрессора VG1560010069</t>
  </si>
  <si>
    <t>крышка шестерни компрессора VG2600010830</t>
  </si>
  <si>
    <t>кулак разжимной задний левый AZ9231340226</t>
  </si>
  <si>
    <t>кулак разжимной задний правый AZ9231340227</t>
  </si>
  <si>
    <t>WG9100360303-XLB</t>
  </si>
  <si>
    <t>мембрана енергоаккумулятора WG9100360303-XLB</t>
  </si>
  <si>
    <t>мембрана тормозной камеры/энергоаккумулятора (рем. комплект)  9910036936</t>
  </si>
  <si>
    <t>накладка тормозная задняя   AZ9231342061</t>
  </si>
  <si>
    <t>накладка тормозная задняя (лучшее качество) WG9200340068A</t>
  </si>
  <si>
    <t>накладка тормозная задняя 14 отв лучшее качество WG9231342068-CK</t>
  </si>
  <si>
    <t>накладка тормозная задняя WG9200340068</t>
  </si>
  <si>
    <t>накладка тормозная задняя WG9200340068-RED</t>
  </si>
  <si>
    <t>накладка тормозная задняя лучшее качество WG92200340068-CK</t>
  </si>
  <si>
    <t>накладка тормозная передняя   WG9100440027</t>
  </si>
  <si>
    <t>накладка тормозная передняя   WG9100440027 лучшее качество</t>
  </si>
  <si>
    <t>накладка тормозная передняя верхняя (лучшее качество) WG9100440027A</t>
  </si>
  <si>
    <t>накладка тормозная передняя нижняя (лучшее качество)WG9100440029A</t>
  </si>
  <si>
    <t>накладка тормозная передняя нижняя WG9100440029</t>
  </si>
  <si>
    <t>накладка тормозная передняя нижняя WG9100440029 лучшее качество</t>
  </si>
  <si>
    <t>опорный палец тормозной колодки с гайками 1880410038</t>
  </si>
  <si>
    <t>ось задней колодки (суппорта)   199000340064-1</t>
  </si>
  <si>
    <t>ось задней колодки (суппорта) 199000340064</t>
  </si>
  <si>
    <t>палец стяжной пружины 1880440032</t>
  </si>
  <si>
    <t>поршень 1-цилиндрового компрессора VG1560130070-1</t>
  </si>
  <si>
    <t>поршень 2-цилиндрового компрессора VG1560130080-1</t>
  </si>
  <si>
    <t>AZ199112340049</t>
  </si>
  <si>
    <t>пржина тормозных колодок (короткая) AZ199112340049</t>
  </si>
  <si>
    <t>пружина стяжная на передние колодки AZ9100440060</t>
  </si>
  <si>
    <t>AZ9100440060-1</t>
  </si>
  <si>
    <t>пружина тормозной колодки задняя с прямым участком AZ9100440060-1</t>
  </si>
  <si>
    <t>пружина тормозной колодки малая 199112340049</t>
  </si>
  <si>
    <t>пружина тормозных колодок длинная 235мм AZ9100340012</t>
  </si>
  <si>
    <t>ремкомплект камеры тормозной задней 08072014/2</t>
  </si>
  <si>
    <t>ремкомплект компрессора 1-цилиндр VG1560130070-XLB</t>
  </si>
  <si>
    <t>ремкомплект компрессора 2-цилиндра VG1560130080-XLB</t>
  </si>
  <si>
    <t>ремкомплект компрессора VG1560130070-H26</t>
  </si>
  <si>
    <t>ремкомплект компрессора воздушного 1 ц AZ1560130070-XLB</t>
  </si>
  <si>
    <t>ремкомплект компрессора1 ц лучшее качество</t>
  </si>
  <si>
    <t>ремкомплект тормозмого клапана WG9719820002-XLB</t>
  </si>
  <si>
    <t>ремкомплект энергоаккумулятора 199100360736</t>
  </si>
  <si>
    <t>ресивер воздушный   WG9003550098</t>
  </si>
  <si>
    <t>ресивер воздушный  WG9014362117</t>
  </si>
  <si>
    <t>ролик тормозной колодки  AZ199000340027</t>
  </si>
  <si>
    <t>AZ19900034027</t>
  </si>
  <si>
    <t>ролик тормозной колодки  AZ19900034027</t>
  </si>
  <si>
    <t>ролик тормозных колодок 199000340027</t>
  </si>
  <si>
    <t>ручное управление клапаном WG9719360030</t>
  </si>
  <si>
    <t>рычаг регулировки тормозов (трещотка) задняя левая ( автомат) WG9100340061</t>
  </si>
  <si>
    <t>рычаг регулировки тормозов (трещотка) задняя левая 99000340056A</t>
  </si>
  <si>
    <t>рычаг регулировки тормозов (трещотка) задняя левая 99000340056A 2</t>
  </si>
  <si>
    <t>рычаг регулировки тормозов (трещотка) задняя левая автоматическая 99000340056A 1</t>
  </si>
  <si>
    <t>рычаг регулировки тормозов (трещотка) задняя левая механическая WG9100340057</t>
  </si>
  <si>
    <t>рычаг регулировки тормозов (трещотка) задняя левая механическая WG9100340057 лучшее качество</t>
  </si>
  <si>
    <t>рычаг регулировки тормозов (трещотка) задняя правая ( автомат) WG9100340060</t>
  </si>
  <si>
    <t>рычаг регулировки тормозов (трещотка) задняя правая автоматическая 99000340057A</t>
  </si>
  <si>
    <t>рычаг регулировки тормозов (трещотка) задняя правая автоматическая 99000340057A 1</t>
  </si>
  <si>
    <t>рычаг регулировки тормозов (трещотка) задняя правая механическая WG9100340056</t>
  </si>
  <si>
    <t>рычаг регулировки тормозов (трещотка) задняя правая механическая WG9100340056 лучшее качество</t>
  </si>
  <si>
    <t>рычаг регулировки тормозов (трещотка) передняя AZ9100440005</t>
  </si>
  <si>
    <t>рычаг регулировки тормозов (трещотка) передняя AZ9100440005 лучшее качество</t>
  </si>
  <si>
    <t>рычаг регулировки тормозов (трещотка) передняя автоматическая WG9100440023</t>
  </si>
  <si>
    <t>рычаг регулировки тормозов (трещотка) передняя левая AZ9100440005л</t>
  </si>
  <si>
    <t>рычаг регулировки тормозов (трещотка) передняя левая лучшее качество</t>
  </si>
  <si>
    <t>рычаг регулировки тормозов (трещотка) передняя правая AZ9100440005пр</t>
  </si>
  <si>
    <t>рычаг регулировки тормозов (трещотка) передняя правая лучшее качество</t>
  </si>
  <si>
    <t>сальник компресора 32X52X7 601835</t>
  </si>
  <si>
    <t>тормозной кран главный WG9719360005</t>
  </si>
  <si>
    <t>фитинг впускного патрубка компрессора VG1560130035</t>
  </si>
  <si>
    <t>цилиндра горного тормоза WG9719180010</t>
  </si>
  <si>
    <t>шатун компрессора VG1560130070-2</t>
  </si>
  <si>
    <t>шатун компрессора VG1560130080-2</t>
  </si>
  <si>
    <t>шестерня компрессора VG1560130012</t>
  </si>
  <si>
    <t>шестерня привода компрессора  6126000130173</t>
  </si>
  <si>
    <t>шланг масланый обратки компрессора VG1246110055</t>
  </si>
  <si>
    <t>шланг маслянный компрессора VG1560070050</t>
  </si>
  <si>
    <t>шланг тормозной  WG17017360450</t>
  </si>
  <si>
    <t>шланг тормозной  WG17017360460</t>
  </si>
  <si>
    <t>шланг тормозной WG17017360480</t>
  </si>
  <si>
    <t>шланг тормозной задний WG17017360470</t>
  </si>
  <si>
    <t>штуцер-клапан ресивера   WG9000360314</t>
  </si>
  <si>
    <t>энергоаккумулятор длинный шток задний мост WG9100360303</t>
  </si>
  <si>
    <t>энергоакумулятор с длинным штоком  WG99100360303</t>
  </si>
  <si>
    <t>фильтр HOWO</t>
  </si>
  <si>
    <t>VG2600010267</t>
  </si>
  <si>
    <t>влагоотделитель ,сапун,сепаратор масла VG2600010267</t>
  </si>
  <si>
    <t>влагоотделитель в сборе (клапан осушитель воздуха)  WG9100368471</t>
  </si>
  <si>
    <t>влагоотделитель, сапун,сепаратор масла VG1500019045A</t>
  </si>
  <si>
    <t>кронштейн топливного фильтра тонкой очистки VG1540080110-Z</t>
  </si>
  <si>
    <t>VG9100368471</t>
  </si>
  <si>
    <t>кронштейн фильтра влагоотделителя VG9100368471</t>
  </si>
  <si>
    <t>кронштейн фильтра воздушного  AZ9725190065</t>
  </si>
  <si>
    <t>кронштейн фильтра маслянного  VG1500070051</t>
  </si>
  <si>
    <t>кронштейн фильтра основание сепаратора с подкачкой 1611653231</t>
  </si>
  <si>
    <t>WG9100368470</t>
  </si>
  <si>
    <t>фильтр влагомаслоотделителя (патрон осушителя) WG9100368470</t>
  </si>
  <si>
    <t>AZ9625190019+001</t>
  </si>
  <si>
    <t>фильтр воздушный (фильтр-картридж воздушный грубой очистки маслонаполненный) AZ9625190019+001</t>
  </si>
  <si>
    <t>WG9725190102103</t>
  </si>
  <si>
    <t>фильтр воздушный (элемент) WG9725190102103</t>
  </si>
  <si>
    <t>VG199012190138</t>
  </si>
  <si>
    <t>фильтр воздушный 2-х секц. Большой  VG199012190138</t>
  </si>
  <si>
    <t>фильтр воздушный WG9719190001</t>
  </si>
  <si>
    <t>фильтр воздушный WG9719190001-1</t>
  </si>
  <si>
    <t>фильтр воздушный WG97251901505</t>
  </si>
  <si>
    <t>ФЕВ-045</t>
  </si>
  <si>
    <t>фильтр воздушный ФЕВ-045  ( ХОВО Е-2)</t>
  </si>
  <si>
    <t>фильтр масляный  61000070005</t>
  </si>
  <si>
    <t>WG1540070007</t>
  </si>
  <si>
    <t>фильтр масляный  WG1540070007</t>
  </si>
  <si>
    <t>фильтр масляный 1174421</t>
  </si>
  <si>
    <t>фильтр масляный VG1540070007</t>
  </si>
  <si>
    <t>фильтр масляный VG61000070005</t>
  </si>
  <si>
    <t>фильтр масляный VG6100070005</t>
  </si>
  <si>
    <t>фильтр масляный в сборе VG1800070051</t>
  </si>
  <si>
    <t>AZ1560080012</t>
  </si>
  <si>
    <t>фильтр топливный  AZ1560080012</t>
  </si>
  <si>
    <t>фильтр топливный  VG14080740A</t>
  </si>
  <si>
    <t>фильтр топливный  VG15400800311</t>
  </si>
  <si>
    <t>фильтр топливный  VG1540080311</t>
  </si>
  <si>
    <t>фильтр топливный (элемент фильтра грубой очистки) WG9725550002-1</t>
  </si>
  <si>
    <t>33690Е</t>
  </si>
  <si>
    <t>фильтр топливный 33690Е</t>
  </si>
  <si>
    <t>фильтр топливный VG14080739</t>
  </si>
  <si>
    <t>фильтр топливный VG14080740</t>
  </si>
  <si>
    <t>фильтр топливный VG1540080310</t>
  </si>
  <si>
    <t>PL420х</t>
  </si>
  <si>
    <t>фильтр топливный сепаратора PL420х</t>
  </si>
  <si>
    <t>фильтр топливный тонкой очистки VG1560080012</t>
  </si>
  <si>
    <t>фильтр топнивный (элемент фильтра-сепаратора грубой очистки) WG9725550002</t>
  </si>
  <si>
    <t>электрика HOWO</t>
  </si>
  <si>
    <t>блок аккумулятора AZ9125760004</t>
  </si>
  <si>
    <t>блок предохранителей и реле WG9716580021</t>
  </si>
  <si>
    <t>блок реле и предохранителей WG9719581023/1</t>
  </si>
  <si>
    <t>блок управления бортовым компьютером (левый) WG9719580001</t>
  </si>
  <si>
    <t>блок управления бортовым компьютером (правый) в сборе WG9719581022</t>
  </si>
  <si>
    <t>блок управления климат-контролем  WG1630840323</t>
  </si>
  <si>
    <t>блок управления печкой и кондиционером (климат контролем) WG1630840322</t>
  </si>
  <si>
    <t>выключатель лампы двери WG9719790001</t>
  </si>
  <si>
    <t>выключатель массы WG9100760100</t>
  </si>
  <si>
    <t>выключатель массы WG9100760101</t>
  </si>
  <si>
    <t>датчик ABS  WG9160710522</t>
  </si>
  <si>
    <t>датчик включения блокировки 179100710003/WG9100710003</t>
  </si>
  <si>
    <t>датчик включения блокировки мостов   WG9100710003</t>
  </si>
  <si>
    <t>датчик давления воздуха  WG9130713001</t>
  </si>
  <si>
    <t>датчик давления воздуха WG9100710004</t>
  </si>
  <si>
    <t>датчик давления входного воздуха R61540090003</t>
  </si>
  <si>
    <t>датчик давления входного воздуха R61540090007</t>
  </si>
  <si>
    <t>датчик давления масла  VG1500090051</t>
  </si>
  <si>
    <t>датчик давления масла  VG1540090035</t>
  </si>
  <si>
    <t>датчик давления масла VG1500090060</t>
  </si>
  <si>
    <t>датчик засоренности WG1200190040</t>
  </si>
  <si>
    <t>5S150GP</t>
  </si>
  <si>
    <t>датчик на задний ход  5S150GP</t>
  </si>
  <si>
    <t>датчик нейтральной передачи 99012710041</t>
  </si>
  <si>
    <t>датчик положения коленчатого вала WG1557090013</t>
  </si>
  <si>
    <t>датчик скорости коленвала R61540090008</t>
  </si>
  <si>
    <t>датчик спидометра  WG9100583056</t>
  </si>
  <si>
    <t>WG69100583058</t>
  </si>
  <si>
    <t>датчик спидометра (4 контакта) WG69100583058</t>
  </si>
  <si>
    <t>датчик спидометра 4 контактный WG9100583058</t>
  </si>
  <si>
    <t>датчик спидометра A5065402107</t>
  </si>
  <si>
    <t>датчик стоп сигнала WG9100710006</t>
  </si>
  <si>
    <t>7К20</t>
  </si>
  <si>
    <t>датчик температуры 7к20</t>
  </si>
  <si>
    <t>датчик температуры воды  VG1500090061</t>
  </si>
  <si>
    <t>датчик температуры воды 1614090067</t>
  </si>
  <si>
    <t>датчик температуры охлаждающей жидкости  R61540090004</t>
  </si>
  <si>
    <t>датчик температуры салона (печки) с проводом и фишкой WG1630820313</t>
  </si>
  <si>
    <t>динамик звукового сигнала (клаксона) WG9718710002</t>
  </si>
  <si>
    <t>клавиша блокировки МОД WG9719582012</t>
  </si>
  <si>
    <t>WG9719582010</t>
  </si>
  <si>
    <t>клавиша выключения МОД WG9719582010</t>
  </si>
  <si>
    <t>клавиша нейтральной передачи КОМ WG9719582009</t>
  </si>
  <si>
    <t>клапан электромагнитный (двойной разъем) WG9100710008 2</t>
  </si>
  <si>
    <t>клапан электромагнитный (один разъем) WG9100710008 1</t>
  </si>
  <si>
    <t>клапан электромагнитный (соленоид) VG1200090163</t>
  </si>
  <si>
    <t>клапан электромагнитный звукового сигнала  (клаксона) WG9718710001</t>
  </si>
  <si>
    <t>кнопка горного тормоза WG9719710001</t>
  </si>
  <si>
    <t>кольцо контактное звукового сигнала AZ9130583024</t>
  </si>
  <si>
    <t>крышка акумулятора нижняя железо WG9100760002</t>
  </si>
  <si>
    <t>крышка верхней средней части панели приборов WG1642160213</t>
  </si>
  <si>
    <t>крышка под кнопки панели приборов WG1642160190</t>
  </si>
  <si>
    <t>крышка правой панели приборов WG1642160177</t>
  </si>
  <si>
    <t>крышка щитка приборов (консоли) WG1642160183</t>
  </si>
  <si>
    <t>крышка ящика электроприборов WG1642160215</t>
  </si>
  <si>
    <t>лампа переносная WG9719790004</t>
  </si>
  <si>
    <t>JCK28010</t>
  </si>
  <si>
    <t>лампочка панели приборов JCK28010</t>
  </si>
  <si>
    <t>мотор бачка стеклоомывателя WG1642860001-1/WG1942860001-1</t>
  </si>
  <si>
    <t>AZ163084 0014</t>
  </si>
  <si>
    <t>мотор отопителя   AZ163084 0014</t>
  </si>
  <si>
    <t>мотор печки (нагревателя) AZ1630840014</t>
  </si>
  <si>
    <t>мотор стеклоочистителя WG1642740008</t>
  </si>
  <si>
    <t>основание аккумуляторного ящика WG9719760004</t>
  </si>
  <si>
    <t>панель для приборов (панель торпедо) WG1642160120</t>
  </si>
  <si>
    <t>панель приборов  WG9719580005</t>
  </si>
  <si>
    <t>панель приборов WG9716580025</t>
  </si>
  <si>
    <t>WG9719580035</t>
  </si>
  <si>
    <t>панель приборов WG9719580035</t>
  </si>
  <si>
    <t>панель приборов электронная  WG9719581018</t>
  </si>
  <si>
    <t>педаль акселератора (газа) электрическая  WG9725570010</t>
  </si>
  <si>
    <t>переключатель аккумулятора WG9725764001/002</t>
  </si>
  <si>
    <t>переключатель поворота подрулевой WG9130583117</t>
  </si>
  <si>
    <t>переключатель света подрулевой WG9130583017</t>
  </si>
  <si>
    <t>печка (нагреватель) в сборе с радиатором и кожухом AZ1630840302</t>
  </si>
  <si>
    <t>реверс 1 (заслонки воздухопритока) AZ1630840324</t>
  </si>
  <si>
    <t>реверс 2 (заслонки воздухопритока) AZ1630840325</t>
  </si>
  <si>
    <t>реле на блок предохранителей 5ти контактное WG9100581000-11</t>
  </si>
  <si>
    <t>WG1630840321</t>
  </si>
  <si>
    <t>реле печки WG1630840321</t>
  </si>
  <si>
    <t>WG9100580104</t>
  </si>
  <si>
    <t>реле поворотов WG9100580104</t>
  </si>
  <si>
    <t>реле регулятор оборотов печки  AZ1630840321</t>
  </si>
  <si>
    <t>WG9725580100/1</t>
  </si>
  <si>
    <t>реле стартера  WG9725580100/1</t>
  </si>
  <si>
    <t>реле стартера (датчик пусковой) WG9100583049</t>
  </si>
  <si>
    <t>WG9125580100</t>
  </si>
  <si>
    <t>реле стартера WG9125580100</t>
  </si>
  <si>
    <t>свеча накаливания VG1200090162</t>
  </si>
  <si>
    <t>сигнал звуковой пневматический WG9716270003</t>
  </si>
  <si>
    <t>сигнал звуковой пневматический WG9716270004</t>
  </si>
  <si>
    <t>цилиндр остановки двигателя  WG9100570002</t>
  </si>
  <si>
    <t>цилиндр остановки двигателя WG9100570005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</si>
</sst>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00000000"/>
    <numFmt numFmtId="165" formatCode="00000000"/>
  </numFmts>
  <fonts count="17">
    <font>
      <sz val="8.0"/>
      <color rgb="FF000000"/>
      <name val="Arial"/>
    </font>
    <font>
      <sz val="8.0"/>
      <name val="Arial"/>
    </font>
    <font>
      <b/>
      <i/>
      <sz val="36.0"/>
      <name val="Arial"/>
    </font>
    <font>
      <i/>
      <sz val="9.0"/>
      <name val="Arial"/>
    </font>
    <font>
      <b/>
      <sz val="12.0"/>
      <name val="Arial"/>
    </font>
    <font>
      <u/>
      <sz val="12.0"/>
      <color rgb="FF0000FF"/>
      <name val="Arial"/>
    </font>
    <font>
      <sz val="10.0"/>
      <name val="Arial"/>
    </font>
    <font>
      <u/>
      <sz val="10.0"/>
      <color rgb="FF0000FF"/>
      <name val="Arial"/>
    </font>
    <font>
      <sz val="8.0"/>
      <color rgb="FF594304"/>
      <name val="Arial"/>
    </font>
    <font>
      <u/>
      <sz val="8.0"/>
      <color rgb="FF0000FF"/>
      <name val="Arial"/>
    </font>
    <font>
      <u/>
      <sz val="8.0"/>
      <color rgb="FF0000FF"/>
      <name val="Arial"/>
    </font>
    <font>
      <u/>
      <sz val="8.0"/>
      <color rgb="FF0000FF"/>
      <name val="Arial"/>
    </font>
    <font>
      <u/>
      <sz val="8.0"/>
      <color rgb="FF000000"/>
      <name val="Arial"/>
    </font>
    <font>
      <u/>
      <sz val="8.0"/>
      <color rgb="FF000000"/>
      <name val="Arial"/>
    </font>
    <font>
      <sz val="8.0"/>
      <color rgb="FF434343"/>
      <name val="Arial"/>
    </font>
    <font>
      <u/>
      <sz val="8.0"/>
      <color rgb="FF000000"/>
      <name val="Arial"/>
    </font>
    <font>
      <u/>
      <sz val="8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5F2DD"/>
        <bgColor rgb="FFF5F2DD"/>
      </patternFill>
    </fill>
    <fill>
      <patternFill patternType="solid">
        <fgColor rgb="FFFFFF00"/>
        <bgColor rgb="FFFFFF00"/>
      </patternFill>
    </fill>
    <fill>
      <patternFill patternType="solid">
        <fgColor rgb="FFFFFBF0"/>
        <bgColor rgb="FFFFFBF0"/>
      </patternFill>
    </fill>
    <fill>
      <patternFill patternType="solid">
        <fgColor rgb="FF00CCFF"/>
        <bgColor rgb="FF00CCFF"/>
      </patternFill>
    </fill>
  </fills>
  <borders count="2">
    <border>
      <left/>
      <right/>
      <top/>
      <bottom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 horizontal="center" vertical="top"/>
    </xf>
    <xf borderId="0" fillId="0" fontId="2" numFmtId="0" xfId="0" applyAlignment="1" applyFont="1">
      <alignment vertical="top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left" vertical="top"/>
    </xf>
    <xf borderId="0" fillId="0" fontId="5" numFmtId="0" xfId="0" applyAlignment="1" applyFont="1">
      <alignment horizontal="left" vertical="top" wrapText="1"/>
    </xf>
    <xf borderId="0" fillId="0" fontId="3" numFmtId="0" xfId="0" applyAlignment="1" applyFont="1">
      <alignment horizontal="center" vertical="top" wrapText="1"/>
    </xf>
    <xf borderId="0" fillId="0" fontId="6" numFmtId="0" xfId="0" applyAlignment="1" applyFont="1">
      <alignment horizontal="left" vertical="top" wrapText="1"/>
    </xf>
    <xf borderId="0" fillId="0" fontId="1" numFmtId="0" xfId="0" applyAlignment="1" applyFont="1">
      <alignment horizontal="left" wrapText="1"/>
    </xf>
    <xf borderId="0" fillId="0" fontId="1" numFmtId="0" xfId="0" applyAlignment="1" applyFont="1">
      <alignment horizontal="left" vertical="top"/>
    </xf>
    <xf borderId="0" fillId="0" fontId="7" numFmtId="0" xfId="0" applyFont="1"/>
    <xf borderId="0" fillId="0" fontId="3" numFmtId="0" xfId="0" applyAlignment="1" applyFont="1">
      <alignment horizontal="center" wrapText="1"/>
    </xf>
    <xf borderId="0" fillId="0" fontId="1" numFmtId="0" xfId="0" applyAlignment="1" applyFont="1">
      <alignment horizontal="left"/>
    </xf>
    <xf borderId="1" fillId="2" fontId="8" numFmtId="0" xfId="0" applyAlignment="1" applyBorder="1" applyFill="1" applyFont="1">
      <alignment horizontal="left" vertical="top"/>
    </xf>
    <xf borderId="1" fillId="3" fontId="8" numFmtId="0" xfId="0" applyAlignment="1" applyBorder="1" applyFill="1" applyFont="1">
      <alignment horizontal="left" vertical="top"/>
    </xf>
    <xf borderId="1" fillId="4" fontId="0" numFmtId="0" xfId="0" applyAlignment="1" applyBorder="1" applyFill="1" applyFont="1">
      <alignment horizontal="left" vertical="top"/>
    </xf>
    <xf borderId="1" fillId="5" fontId="0" numFmtId="0" xfId="0" applyAlignment="1" applyBorder="1" applyFill="1" applyFont="1">
      <alignment horizontal="left" vertical="top"/>
    </xf>
    <xf borderId="1" fillId="4" fontId="9" numFmtId="0" xfId="0" applyAlignment="1" applyBorder="1" applyFont="1">
      <alignment horizontal="left" vertical="top"/>
    </xf>
    <xf borderId="1" fillId="4" fontId="10" numFmtId="0" xfId="0" applyAlignment="1" applyBorder="1" applyFont="1">
      <alignment horizontal="left" vertical="top"/>
    </xf>
    <xf borderId="1" fillId="4" fontId="11" numFmtId="1" xfId="0" applyAlignment="1" applyBorder="1" applyFont="1" applyNumberFormat="1">
      <alignment horizontal="left" vertical="top"/>
    </xf>
    <xf borderId="1" fillId="4" fontId="12" numFmtId="0" xfId="0" applyAlignment="1" applyBorder="1" applyFont="1">
      <alignment horizontal="left" vertical="top"/>
    </xf>
    <xf borderId="1" fillId="4" fontId="13" numFmtId="1" xfId="0" applyAlignment="1" applyBorder="1" applyFont="1" applyNumberFormat="1">
      <alignment horizontal="left" vertical="top"/>
    </xf>
    <xf borderId="1" fillId="4" fontId="0" numFmtId="1" xfId="0" applyAlignment="1" applyBorder="1" applyFont="1" applyNumberFormat="1">
      <alignment horizontal="left" vertical="top"/>
    </xf>
    <xf borderId="1" fillId="4" fontId="0" numFmtId="164" xfId="0" applyAlignment="1" applyBorder="1" applyFont="1" applyNumberFormat="1">
      <alignment horizontal="left" vertical="top"/>
    </xf>
    <xf borderId="1" fillId="4" fontId="0" numFmtId="0" xfId="0" applyAlignment="1" applyBorder="1" applyFont="1">
      <alignment horizontal="left" vertical="top"/>
    </xf>
    <xf borderId="1" fillId="4" fontId="0" numFmtId="11" xfId="0" applyAlignment="1" applyBorder="1" applyFont="1" applyNumberFormat="1">
      <alignment horizontal="left" vertical="top"/>
    </xf>
    <xf borderId="1" fillId="4" fontId="14" numFmtId="11" xfId="0" applyAlignment="1" applyBorder="1" applyFont="1" applyNumberFormat="1">
      <alignment horizontal="left" vertical="top"/>
    </xf>
    <xf borderId="1" fillId="4" fontId="15" numFmtId="1" xfId="0" applyAlignment="1" applyBorder="1" applyFont="1" applyNumberFormat="1">
      <alignment horizontal="left" vertical="top"/>
    </xf>
    <xf borderId="1" fillId="4" fontId="0" numFmtId="0" xfId="0" applyAlignment="1" applyBorder="1" applyFont="1">
      <alignment horizontal="left" vertical="top"/>
    </xf>
    <xf borderId="1" fillId="4" fontId="16" numFmtId="0" xfId="0" applyAlignment="1" applyBorder="1" applyFont="1">
      <alignment horizontal="left" vertical="top"/>
    </xf>
    <xf borderId="1" fillId="4" fontId="0" numFmtId="0" xfId="0" applyAlignment="1" applyBorder="1" applyFont="1">
      <alignment horizontal="left" vertical="top"/>
    </xf>
    <xf borderId="1" fillId="4" fontId="0" numFmtId="165" xfId="0" applyAlignment="1" applyBorder="1" applyFont="1" applyNumberForma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20.17" defaultRowHeight="15.0"/>
  <cols>
    <col customWidth="1" min="1" max="1" width="9.33"/>
    <col customWidth="1" min="2" max="2" width="33.0"/>
    <col customWidth="1" min="3" max="3" width="104.0"/>
    <col customWidth="1" min="4" max="13" width="10.67"/>
    <col customWidth="1" min="14" max="26" width="8.0"/>
  </cols>
  <sheetData>
    <row r="1" ht="48.0" customHeight="1">
      <c r="A1" s="1"/>
      <c r="B1" s="2" t="s">
        <v>0</v>
      </c>
      <c r="D1" s="3"/>
      <c r="E1" s="3"/>
      <c r="F1" s="3"/>
      <c r="G1" s="3"/>
      <c r="H1" s="3"/>
      <c r="I1" s="4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8.5" customHeight="1">
      <c r="A2" s="1"/>
      <c r="B2" s="5" t="s">
        <v>1</v>
      </c>
      <c r="C2" s="6" t="str">
        <f>HYPERLINK("http://china-parts.in.ua/","Сайт:   china-parts.in.ua")</f>
        <v>Сайт:   china-parts.in.ua</v>
      </c>
      <c r="D2" s="1"/>
      <c r="E2" s="4"/>
      <c r="F2" s="7"/>
      <c r="G2" s="7"/>
      <c r="H2" s="7"/>
      <c r="I2" s="4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8.75" customHeight="1">
      <c r="A3" s="1"/>
      <c r="B3" s="5"/>
      <c r="C3" s="8" t="s">
        <v>2</v>
      </c>
      <c r="D3" s="1"/>
      <c r="E3" s="4"/>
      <c r="F3" s="7"/>
      <c r="G3" s="7"/>
      <c r="H3" s="7"/>
      <c r="I3" s="4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2.5" customHeight="1">
      <c r="A4" s="9"/>
      <c r="B4" s="10"/>
      <c r="C4" s="11" t="str">
        <f>HYPERLINK("http://china-parts.in.ua/contacts","1209295@gmail.com")</f>
        <v>1209295@gmail.com</v>
      </c>
      <c r="D4" s="9"/>
      <c r="E4" s="12"/>
      <c r="F4" s="7"/>
      <c r="G4" s="7"/>
      <c r="H4" s="7"/>
      <c r="I4" s="12"/>
      <c r="J4" s="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1.25" customHeight="1">
      <c r="A5" s="1"/>
      <c r="B5" s="13"/>
      <c r="C5" s="1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1"/>
      <c r="B6" s="13"/>
      <c r="C6" s="1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1"/>
      <c r="B7" s="14" t="s">
        <v>3</v>
      </c>
      <c r="C7" s="14" t="s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1"/>
      <c r="B8" s="14"/>
      <c r="C8" s="14" t="s">
        <v>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1"/>
      <c r="B9" s="14"/>
      <c r="C9" s="14" t="s">
        <v>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1"/>
      <c r="B10" s="14"/>
      <c r="C10" s="15" t="s">
        <v>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1"/>
      <c r="B11" s="16"/>
      <c r="C11" s="17" t="s">
        <v>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3"/>
      <c r="B12" s="18" t="str">
        <f>HYPERLINK("http://china-parts.in.ua/p304820507-bachok-rasshiritelnyj-sbore.html","AZ9112530333")</f>
        <v>AZ9112530333</v>
      </c>
      <c r="C12" s="19" t="s">
        <v>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1.25" customHeight="1">
      <c r="A13" s="13"/>
      <c r="B13" s="18" t="str">
        <f>HYPERLINK("http://china-parts.in.ua/p304820506-bachok-rasshiritelnyj-wd615.html","WG9719530260")</f>
        <v>WG9719530260</v>
      </c>
      <c r="C13" s="19" t="s">
        <v>10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1.25" customHeight="1">
      <c r="A14" s="13"/>
      <c r="B14" s="18" t="str">
        <f>HYPERLINK("http://china-parts.in.ua/p319589086-katalog-zapchastejkompressor-wd615.html","VG2600130122")</f>
        <v>VG2600130122</v>
      </c>
      <c r="C14" s="19" t="s">
        <v>11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1.25" customHeight="1">
      <c r="A15" s="13"/>
      <c r="B15" s="18" t="str">
        <f>HYPERLINK("http://china-parts.in.ua/p75032780-ventilyator-lepestkov-vg2600060446.html","VG2600060446-1")</f>
        <v>VG2600060446-1</v>
      </c>
      <c r="C15" s="19" t="s">
        <v>12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1.25" customHeight="1">
      <c r="A16" s="13"/>
      <c r="B16" s="18" t="str">
        <f>HYPERLINK("http://china-parts.in.ua/p304820513-ventilyator-d597mm-59085.html","VG1500060447")</f>
        <v>VG1500060447</v>
      </c>
      <c r="C16" s="19" t="s">
        <v>13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1.25" customHeight="1">
      <c r="A17" s="13"/>
      <c r="B17" s="20" t="str">
        <f>HYPERLINK("http://china-parts.in.ua/p304820527-krylchatka-ventilyatora-620.html","61500060131")</f>
        <v>61500060131</v>
      </c>
      <c r="C17" s="19" t="s">
        <v>14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1.25" customHeight="1">
      <c r="A18" s="13"/>
      <c r="B18" s="21" t="str">
        <f>HYPERLINK("http://china-parts.in.ua/p75032780-ventilyator-lepestkov-vg2600060446.html","VG2600060446")</f>
        <v>VG2600060446</v>
      </c>
      <c r="C18" s="16" t="s">
        <v>15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1.25" customHeight="1">
      <c r="A19" s="13"/>
      <c r="B19" s="20" t="str">
        <f>HYPERLINK("http://china-parts.in.ua/p304815044-ventilyator-radiatora-sistemy.html","612600060215")</f>
        <v>612600060215</v>
      </c>
      <c r="C19" s="19" t="s">
        <v>16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1.25" customHeight="1">
      <c r="A20" s="13"/>
      <c r="B20" s="20" t="str">
        <f>HYPERLINK("http://china-parts.in.ua/p304820517-gidromufta-wd615-howo.html","61500060226")</f>
        <v>61500060226</v>
      </c>
      <c r="C20" s="19" t="s">
        <v>17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1.25" customHeight="1">
      <c r="A21" s="13"/>
      <c r="B21" s="18" t="str">
        <f>HYPERLINK("http://china-parts.in.ua/p304820644-glushitel-sbore-wd615.html","WG9725540060")</f>
        <v>WG9725540060</v>
      </c>
      <c r="C21" s="19" t="s">
        <v>18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1.25" customHeight="1">
      <c r="A22" s="13"/>
      <c r="B22" s="21" t="str">
        <f>HYPERLINK("http://china-parts.in.ua/p304820645-glushitel-sbore-wd615.html","WG9725540002")</f>
        <v>WG9725540002</v>
      </c>
      <c r="C22" s="16" t="s">
        <v>19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1.25" customHeight="1">
      <c r="A23" s="13"/>
      <c r="B23" s="21" t="str">
        <f>HYPERLINK("http://china-parts.in.ua/p304820646-gofra-metallicheskaya-truba.html","WG9725540053")</f>
        <v>WG9725540053</v>
      </c>
      <c r="C23" s="16" t="s">
        <v>20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1.25" customHeight="1">
      <c r="A24" s="13"/>
      <c r="B24" s="21" t="str">
        <f>HYPERLINK("http://china-parts.in.ua/p304820647-gofra-dvigatelya-metallicheskaya.html","WG9719540021")</f>
        <v>WG9719540021</v>
      </c>
      <c r="C24" s="16" t="s">
        <v>21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1.25" customHeight="1">
      <c r="A25" s="13"/>
      <c r="B25" s="21" t="str">
        <f>HYPERLINK("http://china-parts.in.ua/p304820648-gofra-metallicheskaya-truba.html","WG9731540002")</f>
        <v>WG9731540002</v>
      </c>
      <c r="C25" s="16" t="s">
        <v>22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1.25" customHeight="1">
      <c r="A26" s="13"/>
      <c r="B26" s="21" t="str">
        <f>HYPERLINK("http://china-parts.in.ua/p304820519-diffuzor-sbore-wd615.html","AZ9719530132")</f>
        <v>AZ9719530132</v>
      </c>
      <c r="C26" s="16" t="s">
        <v>23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1.25" customHeight="1">
      <c r="A27" s="13"/>
      <c r="B27" s="21" t="str">
        <f>HYPERLINK("http://china-parts.in.ua/p304820520-diffuzor-sbore-wd615.html","AZ9719233037")</f>
        <v>AZ9719233037</v>
      </c>
      <c r="C27" s="16" t="s">
        <v>24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1.25" customHeight="1">
      <c r="A28" s="13"/>
      <c r="B28" s="21" t="str">
        <f>HYPERLINK("http://china-parts.in.ua/p304820521-interkuler-sbore-wd615.html","WG9719530250")</f>
        <v>WG9719530250</v>
      </c>
      <c r="C28" s="16" t="s">
        <v>25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1.25" customHeight="1">
      <c r="A29" s="13"/>
      <c r="B29" s="21" t="str">
        <f>HYPERLINK("http://china-parts.in.ua/p304820522-interkuler-sbore-wd615.html","WG9725530020")</f>
        <v>WG9725530020</v>
      </c>
      <c r="C29" s="16" t="s">
        <v>26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1.25" customHeight="1">
      <c r="A30" s="13"/>
      <c r="B30" s="21" t="str">
        <f>HYPERLINK("http://china-parts.in.ua/p304822345-povorotnik-konditsionera-isparitel.html","AZ1630840326")</f>
        <v>AZ1630840326</v>
      </c>
      <c r="C30" s="16" t="s">
        <v>27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1.25" customHeight="1">
      <c r="A31" s="13"/>
      <c r="B31" s="21" t="str">
        <f>HYPERLINK("http://china-parts.in.ua/p304820046-dvigatel-novyj-model.html","AZ6100004301-1")</f>
        <v>AZ6100004301-1</v>
      </c>
      <c r="C31" s="16" t="s">
        <v>28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1.25" customHeight="1">
      <c r="A32" s="13"/>
      <c r="B32" s="16" t="s">
        <v>29</v>
      </c>
      <c r="C32" s="16" t="s">
        <v>30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1.25" customHeight="1">
      <c r="A33" s="13"/>
      <c r="B33" s="21" t="str">
        <f>HYPERLINK("http://china-parts.in.ua/p304822245-kompressor-konditsionera-nov.html","WG1500139000")</f>
        <v>WG1500139000</v>
      </c>
      <c r="C33" s="16" t="s">
        <v>31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1.25" customHeight="1">
      <c r="A34" s="13"/>
      <c r="B34" s="21" t="str">
        <f>HYPERLINK("http://china-parts.in.ua/p304820526-korpus-termostata-wd615.html","VG1500061203")</f>
        <v>VG1500061203</v>
      </c>
      <c r="C34" s="16" t="s">
        <v>32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1.25" customHeight="1">
      <c r="A35" s="13"/>
      <c r="B35" s="21" t="str">
        <f>HYPERLINK("http://china-parts.in.ua/p304820506-bachok-rasshiritelnyj-wd615.html","WG9719530260-1")</f>
        <v>WG9719530260-1</v>
      </c>
      <c r="C35" s="16" t="s">
        <v>33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1.25" customHeight="1">
      <c r="A36" s="13"/>
      <c r="B36" s="21" t="str">
        <f>HYPERLINK("http://china-parts.in.ua/p304820530-kryshka-termostata-zadnyaya.html","VG1500040105")</f>
        <v>VG1500040105</v>
      </c>
      <c r="C36" s="16" t="s">
        <v>34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1.25" customHeight="1">
      <c r="A37" s="13"/>
      <c r="B37" s="21" t="str">
        <f>HYPERLINK("http://china-parts.in.ua/p503896259-nakonechnik-tsilindra-ostanovki.html","WG92570025")</f>
        <v>WG92570025</v>
      </c>
      <c r="C37" s="16" t="s">
        <v>35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1.25" customHeight="1">
      <c r="A38" s="13"/>
      <c r="B38" s="21" t="str">
        <f>HYPERLINK("http://china-parts.in.ua/p304820532-nasos-vodyanoj-pompa.html","VG1246060042")</f>
        <v>VG1246060042</v>
      </c>
      <c r="C38" s="16" t="s">
        <v>36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1.25" customHeight="1">
      <c r="A39" s="13"/>
      <c r="B39" s="16" t="s">
        <v>37</v>
      </c>
      <c r="C39" s="16" t="s">
        <v>38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1.25" customHeight="1">
      <c r="A40" s="13"/>
      <c r="B40" s="21" t="str">
        <f>HYPERLINK("http://china-parts.in.ua/p75032849-nasos-vodyanoj-ploskij.html","VG1500060051")</f>
        <v>VG1500060051</v>
      </c>
      <c r="C40" s="16" t="s">
        <v>39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1.25" customHeight="1">
      <c r="A41" s="13"/>
      <c r="B41" s="21" t="str">
        <f>HYPERLINK("http://china-parts.in.ua/p503896582-nasos-vodyanoj-pompa.html","612600061603-CK")</f>
        <v>612600061603-CK</v>
      </c>
      <c r="C41" s="16" t="s">
        <v>40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1.25" customHeight="1">
      <c r="A42" s="13"/>
      <c r="B42" s="21" t="str">
        <f>HYPERLINK("http://china-parts.in.ua/p304820535-nasos-vodyanoj-pompa.html","VG1500069055")</f>
        <v>VG1500069055</v>
      </c>
      <c r="C42" s="16" t="s">
        <v>41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1.25" customHeight="1">
      <c r="A43" s="13"/>
      <c r="B43" s="21" t="str">
        <f>HYPERLINK("http://china-parts.in.ua/p75032767-pompa-hovo-klin.html","VG1500060050")</f>
        <v>VG1500060050</v>
      </c>
      <c r="C43" s="16" t="s">
        <v>42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1.25" customHeight="1">
      <c r="A44" s="13"/>
      <c r="B44" s="21" t="str">
        <f>HYPERLINK("http://china-parts.in.ua/p304820100-rolik-natyazhnoj-wd615.html","VG1246060001")</f>
        <v>VG1246060001</v>
      </c>
      <c r="C44" s="16" t="s">
        <v>43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1.25" customHeight="1">
      <c r="A45" s="13"/>
      <c r="B45" s="21" t="str">
        <f>HYPERLINK("http://china-parts.in.ua/p304820101-rolik-natyazhnoj-wd615.html","VG1246060002")</f>
        <v>VG1246060002</v>
      </c>
      <c r="C45" s="16" t="s">
        <v>44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1.25" customHeight="1">
      <c r="A46" s="13"/>
      <c r="B46" s="21" t="str">
        <f>HYPERLINK("http://china-parts.in.ua/p304820579-rolik-natyazhnoj-wd615.html","VG1560060069-CK")</f>
        <v>VG1560060069-CK</v>
      </c>
      <c r="C46" s="16" t="s">
        <v>45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1.25" customHeight="1">
      <c r="A47" s="13"/>
      <c r="B47" s="21" t="str">
        <f>HYPERLINK("http://china-parts.in.ua/p304820523-komplekt-patrubka-vpusknogo.html","VG2600120101")</f>
        <v>VG2600120101</v>
      </c>
      <c r="C47" s="16" t="s">
        <v>46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1.25" customHeight="1">
      <c r="A48" s="13"/>
      <c r="B48" s="21" t="str">
        <f>HYPERLINK("http://china-parts.in.ua/p304820524-komplekt-patrubka-vpusknogo.html","VG2600120121")</f>
        <v>VG2600120121</v>
      </c>
      <c r="C48" s="16" t="s">
        <v>47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1.25" customHeight="1">
      <c r="A49" s="13"/>
      <c r="B49" s="21" t="str">
        <f>HYPERLINK("http://china-parts.in.ua/p304820589-fiting-vodyanoj-trubki.html","VG1560060022A")</f>
        <v>VG1560060022A</v>
      </c>
      <c r="C49" s="16" t="s">
        <v>48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1.25" customHeight="1">
      <c r="A50" s="13"/>
      <c r="B50" s="21" t="str">
        <f>HYPERLINK("http://china-parts.in.ua/p304820525-komplekt-fitinga-wd615.html","VG1560060001")</f>
        <v>VG1560060001</v>
      </c>
      <c r="C50" s="16" t="s">
        <v>49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1.25" customHeight="1">
      <c r="A51" s="13"/>
      <c r="B51" s="21" t="str">
        <f>HYPERLINK("http://china-parts.in.ua/p304820670-patrubok-filtra-vozdushnogo.html","WG9725190139")</f>
        <v>WG9725190139</v>
      </c>
      <c r="C51" s="16" t="s">
        <v>50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1.25" customHeight="1">
      <c r="A52" s="13"/>
      <c r="B52" s="21" t="str">
        <f>HYPERLINK("http://china-parts.in.ua/p304820666-patrubok-vozduhozabornika-wd615.html","WG9719190009")</f>
        <v>WG9719190009</v>
      </c>
      <c r="C52" s="16" t="s">
        <v>51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1.25" customHeight="1">
      <c r="A53" s="13"/>
      <c r="B53" s="21" t="str">
        <f>HYPERLINK("http://china-parts.in.ua/p304820536-patrubok-sbore-wd615.html","WG9719190050")</f>
        <v>WG9719190050</v>
      </c>
      <c r="C53" s="16" t="s">
        <v>52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1.25" customHeight="1">
      <c r="A54" s="13"/>
      <c r="B54" s="21" t="str">
        <f>HYPERLINK("http://china-parts.in.ua/p304820654-kollektor-vozdushnyj-turbokompressora.html","VG2600111196")</f>
        <v>VG2600111196</v>
      </c>
      <c r="C54" s="16" t="s">
        <v>53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1.25" customHeight="1">
      <c r="A55" s="13"/>
      <c r="B55" s="21" t="str">
        <f>HYPERLINK("http://china-parts.in.ua/p304820667-patrubok-vpusknoj-interkulera.html","VG2600120100")</f>
        <v>VG2600120100</v>
      </c>
      <c r="C55" s="16" t="s">
        <v>54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1.25" customHeight="1">
      <c r="A56" s="13"/>
      <c r="B56" s="21" t="str">
        <f>HYPERLINK("http://china-parts.in.ua/p304820679-truba-vyhlopnaya-wd615.html","WG9725540043")</f>
        <v>WG9725540043</v>
      </c>
      <c r="C56" s="16" t="s">
        <v>55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1.25" customHeight="1">
      <c r="A57" s="13"/>
      <c r="B57" s="21" t="str">
        <f>HYPERLINK("http://china-parts.in.ua/p304820537-patrubok-interkulera-wd615.html","WG9112530148")</f>
        <v>WG9112530148</v>
      </c>
      <c r="C57" s="16" t="s">
        <v>56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1.25" customHeight="1">
      <c r="A58" s="13"/>
      <c r="B58" s="21" t="str">
        <f>HYPERLINK("http://china-parts.in.ua/p304820596-shlang-rezinovyj-interkulera.html","VG2600111068")</f>
        <v>VG2600111068</v>
      </c>
      <c r="C58" s="16" t="s">
        <v>57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1.25" customHeight="1">
      <c r="A59" s="13"/>
      <c r="B59" s="21" t="str">
        <f>HYPERLINK("http://china-parts.in.ua/p304820538-patrubok-interkulera-wd615.html","WG9112530149")</f>
        <v>WG9112530149</v>
      </c>
      <c r="C59" s="16" t="s">
        <v>58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1.25" customHeight="1">
      <c r="A60" s="13"/>
      <c r="B60" s="21" t="str">
        <f>HYPERLINK("http://china-parts.in.ua/p304820597-shlang-rezinovyj-interkulera.html","VG2600111086")</f>
        <v>VG2600111086</v>
      </c>
      <c r="C60" s="16" t="s">
        <v>59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1.25" customHeight="1">
      <c r="A61" s="13"/>
      <c r="B61" s="22" t="str">
        <f>HYPERLINK("http://china-parts.in.ua/p304820539-patrubok-interkulera-vpusknoj.html","9725530070")</f>
        <v>9725530070</v>
      </c>
      <c r="C61" s="16" t="s">
        <v>60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1.25" customHeight="1">
      <c r="A62" s="13"/>
      <c r="B62" s="21" t="str">
        <f>HYPERLINK("http://china-parts.in.ua/p304820540-patrubok-interkulera-vypusknoj.html","WG9719530108")</f>
        <v>WG9719530108</v>
      </c>
      <c r="C62" s="16" t="s">
        <v>61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1.25" customHeight="1">
      <c r="A63" s="13"/>
      <c r="B63" s="21" t="str">
        <f>HYPERLINK("http://china-parts.in.ua/p304820539-patrubok-interkulera-vpusknoj.html","WG9725530070")</f>
        <v>WG9725530070</v>
      </c>
      <c r="C63" s="16" t="s">
        <v>62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1.25" customHeight="1">
      <c r="A64" s="13"/>
      <c r="B64" s="21" t="str">
        <f>HYPERLINK("http://china-parts.in.ua/p304820548-patrubok-radiatora-soedinitelnyj.html","WG9719530107")</f>
        <v>WG9719530107</v>
      </c>
      <c r="C64" s="16" t="s">
        <v>63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1.25" customHeight="1">
      <c r="A65" s="13"/>
      <c r="B65" s="21" t="str">
        <f>HYPERLINK("http://china-parts.in.ua/p304820545-patrubok-radiatora-vpusknoj.html","WG9719530111")</f>
        <v>WG9719530111</v>
      </c>
      <c r="C65" s="16" t="s">
        <v>64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1.25" customHeight="1">
      <c r="A66" s="13"/>
      <c r="B66" s="21" t="str">
        <f>HYPERLINK("http://china-parts.in.ua/p304820544-patrubok-radiatora-vpusknoj.html","WG9719530116")</f>
        <v>WG9719530116</v>
      </c>
      <c r="C66" s="16" t="s">
        <v>65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1.25" customHeight="1">
      <c r="A67" s="13"/>
      <c r="B67" s="21" t="str">
        <f>HYPERLINK("http://china-parts.in.ua/p304820543-patrubok-radiatora-vpusknoj.html","WG9719530115")</f>
        <v>WG9719530115</v>
      </c>
      <c r="C67" s="16" t="s">
        <v>66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1.25" customHeight="1">
      <c r="A68" s="13"/>
      <c r="B68" s="21" t="str">
        <f>HYPERLINK("http://china-parts.in.ua/p304820546-patrubok-radiatora-vypusknoj.html","WG9719530212")</f>
        <v>WG9719530212</v>
      </c>
      <c r="C68" s="16" t="s">
        <v>67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1.25" customHeight="1">
      <c r="A69" s="13"/>
      <c r="B69" s="21" t="str">
        <f>HYPERLINK("http://china-parts.in.ua/p304820542-patrubok-radiatora-wd615.html","WG9719530228")</f>
        <v>WG9719530228</v>
      </c>
      <c r="C69" s="16" t="s">
        <v>68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1.25" customHeight="1">
      <c r="A70" s="13"/>
      <c r="B70" s="21" t="str">
        <f>HYPERLINK("http://china-parts.in.ua/p304820547-patrubok-radiatora-vypusknoj.html","WG9719530227")</f>
        <v>WG9719530227</v>
      </c>
      <c r="C70" s="16" t="s">
        <v>69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1.25" customHeight="1">
      <c r="A71" s="13"/>
      <c r="B71" s="22" t="str">
        <f>HYPERLINK("http://china-parts.in.ua/p304820549-patrubok-soedinitelnyj-wd615.html","61500060045")</f>
        <v>61500060045</v>
      </c>
      <c r="C71" s="16" t="s">
        <v>70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1.25" customHeight="1">
      <c r="A72" s="13"/>
      <c r="B72" s="21" t="str">
        <f>HYPERLINK("http://china-parts.in.ua/p304820707-shlang-wd615-howo.html","VG1500119016")</f>
        <v>VG1500119016</v>
      </c>
      <c r="C72" s="16" t="s">
        <v>71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1.25" customHeight="1">
      <c r="A73" s="13"/>
      <c r="B73" s="21" t="str">
        <f>HYPERLINK("http://china-parts.in.ua/p304820707-shlang-wd615-howo.html","VG1560110013")</f>
        <v>VG1560110013</v>
      </c>
      <c r="C73" s="16" t="s">
        <v>72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1.25" customHeight="1">
      <c r="A74" s="13"/>
      <c r="B74" s="21" t="str">
        <f>HYPERLINK("http://china-parts.in.ua/p304820595-shlang-wd615-howo.html","VG1800110045")</f>
        <v>VG1800110045</v>
      </c>
      <c r="C74" s="16" t="s">
        <v>73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1.25" customHeight="1">
      <c r="A75" s="13"/>
      <c r="B75" s="21" t="str">
        <f>HYPERLINK("http://china-parts.in.ua/p304820669-patrubok-turbiny-wd615.html","VG2600111141")</f>
        <v>VG2600111141</v>
      </c>
      <c r="C75" s="16" t="s">
        <v>74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1.25" customHeight="1">
      <c r="A76" s="13"/>
      <c r="B76" s="22" t="str">
        <f>HYPERLINK("http://china-parts.in.ua/p75032864-podushka-krepl-dvigatelya.html","1680590095")</f>
        <v>1680590095</v>
      </c>
      <c r="C76" s="16" t="s">
        <v>75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1.25" customHeight="1">
      <c r="A77" s="13"/>
      <c r="B77" s="21" t="str">
        <f>HYPERLINK("http://china-parts.in.ua/p304820671-prokladka-glushitelya-wd615.html","AZ9719540019")</f>
        <v>AZ9719540019</v>
      </c>
      <c r="C77" s="16" t="s">
        <v>76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1.25" customHeight="1">
      <c r="A78" s="13"/>
      <c r="B78" s="21" t="str">
        <f>HYPERLINK("http://china-parts.in.ua/p503897529-prokladka-turbiny-wd615.html","VG1560110210")</f>
        <v>VG1560110210</v>
      </c>
      <c r="C78" s="16" t="s">
        <v>77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1.25" customHeight="1">
      <c r="A79" s="13"/>
      <c r="B79" s="16" t="s">
        <v>78</v>
      </c>
      <c r="C79" s="16" t="s">
        <v>79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1.25" customHeight="1">
      <c r="A80" s="13"/>
      <c r="B80" s="21" t="str">
        <f>HYPERLINK("http://china-parts.in.ua/p304822387-radiator-konditsionera-sbore.html","AZ1642820010")</f>
        <v>AZ1642820010</v>
      </c>
      <c r="C80" s="16" t="s">
        <v>80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1.25" customHeight="1">
      <c r="A81" s="13"/>
      <c r="B81" s="16" t="s">
        <v>81</v>
      </c>
      <c r="C81" s="16" t="s">
        <v>82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1.25" customHeight="1">
      <c r="A82" s="13"/>
      <c r="B82" s="21" t="str">
        <f>HYPERLINK("http://china-parts.in.ua/p304820584-termostat-bez-korpusa.html","VG1500061206")</f>
        <v>VG1500061206</v>
      </c>
      <c r="C82" s="16" t="s">
        <v>83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1.25" customHeight="1">
      <c r="A83" s="13"/>
      <c r="B83" s="21" t="str">
        <f>HYPERLINK("http://china-parts.in.ua/p304820585-termostat-bez-korpusa.html","VG1500061201")</f>
        <v>VG1500061201</v>
      </c>
      <c r="C83" s="16" t="s">
        <v>84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1.25" customHeight="1">
      <c r="A84" s="13"/>
      <c r="B84" s="21" t="str">
        <f>HYPERLINK("http://china-parts.in.ua/p304820586-termostat-bez-korpusa.html","VG1500061202")</f>
        <v>VG1500061202</v>
      </c>
      <c r="C84" s="16" t="s">
        <v>85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1.25" customHeight="1">
      <c r="A85" s="13"/>
      <c r="B85" s="21" t="str">
        <f>HYPERLINK("http://china-parts.in.ua/p304820583-termostat-novyj-obr.html","VG14060136")</f>
        <v>VG14060136</v>
      </c>
      <c r="C85" s="16" t="s">
        <v>86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1.25" customHeight="1">
      <c r="A86" s="13"/>
      <c r="B86" s="21" t="str">
        <f>HYPERLINK("http://china-parts.in.ua/p75032921-termostat-hovo-614060135.html","614060135-CK")</f>
        <v>614060135-CK</v>
      </c>
      <c r="C86" s="16" t="s">
        <v>87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1.25" customHeight="1">
      <c r="A87" s="13"/>
      <c r="B87" s="21" t="str">
        <f>HYPERLINK("http://china-parts.in.ua/p304820587-termostat-sbore-star.html","VG1500060116")</f>
        <v>VG1500060116</v>
      </c>
      <c r="C87" s="16" t="s">
        <v>88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1.25" customHeight="1">
      <c r="A88" s="13"/>
      <c r="B88" s="21" t="str">
        <f>HYPERLINK("http://china-parts.in.ua/p304820588-termostat-sbore-staryj.html","VG14060135")</f>
        <v>VG14060135</v>
      </c>
      <c r="C88" s="16" t="s">
        <v>89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1.25" customHeight="1">
      <c r="A89" s="13"/>
      <c r="B89" s="21" t="str">
        <f>HYPERLINK("http://china-parts.in.ua/p75032920-termostat-evro-2vg1500060117.html","Vg1500060117")</f>
        <v>Vg1500060117</v>
      </c>
      <c r="C89" s="16" t="s">
        <v>90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1.25" customHeight="1">
      <c r="A90" s="13"/>
      <c r="B90" s="21" t="str">
        <f>HYPERLINK("http://china-parts.in.ua/p304820724-trubka-obratnaya-kompressora.html","VG1099080065")</f>
        <v>VG1099080065</v>
      </c>
      <c r="C90" s="16" t="s">
        <v>91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1.25" customHeight="1">
      <c r="A91" s="13"/>
      <c r="B91" s="21" t="str">
        <f>HYPERLINK("http://china-parts.in.ua/p304820684-trubka-obratnaya-turbokompressora.html","VG1540110009A")</f>
        <v>VG1540110009A</v>
      </c>
      <c r="C91" s="16" t="s">
        <v>92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1.25" customHeight="1">
      <c r="A92" s="13"/>
      <c r="B92" s="21" t="str">
        <f>HYPERLINK("http://china-parts.in.ua/p304822429-trubka-konditsionera-sbore.html","WG1642820022")</f>
        <v>WG1642820022</v>
      </c>
      <c r="C92" s="16" t="s">
        <v>93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1.25" customHeight="1">
      <c r="A93" s="13"/>
      <c r="B93" s="21" t="str">
        <f>HYPERLINK("http://china-parts.in.ua/p304820474-trubka-obratki-masla.html","VG1540080099")</f>
        <v>VG1540080099</v>
      </c>
      <c r="C93" s="16" t="s">
        <v>94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1.25" customHeight="1">
      <c r="A94" s="13"/>
      <c r="B94" s="21" t="str">
        <f>HYPERLINK("http://china-parts.in.ua/p304820475-trubka-obratki-masla.html","VG1540689074")</f>
        <v>VG1540689074</v>
      </c>
      <c r="C94" s="16" t="s">
        <v>95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1.25" customHeight="1">
      <c r="A95" s="13"/>
      <c r="B95" s="21" t="str">
        <f>HYPERLINK("http://china-parts.in.ua/p304820479-trubka-podachi-masla.html","61560070002/0002A/0004/0004A")</f>
        <v>61560070002/0002A/0004/0004A</v>
      </c>
      <c r="C95" s="16" t="s">
        <v>96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1.25" customHeight="1">
      <c r="A96" s="13"/>
      <c r="B96" s="22" t="str">
        <f>HYPERLINK("http://china-parts.in.ua/p304820685-trubka-soedinitelnaya-turbiny.html","1560110165")</f>
        <v>1560110165</v>
      </c>
      <c r="C96" s="16" t="s">
        <v>97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1.25" customHeight="1">
      <c r="A97" s="13"/>
      <c r="B97" s="21" t="str">
        <f>HYPERLINK("http://china-parts.in.ua/p304822430-trubka-pechki-stalnaya.html","AZ1642840013")</f>
        <v>AZ1642840013</v>
      </c>
      <c r="C97" s="16" t="s">
        <v>98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1.25" customHeight="1">
      <c r="A98" s="13"/>
      <c r="B98" s="21" t="str">
        <f>HYPERLINK("http://china-parts.in.ua/p75032926-trubka-vg1560070001-howo.html","VG1560070001")</f>
        <v>VG1560070001</v>
      </c>
      <c r="C98" s="16" t="s">
        <v>99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1.25" customHeight="1">
      <c r="A99" s="13"/>
      <c r="B99" s="16" t="s">
        <v>100</v>
      </c>
      <c r="C99" s="16" t="s">
        <v>101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1.25" customHeight="1">
      <c r="A100" s="13"/>
      <c r="B100" s="21" t="str">
        <f>HYPERLINK("http://china-parts.in.ua/p304820695-turbokompressor-evro-wd615.html","VG1540110066A")</f>
        <v>VG1540110066A</v>
      </c>
      <c r="C100" s="16" t="s">
        <v>102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1.25" customHeight="1">
      <c r="A101" s="13"/>
      <c r="B101" s="21" t="str">
        <f>HYPERLINK("http://china-parts.in.ua/p304820693-turbokompressor-wd615-howo.html","VG1560118227D")</f>
        <v>VG1560118227D</v>
      </c>
      <c r="C101" s="16" t="s">
        <v>103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1.25" customHeight="1">
      <c r="A102" s="13"/>
      <c r="B102" s="21" t="str">
        <f>HYPERLINK("http://china-parts.in.ua/p304820690-turbokompressor-330270320-wd615.html","VG1560118228")</f>
        <v>VG1560118228</v>
      </c>
      <c r="C102" s="16" t="s">
        <v>104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1.25" customHeight="1">
      <c r="A103" s="13"/>
      <c r="B103" s="21" t="str">
        <f>HYPERLINK("http://china-parts.in.ua/p304820687-turbokompressor-210320290-wd615.html","VG1560118229")</f>
        <v>VG1560118229</v>
      </c>
      <c r="C103" s="16" t="s">
        <v>105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1.25" customHeight="1">
      <c r="A104" s="13"/>
      <c r="B104" s="16" t="s">
        <v>106</v>
      </c>
      <c r="C104" s="16" t="s">
        <v>107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1.25" customHeight="1">
      <c r="A105" s="13"/>
      <c r="B105" s="16" t="s">
        <v>108</v>
      </c>
      <c r="C105" s="16" t="s">
        <v>109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1.25" customHeight="1">
      <c r="A106" s="13"/>
      <c r="B106" s="21" t="str">
        <f>HYPERLINK("http://china-parts.in.ua/p304820691-turbokompressor-290-280270270.html","VG2600118898")</f>
        <v>VG2600118898</v>
      </c>
      <c r="C106" s="16" t="s">
        <v>110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1.25" customHeight="1">
      <c r="A107" s="13"/>
      <c r="B107" s="21" t="str">
        <f>HYPERLINK("http://china-parts.in.ua/p304820633-chast-maslyanogo-schupa.html","VG1500010600")</f>
        <v>VG1500010600</v>
      </c>
      <c r="C107" s="16" t="s">
        <v>111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1.25" customHeight="1">
      <c r="A108" s="13"/>
      <c r="B108" s="16" t="s">
        <v>112</v>
      </c>
      <c r="C108" s="16" t="s">
        <v>113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1.25" customHeight="1">
      <c r="A109" s="1"/>
      <c r="B109" s="16"/>
      <c r="C109" s="17" t="s">
        <v>114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3"/>
      <c r="B110" s="21" t="str">
        <f>HYPERLINK("http://china-parts.in.ua/p304820226-skoba-golovki-bloka.html","VG1500040009")</f>
        <v>VG1500040009</v>
      </c>
      <c r="C110" s="16" t="s">
        <v>115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1.25" customHeight="1">
      <c r="A111" s="13"/>
      <c r="B111" s="21" t="str">
        <f>HYPERLINK("http://china-parts.in.ua/p304820109-blok-zazhimnoj-wd615.html","VG1500040012")</f>
        <v>VG1500040012</v>
      </c>
      <c r="C111" s="16" t="s">
        <v>116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1.25" customHeight="1">
      <c r="A112" s="13"/>
      <c r="B112" s="21" t="str">
        <f>HYPERLINK("http://china-parts.in.ua/p304820225-skoba-golovki-bloka.html","VG1200040027")</f>
        <v>VG1200040027</v>
      </c>
      <c r="C112" s="16" t="s">
        <v>117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1.25" customHeight="1">
      <c r="A113" s="13"/>
      <c r="B113" s="21" t="str">
        <f>HYPERLINK("http://china-parts.in.ua/p304820038-blok-tsilindrov-evro.html","AZ1099010077")</f>
        <v>AZ1099010077</v>
      </c>
      <c r="C113" s="16" t="s">
        <v>118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1.25" customHeight="1">
      <c r="A114" s="13"/>
      <c r="B114" s="22" t="str">
        <f>HYPERLINK("http://china-parts.in.ua/p304820037-blok-tsilindrov-sbore.html","61500010373")</f>
        <v>61500010373</v>
      </c>
      <c r="C114" s="16" t="s">
        <v>119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1.25" customHeight="1">
      <c r="A115" s="13"/>
      <c r="B115" s="22" t="str">
        <f>HYPERLINK("http://china-parts.in.ua/p304820040-blok-tsilindrov-shirokij.html","61500010383")</f>
        <v>61500010383</v>
      </c>
      <c r="C115" s="16" t="s">
        <v>120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1.25" customHeight="1">
      <c r="A116" s="13"/>
      <c r="B116" s="21" t="str">
        <f>HYPERLINK("http://china-parts.in.ua/p304820111-bolt-golovki-tsilindra.html","VG1500010185")</f>
        <v>VG1500010185</v>
      </c>
      <c r="C116" s="16" t="s">
        <v>121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1.25" customHeight="1">
      <c r="A117" s="13"/>
      <c r="B117" s="21" t="str">
        <f>HYPERLINK("http://china-parts.in.ua/p304820637-bolt-krepleniya-vyhlopnogo.html","VG2600111052")</f>
        <v>VG2600111052</v>
      </c>
      <c r="C117" s="16" t="s">
        <v>122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1.25" customHeight="1">
      <c r="A118" s="13"/>
      <c r="B118" s="21" t="str">
        <f>HYPERLINK("http://china-parts.in.ua/p304820250-bolt-kryshki-korennogo.html","VG14010217")</f>
        <v>VG14010217</v>
      </c>
      <c r="C118" s="16" t="s">
        <v>123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1.25" customHeight="1">
      <c r="A119" s="13"/>
      <c r="B119" s="22" t="str">
        <f>HYPERLINK("http://china-parts.in.ua/p304820248-bolt-krepleniya-mahovika.html","61500020046")</f>
        <v>61500020046</v>
      </c>
      <c r="C119" s="16" t="s">
        <v>124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1.25" customHeight="1">
      <c r="A120" s="13"/>
      <c r="B120" s="21" t="str">
        <f>HYPERLINK("http://china-parts.in.ua/p304820249-bolt-kryshki-korennogo.html","VG14010114")</f>
        <v>VG14010114</v>
      </c>
      <c r="C120" s="16" t="s">
        <v>125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1.25" customHeight="1">
      <c r="A121" s="13"/>
      <c r="B121" s="21" t="str">
        <f>HYPERLINK("http://china-parts.in.ua/p304820249-bolt-kryshki-korennogo.html","VG614050010")</f>
        <v>VG614050010</v>
      </c>
      <c r="C121" s="16" t="s">
        <v>126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1.25" customHeight="1">
      <c r="A122" s="13"/>
      <c r="B122" s="21" t="str">
        <f>HYPERLINK("http://china-parts.in.ua/p304820395-bolt-styazhnoj-wd615.html","AZ9112550227/28/29/30")</f>
        <v>AZ9112550227/28/29/30</v>
      </c>
      <c r="C122" s="16" t="s">
        <v>127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1.25" customHeight="1">
      <c r="A123" s="13"/>
      <c r="B123" s="22" t="str">
        <f>HYPERLINK("http://china-parts.in.ua/p503894457-bolt-shatuna-foton.html","81500030023")</f>
        <v>81500030023</v>
      </c>
      <c r="C123" s="16" t="s">
        <v>128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1.25" customHeight="1">
      <c r="A124" s="13"/>
      <c r="B124" s="21" t="str">
        <f>HYPERLINK("http://china-parts.in.ua/p304820251-bolt-shatuna-wd615.html","VG1500030023")</f>
        <v>VG1500030023</v>
      </c>
      <c r="C124" s="16" t="s">
        <v>129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1.25" customHeight="1">
      <c r="A125" s="13"/>
      <c r="B125" s="21" t="str">
        <f>HYPERLINK("http://china-parts.in.ua/p304820260-venets-obod-mahovika.html","VG2600020208")</f>
        <v>VG2600020208</v>
      </c>
      <c r="C125" s="16" t="s">
        <v>130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1.25" customHeight="1">
      <c r="A126" s="13"/>
      <c r="B126" s="21" t="str">
        <f>HYPERLINK("http://china-parts.in.ua/p304820263-venets-mahovika-z159.html","VG1400020009")</f>
        <v>VG1400020009</v>
      </c>
      <c r="C126" s="16" t="s">
        <v>131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1.25" customHeight="1">
      <c r="A127" s="13"/>
      <c r="B127" s="21" t="str">
        <f>HYPERLINK("http://china-parts.in.ua/p74282858-venets-mahovika-612600020208.html","612600020208-СК")</f>
        <v>612600020208-СК</v>
      </c>
      <c r="C127" s="16" t="s">
        <v>132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1.25" customHeight="1">
      <c r="A128" s="13"/>
      <c r="B128" s="21" t="str">
        <f>HYPERLINK("http://china-parts.in.ua/p304820260-venets-obod-mahovika.html","VG2600020208/VG1400020009")</f>
        <v>VG2600020208/VG1400020009</v>
      </c>
      <c r="C128" s="16" t="s">
        <v>133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1.25" customHeight="1">
      <c r="A129" s="13"/>
      <c r="B129" s="22" t="str">
        <f>HYPERLINK("http://china-parts.in.ua/p74282893-komplekt-vkladyshej-korennyh.html","81500010046")</f>
        <v>81500010046</v>
      </c>
      <c r="C129" s="16" t="s">
        <v>134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1.25" customHeight="1">
      <c r="A130" s="13"/>
      <c r="B130" s="21" t="str">
        <f>HYPERLINK("http://china-parts.in.ua/p304820264-vkladyshi-korennye-evro2.html","VG1500010046-LEO")</f>
        <v>VG1500010046-LEO</v>
      </c>
      <c r="C130" s="16" t="s">
        <v>135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1.25" customHeight="1">
      <c r="A131" s="13"/>
      <c r="B131" s="21" t="str">
        <f>HYPERLINK("http://china-parts.in.ua/p304820264-vkladyshi-korennye-evro2.html","VG1500010046-НТ")</f>
        <v>VG1500010046-НТ</v>
      </c>
      <c r="C131" s="16" t="s">
        <v>136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1.25" customHeight="1">
      <c r="A132" s="13"/>
      <c r="B132" s="21" t="str">
        <f>HYPERLINK("http://china-parts.in.ua/p304820264-vkladyshi-korennye-evro2.html","VG1500010046")</f>
        <v>VG1500010046</v>
      </c>
      <c r="C132" s="16" t="s">
        <v>137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1.25" customHeight="1">
      <c r="A133" s="13"/>
      <c r="B133" s="21" t="str">
        <f>HYPERLINK("http://china-parts.in.ua/p304820264-vkladyshi-korennye-evro2.html","VG1500010046-CK")</f>
        <v>VG1500010046-CK</v>
      </c>
      <c r="C133" s="16" t="s">
        <v>138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1.25" customHeight="1">
      <c r="A134" s="13"/>
      <c r="B134" s="21" t="str">
        <f>HYPERLINK("http://china-parts.in.ua/p304820266-vkladyshi-korennye-evro.html","VG1540010021122")</f>
        <v>VG1540010021122</v>
      </c>
      <c r="C134" s="16" t="s">
        <v>139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1.25" customHeight="1">
      <c r="A135" s="13"/>
      <c r="B135" s="21" t="str">
        <f>HYPERLINK("http://china-parts.in.ua/p304820272-vkladyshi-shatunnye-025050.html","VG1560030033/34")</f>
        <v>VG1560030033/34</v>
      </c>
      <c r="C135" s="16" t="s">
        <v>140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1.25" customHeight="1">
      <c r="A136" s="13"/>
      <c r="B136" s="21" t="str">
        <f>HYPERLINK("http://china-parts.in.ua/p304820272-vkladyshi-shatunnye-025050.html","VG1560030033/34-CK")</f>
        <v>VG1560030033/34-CK</v>
      </c>
      <c r="C136" s="16" t="s">
        <v>141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1.25" customHeight="1">
      <c r="A137" s="13"/>
      <c r="B137" s="22" t="str">
        <f>HYPERLINK("http://china-parts.in.ua/p74282832-komplekt-vkladyshej-shatunnyh.html","61560030033")</f>
        <v>61560030033</v>
      </c>
      <c r="C137" s="16" t="s">
        <v>142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1.25" customHeight="1">
      <c r="A138" s="13"/>
      <c r="B138" s="21" t="str">
        <f>HYPERLINK("http://china-parts.in.ua/p304820272-vkladyshi-shatunnye-025050.html","VG1560030033/4")</f>
        <v>VG1560030033/4</v>
      </c>
      <c r="C138" s="16" t="s">
        <v>143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1.25" customHeight="1">
      <c r="A139" s="13"/>
      <c r="B139" s="16" t="s">
        <v>144</v>
      </c>
      <c r="C139" s="16" t="s">
        <v>145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1.25" customHeight="1">
      <c r="A140" s="13"/>
      <c r="B140" s="16" t="s">
        <v>146</v>
      </c>
      <c r="C140" s="16" t="s">
        <v>147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1.25" customHeight="1">
      <c r="A141" s="13"/>
      <c r="B141" s="22" t="str">
        <f>HYPERLINK("http://china-parts.in.ua/p304820276-vkladyshi-shatunnye-wd618.html","61800030049")</f>
        <v>61800030049</v>
      </c>
      <c r="C141" s="16" t="s">
        <v>148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1.25" customHeight="1">
      <c r="A142" s="13"/>
      <c r="B142" s="21" t="str">
        <f>HYPERLINK("http://china-parts.in.ua/p304820277-vkladyshi-shatunnye-evro.html","VG1540030015/16")</f>
        <v>VG1540030015/16</v>
      </c>
      <c r="C142" s="16" t="s">
        <v>149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1.25" customHeight="1">
      <c r="A143" s="13"/>
      <c r="B143" s="21" t="str">
        <f>HYPERLINK("http://china-parts.in.ua/p304820730-vtulka-raspornaya-bolta.html","VG1500090027")</f>
        <v>VG1500090027</v>
      </c>
      <c r="C143" s="16" t="s">
        <v>150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1.25" customHeight="1">
      <c r="A144" s="13"/>
      <c r="B144" s="21" t="str">
        <f>HYPERLINK("http://china-parts.in.ua/p75032792-vtulki-raspredvala-vg1560010029.html","VG1560010029-1")</f>
        <v>VG1560010029-1</v>
      </c>
      <c r="C144" s="16" t="s">
        <v>151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1.25" customHeight="1">
      <c r="A145" s="13"/>
      <c r="B145" s="21" t="str">
        <f>HYPERLINK("http://china-parts.in.ua/p75032792-vtulki-raspredvala-vg1560010029.html","VG1560010029")</f>
        <v>VG1560010029</v>
      </c>
      <c r="C145" s="16" t="s">
        <v>152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1.25" customHeight="1">
      <c r="A146" s="13"/>
      <c r="B146" s="21" t="str">
        <f>HYPERLINK("http://china-parts.in.ua/p304820124-vtulka-raspredelitelnogo-vala.html","VG2600010990")</f>
        <v>VG2600010990</v>
      </c>
      <c r="C146" s="16" t="s">
        <v>153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1.25" customHeight="1">
      <c r="A147" s="13"/>
      <c r="B147" s="21" t="str">
        <f>HYPERLINK("http://china-parts.in.ua/p304820281-vtulka-shatuna-bolshaya.html","VG1500030077-1")</f>
        <v>VG1500030077-1</v>
      </c>
      <c r="C147" s="16" t="s">
        <v>154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1.25" customHeight="1">
      <c r="A148" s="13"/>
      <c r="B148" s="22" t="str">
        <f>HYPERLINK("http://china-parts.in.ua/p304815013-vtulka-porshnevogo-paltsa.html","61500030077")</f>
        <v>61500030077</v>
      </c>
      <c r="C148" s="16" t="s">
        <v>155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1.25" customHeight="1">
      <c r="A149" s="13"/>
      <c r="B149" s="21" t="str">
        <f>HYPERLINK("http://china-parts.in.ua/p304820281-vtulka-shatuna-bolshaya.html","VG1500030077")</f>
        <v>VG1500030077</v>
      </c>
      <c r="C149" s="16" t="s">
        <v>156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1.25" customHeight="1">
      <c r="A150" s="13"/>
      <c r="B150" s="21" t="str">
        <f>HYPERLINK("http://china-parts.in.ua/p304820112-bolt-gajka-regulirovochnye.html","VG2130050065")</f>
        <v>VG2130050065</v>
      </c>
      <c r="C150" s="16" t="s">
        <v>157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1.25" customHeight="1">
      <c r="A151" s="13"/>
      <c r="B151" s="22" t="str">
        <f>HYPERLINK("http://china-parts.in.ua/p304820287-gilza-tsilindra-61800010125.html","61800010125")</f>
        <v>61800010125</v>
      </c>
      <c r="C151" s="16" t="s">
        <v>158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1.25" customHeight="1">
      <c r="A152" s="13"/>
      <c r="B152" s="21" t="str">
        <f>HYPERLINK("http://china-parts.in.ua/p304820287-gilza-tsilindra-61800010125.html","61800010125-CK")</f>
        <v>61800010125-CK</v>
      </c>
      <c r="C152" s="16" t="s">
        <v>159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1.25" customHeight="1">
      <c r="A153" s="13"/>
      <c r="B153" s="21" t="str">
        <f>HYPERLINK("http://china-parts.in.ua/p304820305-gilza-tsilindra-vg1540010006.html","VG1540010006")</f>
        <v>VG1540010006</v>
      </c>
      <c r="C153" s="16" t="s">
        <v>160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1.25" customHeight="1">
      <c r="A154" s="13"/>
      <c r="B154" s="22" t="str">
        <f>HYPERLINK("http://china-parts.in.ua/p304820134-golovka-tsilindra-sbore.html","61500040058")</f>
        <v>61500040058</v>
      </c>
      <c r="C154" s="16" t="s">
        <v>161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1.25" customHeight="1">
      <c r="A155" s="13"/>
      <c r="B155" s="22" t="str">
        <f>HYPERLINK("http://china-parts.in.ua/p304820135-golovka-tsilindra-sbore.html","161560040058")</f>
        <v>161560040058</v>
      </c>
      <c r="C155" s="16" t="s">
        <v>162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1.25" customHeight="1">
      <c r="A156" s="13"/>
      <c r="B156" s="21" t="str">
        <f>HYPERLINK("http://china-parts.in.ua/p304820133-golovka-tsilindra-wd615.html","61260040282L")</f>
        <v>61260040282L</v>
      </c>
      <c r="C156" s="16" t="s">
        <v>163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1.25" customHeight="1">
      <c r="A157" s="13"/>
      <c r="B157" s="21" t="str">
        <f>HYPERLINK("http://china-parts.in.ua/p1625691-golovka-bloka-tsilindrov.html","61560040040A")</f>
        <v>61560040040A</v>
      </c>
      <c r="C157" s="16" t="s">
        <v>164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1.25" customHeight="1">
      <c r="A158" s="13"/>
      <c r="B158" s="21" t="str">
        <f>HYPERLINK("http://china-parts.in.ua/p304820136-golovka-tsilindra-sbore.html","R61540040002")</f>
        <v>R61540040002</v>
      </c>
      <c r="C158" s="16" t="s">
        <v>165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1.25" customHeight="1">
      <c r="A159" s="13"/>
      <c r="B159" s="21" t="str">
        <f>HYPERLINK("http://china-parts.in.ua/p19816209-dvigatel-sbore-euro.html","AZ6100004401")</f>
        <v>AZ6100004401</v>
      </c>
      <c r="C159" s="16" t="s">
        <v>166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1.25" customHeight="1">
      <c r="A160" s="13"/>
      <c r="B160" s="21" t="str">
        <f>HYPERLINK("http://china-parts.in.ua/p304820045-dvigatel-sbore-evro.html","AZ6100004361")</f>
        <v>AZ6100004361</v>
      </c>
      <c r="C160" s="16" t="s">
        <v>167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1.25" customHeight="1">
      <c r="A161" s="13"/>
      <c r="B161" s="21" t="str">
        <f>HYPERLINK("http://china-parts.in.ua/p304820309-dempfer-kolenvala-28038.html","VG1560020010")</f>
        <v>VG1560020010</v>
      </c>
      <c r="C161" s="16" t="s">
        <v>168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1.25" customHeight="1">
      <c r="A162" s="13"/>
      <c r="B162" s="21" t="str">
        <f>HYPERLINK("http://china-parts.in.ua/p304820307-dempfer-kolenvala-evro.html","VG1540020003")</f>
        <v>VG1540020003</v>
      </c>
      <c r="C162" s="16" t="s">
        <v>169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1.25" customHeight="1">
      <c r="A163" s="13"/>
      <c r="B163" s="21" t="str">
        <f>HYPERLINK("http://china-parts.in.ua/p304820181-opora-osi-koromysel.html","VG1540050010D")</f>
        <v>VG1540050010D</v>
      </c>
      <c r="C163" s="16" t="s">
        <v>170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1.25" customHeight="1">
      <c r="A164" s="13"/>
      <c r="B164" s="21" t="str">
        <f>HYPERLINK("http://china-parts.in.ua/p304820180-opora-osi-koromysel.html","VG14050119")</f>
        <v>VG14050119</v>
      </c>
      <c r="C164" s="16" t="s">
        <v>171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1.25" customHeight="1">
      <c r="A165" s="13"/>
      <c r="B165" s="21" t="str">
        <f>HYPERLINK("http://china-parts.in.ua/p304820049-karter-maslyanyj-poddon.html","VG1800150015")</f>
        <v>VG1800150015</v>
      </c>
      <c r="C165" s="16" t="s">
        <v>172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1.25" customHeight="1">
      <c r="A166" s="13"/>
      <c r="B166" s="21" t="str">
        <f>HYPERLINK("http://china-parts.in.ua/p304820054-karter-mahovika-wd615.html","AZ1500010012")</f>
        <v>AZ1500010012</v>
      </c>
      <c r="C166" s="16" t="s">
        <v>173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1.25" customHeight="1">
      <c r="A167" s="13"/>
      <c r="B167" s="22" t="str">
        <f>HYPERLINK("http://china-parts.in.ua/p304820055-karter-mahovika-evro.html","61540010010")</f>
        <v>61540010010</v>
      </c>
      <c r="C167" s="16" t="s">
        <v>174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1.25" customHeight="1">
      <c r="A168" s="13"/>
      <c r="B168" s="16" t="s">
        <v>175</v>
      </c>
      <c r="C168" s="16" t="s">
        <v>176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1.25" customHeight="1">
      <c r="A169" s="13"/>
      <c r="B169" s="21" t="str">
        <f>HYPERLINK("http://china-parts.in.ua/p304820142-klapan-vpusknoj-evro.html","VG1540050015")</f>
        <v>VG1540050015</v>
      </c>
      <c r="C169" s="16" t="s">
        <v>177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1.25" customHeight="1">
      <c r="A170" s="13"/>
      <c r="B170" s="21" t="str">
        <f>HYPERLINK("http://china-parts.in.ua/p503895164-klapan-vypusknoj-howo.html","612600050025/61560050041")</f>
        <v>612600050025/61560050041</v>
      </c>
      <c r="C170" s="16" t="s">
        <v>178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1.25" customHeight="1">
      <c r="A171" s="13"/>
      <c r="B171" s="21" t="str">
        <f>HYPERLINK("http://china-parts.in.ua/p304820147-klapan-vypusknoj-evro.html","VG1540050014")</f>
        <v>VG1540050014</v>
      </c>
      <c r="C171" s="16" t="s">
        <v>179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1.25" customHeight="1">
      <c r="A172" s="13"/>
      <c r="B172" s="21" t="str">
        <f>HYPERLINK("http://china-parts.in.ua/p304820145-klapan-vypusknoj-evro2.html","VG1560050041")</f>
        <v>VG1560050041</v>
      </c>
      <c r="C172" s="16" t="s">
        <v>180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1.25" customHeight="1">
      <c r="A173" s="13"/>
      <c r="B173" s="21" t="str">
        <f>HYPERLINK("http://china-parts.in.ua/p304820405-klapan-predohranitelnyj-sbore.html","VG1500070097")</f>
        <v>VG1500070097</v>
      </c>
      <c r="C173" s="16" t="s">
        <v>181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1.25" customHeight="1">
      <c r="A174" s="13"/>
      <c r="B174" s="21" t="str">
        <f>HYPERLINK("http://china-parts.in.ua/p304820604-klapan-predohranitelnyj-maslyanogo.html","VG1560070099")</f>
        <v>VG1560070099</v>
      </c>
      <c r="C174" s="16" t="s">
        <v>182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1.25" customHeight="1">
      <c r="A175" s="13"/>
      <c r="B175" s="22" t="str">
        <f>HYPERLINK("http://china-parts.in.ua/p304820259-val-kolenchatyj-kolenval.html","61560020029")</f>
        <v>61560020029</v>
      </c>
      <c r="C175" s="16" t="s">
        <v>183</v>
      </c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1.25" customHeight="1">
      <c r="A176" s="13"/>
      <c r="B176" s="21" t="str">
        <f>HYPERLINK("http://china-parts.in.ua/p304820256-val-kolenchatyj-kolenval.html","61560020029/24")</f>
        <v>61560020029/24</v>
      </c>
      <c r="C176" s="16" t="s">
        <v>184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1.25" customHeight="1">
      <c r="A177" s="13"/>
      <c r="B177" s="22" t="str">
        <f>HYPERLINK("http://china-parts.in.ua/p304820257-val-kolenchatyj-kolenval.html","61800020022")</f>
        <v>61800020022</v>
      </c>
      <c r="C177" s="16" t="s">
        <v>185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1.25" customHeight="1">
      <c r="A178" s="13"/>
      <c r="B178" s="21" t="str">
        <f>HYPERLINK("http://china-parts.in.ua/p304820255-val-kolenchatyj-kolenval.html","AZ1246020014")</f>
        <v>AZ1246020014</v>
      </c>
      <c r="C178" s="16" t="s">
        <v>186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1.25" customHeight="1">
      <c r="A179" s="13"/>
      <c r="B179" s="21" t="str">
        <f>HYPERLINK("http://china-parts.in.ua/p304820650-kollektor-vodyanogo-ohlazhdeniya.html","VG1500040102")</f>
        <v>VG1500040102</v>
      </c>
      <c r="C179" s="16" t="s">
        <v>187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1.25" customHeight="1">
      <c r="A180" s="13"/>
      <c r="B180" s="21" t="str">
        <f>HYPERLINK("http://china-parts.in.ua/p304820651-kollektor-vodyanogo-ohlazhdeniya.html","VG1500040104")</f>
        <v>VG1500040104</v>
      </c>
      <c r="C180" s="16" t="s">
        <v>188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1.25" customHeight="1">
      <c r="A181" s="13"/>
      <c r="B181" s="22" t="str">
        <f>HYPERLINK("http://china-parts.in.ua/p304820652-kollektor-vozdushnyj-wd615.html","612600113058")</f>
        <v>612600113058</v>
      </c>
      <c r="C181" s="16" t="s">
        <v>189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1.25" customHeight="1">
      <c r="A182" s="13"/>
      <c r="B182" s="21" t="str">
        <f>HYPERLINK("http://china-parts.in.ua/p304820653-kollektor-vozdushnyj-wd615.html","VG2600110131")</f>
        <v>VG2600110131</v>
      </c>
      <c r="C182" s="16" t="s">
        <v>190</v>
      </c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1.25" customHeight="1">
      <c r="A183" s="13"/>
      <c r="B183" s="21" t="str">
        <f>HYPERLINK("http://china-parts.in.ua/p304820655-kollektor-vpusknoj-wd615.html","VG2600110810")</f>
        <v>VG2600110810</v>
      </c>
      <c r="C183" s="16" t="s">
        <v>191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1.25" customHeight="1">
      <c r="A184" s="13"/>
      <c r="B184" s="22" t="str">
        <f>HYPERLINK("http://china-parts.in.ua/p304815068-vypusknoj-kollektor-zadnya.html","612600111280")</f>
        <v>612600111280</v>
      </c>
      <c r="C184" s="16" t="s">
        <v>192</v>
      </c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1.25" customHeight="1">
      <c r="A185" s="13"/>
      <c r="B185" s="21" t="str">
        <f>HYPERLINK("http://china-parts.in.ua/p304820663-kollektor-vypusknoj-zadnij.html","VG2600111136")</f>
        <v>VG2600111136</v>
      </c>
      <c r="C185" s="16" t="s">
        <v>193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1.25" customHeight="1">
      <c r="A186" s="13"/>
      <c r="B186" s="21" t="str">
        <f>HYPERLINK("http://china-parts.in.ua/p304820662-kollektor-vypusknoj-perednij.html","VG2600111137")</f>
        <v>VG2600111137</v>
      </c>
      <c r="C186" s="16" t="s">
        <v>194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1.25" customHeight="1">
      <c r="A187" s="13"/>
      <c r="B187" s="21" t="str">
        <f>HYPERLINK("http://china-parts.in.ua/p304820215-salnik-klapana-evro.html","VG15400040016")</f>
        <v>VG15400040016</v>
      </c>
      <c r="C187" s="16" t="s">
        <v>195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1.25" customHeight="1">
      <c r="A188" s="13"/>
      <c r="B188" s="22" t="str">
        <f>HYPERLINK("http://china-parts.in.ua/p304820150-kolpachok-maslosyomnyj-d14mm.html","61560040032")</f>
        <v>61560040032</v>
      </c>
      <c r="C188" s="16" t="s">
        <v>196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1.25" customHeight="1">
      <c r="A189" s="13"/>
      <c r="B189" s="21" t="str">
        <f>HYPERLINK("http://china-parts.in.ua/p304820213-salnik-klapana-maslosyomnyj.html","VG2600040114")</f>
        <v>VG2600040114</v>
      </c>
      <c r="C189" s="16" t="s">
        <v>197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1.25" customHeight="1">
      <c r="A190" s="13"/>
      <c r="B190" s="21" t="str">
        <f>HYPERLINK("http://china-parts.in.ua/p75032817-koltsa-porshnevye-vg1540030005.html","VG1540030005")</f>
        <v>VG1540030005</v>
      </c>
      <c r="C190" s="16" t="s">
        <v>198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1.25" customHeight="1">
      <c r="A191" s="13"/>
      <c r="B191" s="21" t="str">
        <f>HYPERLINK("http://china-parts.in.ua/p503894256-koltsa-porshnevye-wd615.html","VG1560030046/78/45")</f>
        <v>VG1560030046/78/45</v>
      </c>
      <c r="C191" s="16" t="s">
        <v>199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1.25" customHeight="1">
      <c r="A192" s="13"/>
      <c r="B192" s="21" t="str">
        <f>HYPERLINK("http://china-parts.in.ua/p75032818-koltso-vg260110162-howo.html","VG260110162")</f>
        <v>VG260110162</v>
      </c>
      <c r="C192" s="16" t="s">
        <v>200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1.25" customHeight="1">
      <c r="A193" s="13"/>
      <c r="B193" s="21" t="str">
        <f>HYPERLINK("http://china-parts.in.ua/p503894255-koltsa-porshnevye-wd615.html","61560030045/46/78-CK")</f>
        <v>61560030045/46/78-CK</v>
      </c>
      <c r="C193" s="16" t="s">
        <v>201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1.25" customHeight="1">
      <c r="A194" s="13"/>
      <c r="B194" s="21" t="str">
        <f>HYPERLINK("http://china-parts.in.ua/p75032875-prokladka-2600150106-howo.html","VG2600150106")</f>
        <v>VG2600150106</v>
      </c>
      <c r="C194" s="16" t="s">
        <v>202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1.25" customHeight="1">
      <c r="A195" s="13"/>
      <c r="B195" s="21" t="str">
        <f>HYPERLINK("http://china-parts.in.ua/p304820151-koltso-pruzhiny-klapana.html","VG1540050013")</f>
        <v>VG1540050013</v>
      </c>
      <c r="C195" s="16" t="s">
        <v>203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1.25" customHeight="1">
      <c r="A196" s="13"/>
      <c r="B196" s="21" t="str">
        <f>HYPERLINK("http://china-parts.in.ua/p304820342-polukoltso-kolenvala-wd615.html","VG1500010125")</f>
        <v>VG1500010125</v>
      </c>
      <c r="C196" s="16" t="s">
        <v>204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1.25" customHeight="1">
      <c r="A197" s="13"/>
      <c r="B197" s="16" t="s">
        <v>205</v>
      </c>
      <c r="C197" s="16" t="s">
        <v>206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1.25" customHeight="1">
      <c r="A198" s="13"/>
      <c r="B198" s="21" t="str">
        <f>HYPERLINK("http://china-parts.in.ua/p304820152-koltso-stopornoe-klapana.html","VG1540050012")</f>
        <v>VG1540050012</v>
      </c>
      <c r="C198" s="16" t="s">
        <v>207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1.25" customHeight="1">
      <c r="A199" s="13"/>
      <c r="B199" s="21" t="str">
        <f>HYPERLINK("http://china-parts.in.ua/p304820227-suhar-klapana-wd615.html","VG1500050025")</f>
        <v>VG1500050025</v>
      </c>
      <c r="C199" s="16" t="s">
        <v>208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1.25" customHeight="1">
      <c r="A200" s="13"/>
      <c r="B200" s="21" t="str">
        <f>HYPERLINK("http://china-parts.in.ua/p74282979-komplekt-stopornyh-kolets.html","VG1560030012")</f>
        <v>VG1560030012</v>
      </c>
      <c r="C200" s="16" t="s">
        <v>209</v>
      </c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1.25" customHeight="1">
      <c r="A201" s="13"/>
      <c r="B201" s="21" t="str">
        <f>HYPERLINK("http://china-parts.in.ua/p304820327-koltso-stopornoe-wd615.html","WG1560030012")</f>
        <v>WG1560030012</v>
      </c>
      <c r="C201" s="16" t="s">
        <v>210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1.25" customHeight="1">
      <c r="A202" s="13"/>
      <c r="B202" s="21" t="str">
        <f>HYPERLINK("http://china-parts.in.ua/p304820155-koromyslo-vpusknogo-klapana.html","VG14050048")</f>
        <v>VG14050048</v>
      </c>
      <c r="C202" s="16" t="s">
        <v>211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1.25" customHeight="1">
      <c r="A203" s="13"/>
      <c r="B203" s="21" t="str">
        <f>HYPERLINK("http://china-parts.in.ua/p304820159-koromyslo-vypusknogo-klapana.html","VG1540050033")</f>
        <v>VG1540050033</v>
      </c>
      <c r="C203" s="16" t="s">
        <v>212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1.25" customHeight="1">
      <c r="A204" s="13"/>
      <c r="B204" s="21" t="str">
        <f>HYPERLINK("http://china-parts.in.ua/p304820158-koromyslo-vypusknogo-klapana.html","VG14050049")</f>
        <v>VG14050049</v>
      </c>
      <c r="C204" s="16" t="s">
        <v>213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1.25" customHeight="1">
      <c r="A205" s="13"/>
      <c r="B205" s="21" t="str">
        <f>HYPERLINK("http://china-parts.in.ua/p304820156-koromyslo-vpusknogo-klapana.html","VG1540050032")</f>
        <v>VG1540050032</v>
      </c>
      <c r="C205" s="16" t="s">
        <v>214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1.25" customHeight="1">
      <c r="A206" s="13"/>
      <c r="B206" s="21" t="str">
        <f>HYPERLINK("http://china-parts.in.ua/p304820092-podushka-krepleniya-poddona.html","VG14150046")</f>
        <v>VG14150046</v>
      </c>
      <c r="C206" s="16" t="s">
        <v>215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1.25" customHeight="1">
      <c r="A207" s="13"/>
      <c r="B207" s="16" t="s">
        <v>216</v>
      </c>
      <c r="C207" s="16" t="s">
        <v>217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1.25" customHeight="1">
      <c r="A208" s="13"/>
      <c r="B208" s="21" t="str">
        <f>HYPERLINK("http://china-parts.in.ua/p304820058-kronshtejn-dvigatelya-levyj.html","AZ9731590015")</f>
        <v>AZ9731590015</v>
      </c>
      <c r="C208" s="16" t="s">
        <v>218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1.25" customHeight="1">
      <c r="A209" s="13"/>
      <c r="B209" s="21" t="str">
        <f>HYPERLINK("http://china-parts.in.ua/p304820060-kronshtejn-dvigatelya-pravyj.html","AZ9731590016")</f>
        <v>AZ9731590016</v>
      </c>
      <c r="C209" s="16" t="s">
        <v>219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1.25" customHeight="1">
      <c r="A210" s="13"/>
      <c r="B210" s="16" t="s">
        <v>220</v>
      </c>
      <c r="C210" s="16" t="s">
        <v>221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1.25" customHeight="1">
      <c r="A211" s="13"/>
      <c r="B211" s="21" t="str">
        <f>HYPERLINK("http://china-parts.in.ua/p304822377-podushka-bampera-howo.html","WG9725930029")</f>
        <v>WG9725930029</v>
      </c>
      <c r="C211" s="16" t="s">
        <v>222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1.25" customHeight="1">
      <c r="A212" s="13"/>
      <c r="B212" s="21" t="str">
        <f>HYPERLINK("http://china-parts.in.ua/p304820062-kronshtejn-krepleniya-dvigatelya.html","AZ9731590020")</f>
        <v>AZ9731590020</v>
      </c>
      <c r="C212" s="16" t="s">
        <v>223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1.25" customHeight="1">
      <c r="A213" s="13"/>
      <c r="B213" s="21" t="str">
        <f>HYPERLINK("http://china-parts.in.ua/p304820084-opora-amortizator-podushka.html","VG9100590009")</f>
        <v>VG9100590009</v>
      </c>
      <c r="C213" s="16" t="s">
        <v>224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1.25" customHeight="1">
      <c r="A214" s="13"/>
      <c r="B214" s="21" t="str">
        <f>HYPERLINK("http://china-parts.in.ua/p304820065-kronshtejn-krepleniya-dvigatelya.html","VG9100590119")</f>
        <v>VG9100590119</v>
      </c>
      <c r="C214" s="16" t="s">
        <v>225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1.25" customHeight="1">
      <c r="A215" s="13"/>
      <c r="B215" s="21" t="str">
        <f>HYPERLINK("http://china-parts.in.ua/p304822252-kronshtejn-howo-az9725930706.html","AZ9725930706")</f>
        <v>AZ9725930706</v>
      </c>
      <c r="C215" s="16" t="s">
        <v>226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1.25" customHeight="1">
      <c r="A216" s="13"/>
      <c r="B216" s="21" t="str">
        <f>HYPERLINK("http://china-parts.in.ua/p304820149-kolpachok-kryshka-klapana.html","VG1500050105")</f>
        <v>VG1500050105</v>
      </c>
      <c r="C216" s="16" t="s">
        <v>227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1.25" customHeight="1">
      <c r="A217" s="13"/>
      <c r="B217" s="22" t="str">
        <f>HYPERLINK("http://china-parts.in.ua/p304814990-kryshka-klapannogo-mehanizma.html","614040065")</f>
        <v>614040065</v>
      </c>
      <c r="C217" s="16" t="s">
        <v>228</v>
      </c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1.25" customHeight="1">
      <c r="A218" s="13"/>
      <c r="B218" s="21" t="str">
        <f>HYPERLINK("http://china-parts.in.ua/p304820168-kryshka-koromysel-verhnyaya.html","VG1246040003")</f>
        <v>VG1246040003</v>
      </c>
      <c r="C218" s="16" t="s">
        <v>229</v>
      </c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1.25" customHeight="1">
      <c r="A219" s="13"/>
      <c r="B219" s="22" t="str">
        <f>HYPERLINK("http://china-parts.in.ua/p503895195-kryshka-klapannaya-gbts.html","612600040149")</f>
        <v>612600040149</v>
      </c>
      <c r="C219" s="16" t="s">
        <v>230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1.25" customHeight="1">
      <c r="A220" s="13"/>
      <c r="B220" s="21" t="str">
        <f>HYPERLINK("http://china-parts.in.ua/p304820169-kryshka-koromysel-verhnyaya.html","VG1099040049")</f>
        <v>VG1099040049</v>
      </c>
      <c r="C220" s="16" t="s">
        <v>231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1.25" customHeight="1">
      <c r="A221" s="13"/>
      <c r="B221" s="21" t="str">
        <f>HYPERLINK("http://china-parts.in.ua/p304820166-kryshka-koromysel-verhnyaya.html","VG1099140019")</f>
        <v>VG1099140019</v>
      </c>
      <c r="C221" s="16" t="s">
        <v>232</v>
      </c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1.25" customHeight="1">
      <c r="A222" s="13"/>
      <c r="B222" s="21" t="str">
        <f>HYPERLINK("http://china-parts.in.ua/p304820167-kryshka-koromysel-verhnyaya.html","VG1099140020")</f>
        <v>VG1099140020</v>
      </c>
      <c r="C222" s="16" t="s">
        <v>233</v>
      </c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1.25" customHeight="1">
      <c r="A223" s="13"/>
      <c r="B223" s="21" t="str">
        <f>HYPERLINK("http://china-parts.in.ua/p304820170-kryshka-koromysel-nizhnyaya.html","VG1099040053")</f>
        <v>VG1099040053</v>
      </c>
      <c r="C223" s="16" t="s">
        <v>234</v>
      </c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1.25" customHeight="1">
      <c r="A224" s="13"/>
      <c r="B224" s="21" t="str">
        <f>HYPERLINK("http://china-parts.in.ua/p304820605-kryshka-maslozalivnoj-gorloviny.html","VG2600010489")</f>
        <v>VG2600010489</v>
      </c>
      <c r="C224" s="16" t="s">
        <v>235</v>
      </c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1.25" customHeight="1">
      <c r="A225" s="13"/>
      <c r="B225" s="22" t="str">
        <f>HYPERLINK("http://china-parts.in.ua/p304814989-korpus-gazoraspredelitelnogo-mehanizma.html","612600010932")</f>
        <v>612600010932</v>
      </c>
      <c r="C225" s="16" t="s">
        <v>236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1.25" customHeight="1">
      <c r="A226" s="13"/>
      <c r="B226" s="16" t="s">
        <v>237</v>
      </c>
      <c r="C226" s="16" t="s">
        <v>238</v>
      </c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1.25" customHeight="1">
      <c r="A227" s="13"/>
      <c r="B227" s="22" t="str">
        <f>HYPERLINK("http://china-parts.in.ua/p304820071-kryshka-dvigatelya-wd615.html","61557010008")</f>
        <v>61557010008</v>
      </c>
      <c r="C227" s="16" t="s">
        <v>239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1.25" customHeight="1">
      <c r="A228" s="13"/>
      <c r="B228" s="22" t="str">
        <f>HYPERLINK("http://china-parts.in.ua/p304820072-kryshka-dvigatelya-wd615.html","61860010094")</f>
        <v>61860010094</v>
      </c>
      <c r="C228" s="16" t="s">
        <v>240</v>
      </c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1.25" customHeight="1">
      <c r="A229" s="13"/>
      <c r="B229" s="21" t="str">
        <f>HYPERLINK("http://china-parts.in.ua/site_search?search_term=AZ1500010932","AZ1500010932")</f>
        <v>AZ1500010932</v>
      </c>
      <c r="C229" s="16" t="s">
        <v>241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1.25" customHeight="1">
      <c r="A230" s="13"/>
      <c r="B230" s="21" t="str">
        <f>HYPERLINK("http://china-parts.in.ua/p304820067-kryshka-bloka-perednyaya.html","AZ1500010933")</f>
        <v>AZ1500010933</v>
      </c>
      <c r="C230" s="16" t="s">
        <v>242</v>
      </c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1.25" customHeight="1">
      <c r="A231" s="13"/>
      <c r="B231" s="21" t="str">
        <f>HYPERLINK("http://china-parts.in.ua/p304820606-kryshka-maslyanogo-radiatora.html","VG14010083B")</f>
        <v>VG14010083B</v>
      </c>
      <c r="C231" s="16" t="s">
        <v>243</v>
      </c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1.25" customHeight="1">
      <c r="A232" s="13"/>
      <c r="B232" s="21" t="str">
        <f>HYPERLINK("http://china-parts.in.ua/p304820607-kryshka-maslyanogo-radiatora.html","VG1540010014A")</f>
        <v>VG1540010014A</v>
      </c>
      <c r="C232" s="16" t="s">
        <v>244</v>
      </c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1.25" customHeight="1">
      <c r="A233" s="13"/>
      <c r="B233" s="21" t="str">
        <f>HYPERLINK("http://china-parts.in.ua/p304820078-kryshka-shesterni-raspredvala.html","VG1500010008A")</f>
        <v>VG1500010008A</v>
      </c>
      <c r="C233" s="16" t="s">
        <v>245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1.25" customHeight="1">
      <c r="A234" s="13"/>
      <c r="B234" s="21" t="str">
        <f>HYPERLINK("http://china-parts.in.ua/p503896256-mahovik-howo-615.html","AZ612600020220")</f>
        <v>AZ612600020220</v>
      </c>
      <c r="C234" s="16" t="s">
        <v>246</v>
      </c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1.25" customHeight="1">
      <c r="A235" s="13"/>
      <c r="B235" s="22" t="str">
        <f>HYPERLINK("http://china-parts.in.ua/p503896256-mahovik-howo-615.html","612600020220")</f>
        <v>612600020220</v>
      </c>
      <c r="C235" s="16" t="s">
        <v>247</v>
      </c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1.25" customHeight="1">
      <c r="A236" s="13"/>
      <c r="B236" s="16" t="s">
        <v>248</v>
      </c>
      <c r="C236" s="16" t="s">
        <v>249</v>
      </c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1.25" customHeight="1">
      <c r="A237" s="13"/>
      <c r="B237" s="21" t="str">
        <f>HYPERLINK("http://china-parts.in.ua/p304820172-most-vpusknogo-klapana.html","VG1540050018B")</f>
        <v>VG1540050018B</v>
      </c>
      <c r="C237" s="16" t="s">
        <v>250</v>
      </c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1.25" customHeight="1">
      <c r="A238" s="13"/>
      <c r="B238" s="21" t="str">
        <f>HYPERLINK("http://china-parts.in.ua/p304820174-most-vypusknogo-klapana.html","VG1540050019В")</f>
        <v>VG1540050019В</v>
      </c>
      <c r="C238" s="16" t="s">
        <v>251</v>
      </c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1.25" customHeight="1">
      <c r="A239" s="13"/>
      <c r="B239" s="21" t="str">
        <f>HYPERLINK("http://china-parts.in.ua/p503895148-komplekt-prokladok-dvigatel.html","61560010701-LEO")</f>
        <v>61560010701-LEO</v>
      </c>
      <c r="C239" s="16" t="s">
        <v>252</v>
      </c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1.25" customHeight="1">
      <c r="A240" s="13"/>
      <c r="B240" s="16" t="s">
        <v>253</v>
      </c>
      <c r="C240" s="16" t="s">
        <v>254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1.25" customHeight="1">
      <c r="A241" s="13"/>
      <c r="B241" s="22" t="str">
        <f>HYPERLINK("http://china-parts.in.ua/p304820120-vtulka-napravlyayuschaya-klapana.html","61560040031")</f>
        <v>61560040031</v>
      </c>
      <c r="C241" s="16" t="s">
        <v>255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1.25" customHeight="1">
      <c r="A242" s="13"/>
      <c r="B242" s="21" t="str">
        <f>HYPERLINK("http://china-parts.in.ua/p304820177-napravlyayuschaya-klapana-evro.html","VG2600040113")</f>
        <v>VG2600040113</v>
      </c>
      <c r="C242" s="16" t="s">
        <v>256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1.25" customHeight="1">
      <c r="A243" s="13"/>
      <c r="B243" s="21" t="str">
        <f>HYPERLINK("http://china-parts.in.ua/p304820121-vtulka-napravlyayuschaya-klapana.html","VG1540040008")</f>
        <v>VG1540040008</v>
      </c>
      <c r="C243" s="16" t="s">
        <v>257</v>
      </c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1.25" customHeight="1">
      <c r="A244" s="13"/>
      <c r="B244" s="21" t="str">
        <f>HYPERLINK("http://china-parts.in.ua/p74282919-napravlyayuschaya-klapana-614040005.html","614040005/612600040113")</f>
        <v>614040005/612600040113</v>
      </c>
      <c r="C244" s="16" t="s">
        <v>258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1.25" customHeight="1">
      <c r="A245" s="13"/>
      <c r="B245" s="21" t="str">
        <f>HYPERLINK("http://china-parts.in.ua/p304820611-nasos-maslyanyj-sbore.html","VG1500070021")</f>
        <v>VG1500070021</v>
      </c>
      <c r="C245" s="16" t="s">
        <v>259</v>
      </c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1.25" customHeight="1">
      <c r="A246" s="13"/>
      <c r="B246" s="23">
        <v>6.1260006031E11</v>
      </c>
      <c r="C246" s="16" t="s">
        <v>260</v>
      </c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1.25" customHeight="1">
      <c r="A247" s="13"/>
      <c r="B247" s="21" t="str">
        <f>HYPERLINK("http://china-parts.in.ua/p304820579-rolik-natyazhnoj-wd615.html","VG1560060069")</f>
        <v>VG1560060069</v>
      </c>
      <c r="C247" s="16" t="s">
        <v>261</v>
      </c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1.25" customHeight="1">
      <c r="A248" s="13"/>
      <c r="B248" s="21" t="str">
        <f>HYPERLINK("http://china-parts.in.ua/p304820358-rolik-avtomaticheskij-natyazhnoj.html","VG2600060313")</f>
        <v>VG2600060313</v>
      </c>
      <c r="C248" s="16" t="s">
        <v>262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1.25" customHeight="1">
      <c r="A249" s="13"/>
      <c r="B249" s="21" t="str">
        <f>HYPERLINK("http://china-parts.in.ua/p304820088-opora-podushka-amortizator.html","VG9100590006")</f>
        <v>VG9100590006</v>
      </c>
      <c r="C249" s="16" t="s">
        <v>263</v>
      </c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1.25" customHeight="1">
      <c r="A250" s="13"/>
      <c r="B250" s="21" t="str">
        <f>HYPERLINK("http://china-parts.in.ua/p304820090-opora-levaya-dvigatelya.html","VG9100590116")</f>
        <v>VG9100590116</v>
      </c>
      <c r="C250" s="16" t="s">
        <v>264</v>
      </c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1.25" customHeight="1">
      <c r="A251" s="13"/>
      <c r="B251" s="21" t="str">
        <f>HYPERLINK("http://china-parts.in.ua/p304822251-kronshtejn-howo-az9725930704.html","AZ9725930704")</f>
        <v>AZ9725930704</v>
      </c>
      <c r="C251" s="16" t="s">
        <v>265</v>
      </c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1.25" customHeight="1">
      <c r="A252" s="13"/>
      <c r="B252" s="21" t="str">
        <f>HYPERLINK("http://china-parts.in.ua/p75032851-promezhutochnoj-shesterni-raspredvala.html","VG1560050044")</f>
        <v>VG1560050044</v>
      </c>
      <c r="C252" s="16" t="s">
        <v>266</v>
      </c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1.25" customHeight="1">
      <c r="A253" s="13"/>
      <c r="B253" s="16" t="s">
        <v>267</v>
      </c>
      <c r="C253" s="16" t="s">
        <v>268</v>
      </c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1.25" customHeight="1">
      <c r="A254" s="13"/>
      <c r="B254" s="21" t="str">
        <f>HYPERLINK("http://china-parts.in.ua/p304820340-palets-porshnevoj-evro.html","VG1560030013")</f>
        <v>VG1560030013</v>
      </c>
      <c r="C254" s="16" t="s">
        <v>269</v>
      </c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1.25" customHeight="1">
      <c r="A255" s="13"/>
      <c r="B255" s="16" t="s">
        <v>270</v>
      </c>
      <c r="C255" s="16" t="s">
        <v>271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1.25" customHeight="1">
      <c r="A256" s="13"/>
      <c r="B256" s="21" t="str">
        <f>HYPERLINK("http://china-parts.in.ua/p75032863-podushka-krepl-dvigatelya.html","AZ9725590031")</f>
        <v>AZ9725590031</v>
      </c>
      <c r="C256" s="16" t="s">
        <v>272</v>
      </c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1.25" customHeight="1">
      <c r="A257" s="13"/>
      <c r="B257" s="21" t="str">
        <f>HYPERLINK("http://china-parts.in.ua/p75032864-podushka-krepl-dvigatelya.html","WG1680590095")</f>
        <v>WG1680590095</v>
      </c>
      <c r="C257" s="16" t="s">
        <v>273</v>
      </c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1.25" customHeight="1">
      <c r="A258" s="13"/>
      <c r="B258" s="21" t="str">
        <f>HYPERLINK("http://china-parts.in.ua/p304820550-podushka-radiatora-sbore.html","AZ9719530272")</f>
        <v>AZ9719530272</v>
      </c>
      <c r="C258" s="16" t="s">
        <v>274</v>
      </c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1.25" customHeight="1">
      <c r="A259" s="13"/>
      <c r="B259" s="22" t="str">
        <f>HYPERLINK("http://china-parts.in.ua/p304820093-podshipnik-6019-wd615.html","1990003311410")</f>
        <v>1990003311410</v>
      </c>
      <c r="C259" s="16" t="s">
        <v>275</v>
      </c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1.25" customHeight="1">
      <c r="A260" s="13"/>
      <c r="B260" s="23">
        <v>1.9000331146E10</v>
      </c>
      <c r="C260" s="16" t="s">
        <v>276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1.25" customHeight="1">
      <c r="A261" s="13"/>
      <c r="B261" s="22" t="str">
        <f>HYPERLINK("http://china-parts.in.ua/p503897500-porshen-foton-3251.html","612600030011")</f>
        <v>612600030011</v>
      </c>
      <c r="C261" s="16" t="s">
        <v>277</v>
      </c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1.25" customHeight="1">
      <c r="A262" s="13"/>
      <c r="B262" s="21" t="str">
        <f>HYPERLINK("http://china-parts.in.ua/p503897500-porshen-foton-3251.html","612600030011-LEO")</f>
        <v>612600030011-LEO</v>
      </c>
      <c r="C262" s="16" t="s">
        <v>278</v>
      </c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1.25" customHeight="1">
      <c r="A263" s="13"/>
      <c r="B263" s="21" t="str">
        <f>HYPERLINK("http://china-parts.in.ua/p304820344-porshen-wd615-howo.html","VG1560030010")</f>
        <v>VG1560030010</v>
      </c>
      <c r="C263" s="16" t="s">
        <v>279</v>
      </c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1.25" customHeight="1">
      <c r="A264" s="13"/>
      <c r="B264" s="21" t="str">
        <f>HYPERLINK("http://china-parts.in.ua/p304820345-porshen-wd615-howo.html","VG260030011")</f>
        <v>VG260030011</v>
      </c>
      <c r="C264" s="16" t="s">
        <v>280</v>
      </c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1.25" customHeight="1">
      <c r="A265" s="13"/>
      <c r="B265" s="21" t="str">
        <f>HYPERLINK("http://china-parts.in.ua/p75032768-porshen-vg2600030011-howo.html","VG2600030011")</f>
        <v>VG2600030011</v>
      </c>
      <c r="C265" s="16" t="s">
        <v>281</v>
      </c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1.25" customHeight="1">
      <c r="A266" s="13"/>
      <c r="B266" s="21" t="str">
        <f>HYPERLINK("http://china-parts.in.ua/p304820450-remkomplekt-tnvd-toplivnogo.html","WD615E2-3A")</f>
        <v>WD615E2-3A</v>
      </c>
      <c r="C266" s="16" t="s">
        <v>282</v>
      </c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1.25" customHeight="1">
      <c r="A267" s="13"/>
      <c r="B267" s="21" t="str">
        <f>HYPERLINK("http://china-parts.in.ua/p503897502-porshnevaya-gruppa-11001.html","615600030011-CК")</f>
        <v>615600030011-CК</v>
      </c>
      <c r="C267" s="16" t="s">
        <v>283</v>
      </c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1.25" customHeight="1">
      <c r="A268" s="13"/>
      <c r="B268" s="21" t="str">
        <f>HYPERLINK("http://china-parts.in.ua/p503895150-kompressor-vozdushnyj-odnotsilindrovyj.html","61800130043-SPT-5-CK")</f>
        <v>61800130043-SPT-5-CK</v>
      </c>
      <c r="C268" s="16" t="s">
        <v>284</v>
      </c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1.25" customHeight="1">
      <c r="A269" s="13"/>
      <c r="B269" s="21" t="str">
        <f>HYPERLINK("http://china-parts.in.ua/p304815072-kopressor-vozdushnyj-sbore.html","612600130177-SPT-4")</f>
        <v>612600130177-SPT-4</v>
      </c>
      <c r="C269" s="16" t="s">
        <v>285</v>
      </c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1.25" customHeight="1">
      <c r="A270" s="13"/>
      <c r="B270" s="21" t="str">
        <f>HYPERLINK("http://china-parts.in.ua/p304820321-koltso-porshnevoe-evro.html","VG15400300/06/07/08")</f>
        <v>VG15400300/06/07/08</v>
      </c>
      <c r="C270" s="16" t="s">
        <v>286</v>
      </c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1.25" customHeight="1">
      <c r="A271" s="13"/>
      <c r="B271" s="21" t="str">
        <f>HYPERLINK("http://china-parts.in.ua/p304820320-koltso-porshnevoe-evro.html","VG1560030045/46/78")</f>
        <v>VG1560030045/46/78</v>
      </c>
      <c r="C271" s="16" t="s">
        <v>287</v>
      </c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1.25" customHeight="1">
      <c r="A272" s="13"/>
      <c r="B272" s="21" t="str">
        <f>HYPERLINK("http://china-parts.in.ua/p304820351-porshen-evro-wd615.html","VG1540030004")</f>
        <v>VG1540030004</v>
      </c>
      <c r="C272" s="16" t="s">
        <v>288</v>
      </c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1.25" customHeight="1">
      <c r="A273" s="13"/>
      <c r="B273" s="21" t="str">
        <f>HYPERLINK("http://china-parts.in.ua/p304820404-klapan-predohranitelnyj-wd615.html","VG14070069")</f>
        <v>VG14070069</v>
      </c>
      <c r="C273" s="16" t="s">
        <v>289</v>
      </c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1.25" customHeight="1">
      <c r="A274" s="13"/>
      <c r="B274" s="16" t="s">
        <v>290</v>
      </c>
      <c r="C274" s="16" t="s">
        <v>291</v>
      </c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1.25" customHeight="1">
      <c r="A275" s="13"/>
      <c r="B275" s="21" t="str">
        <f>HYPERLINK("http://china-parts.in.ua/p304820682-truba-priyomnaya-sbore.html","WG9719540009")</f>
        <v>WG9719540009</v>
      </c>
      <c r="C275" s="16" t="s">
        <v>292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1.25" customHeight="1">
      <c r="A276" s="13"/>
      <c r="B276" s="21" t="str">
        <f>HYPERLINK("http://china-parts.in.ua/p304820683-truba-priyomnaya-sbore.html","WG9719540012")</f>
        <v>WG9719540012</v>
      </c>
      <c r="C276" s="16" t="s">
        <v>293</v>
      </c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1.25" customHeight="1">
      <c r="A277" s="13"/>
      <c r="B277" s="23">
        <v>1.90003982121E11</v>
      </c>
      <c r="C277" s="16" t="s">
        <v>294</v>
      </c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1.25" customHeight="1">
      <c r="A278" s="13"/>
      <c r="B278" s="22" t="str">
        <f>HYPERLINK("http://china-parts.in.ua/p304820047-zaglushka-bloka-wd615.html","190003989210")</f>
        <v>190003989210</v>
      </c>
      <c r="C278" s="16" t="s">
        <v>295</v>
      </c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1.25" customHeight="1">
      <c r="A279" s="13"/>
      <c r="B279" s="22" t="str">
        <f>HYPERLINK("http://china-parts.in.ua/p304820048-zaglushka-bloka-wd615.html","190003989288")</f>
        <v>190003989288</v>
      </c>
      <c r="C279" s="16" t="s">
        <v>296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1.25" customHeight="1">
      <c r="A280" s="13"/>
      <c r="B280" s="21" t="str">
        <f>HYPERLINK("http://china-parts.in.ua/p304820619-probka-maslyannogo-poddona.html","VG2600150108")</f>
        <v>VG2600150108</v>
      </c>
      <c r="C280" s="16" t="s">
        <v>297</v>
      </c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1.25" customHeight="1">
      <c r="A281" s="13"/>
      <c r="B281" s="16" t="s">
        <v>298</v>
      </c>
      <c r="C281" s="16" t="s">
        <v>299</v>
      </c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1.25" customHeight="1">
      <c r="A282" s="13"/>
      <c r="B282" s="21" t="str">
        <f>HYPERLINK("http://china-parts.in.ua/p304820673-prokladka-kollektora-vpusknogo.html","VG1500110024")</f>
        <v>VG1500110024</v>
      </c>
      <c r="C282" s="16" t="s">
        <v>300</v>
      </c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1.25" customHeight="1">
      <c r="A283" s="13"/>
      <c r="B283" s="21" t="str">
        <f>HYPERLINK("http://china-parts.in.ua/p304820672-prokladka-kollektora-vozdushnogo.html","VG1540110018")</f>
        <v>VG1540110018</v>
      </c>
      <c r="C283" s="16" t="s">
        <v>301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1.25" customHeight="1">
      <c r="A284" s="13"/>
      <c r="B284" s="21" t="str">
        <f>HYPERLINK("http://china-parts.in.ua/p304820674-prokladka-kollektora-vypusknogo.html","VG1560110111")</f>
        <v>VG1560110111</v>
      </c>
      <c r="C284" s="16" t="s">
        <v>302</v>
      </c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1.25" customHeight="1">
      <c r="A285" s="13"/>
      <c r="B285" s="21" t="str">
        <f>HYPERLINK("http://china-parts.in.ua/p503896278-prokladka-vypusknogo-kollektora.html","61560110111/61560110242СК")</f>
        <v>61560110111/61560110242СК</v>
      </c>
      <c r="C285" s="16" t="s">
        <v>303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1.25" customHeight="1">
      <c r="A286" s="13"/>
      <c r="B286" s="21" t="str">
        <f>HYPERLINK("http://china-parts.in.ua/p75032876-prokladka-evro2-vg1500040049.html","VG1500040049")</f>
        <v>VG1500040049</v>
      </c>
      <c r="C286" s="16" t="s">
        <v>304</v>
      </c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1.25" customHeight="1">
      <c r="A287" s="13"/>
      <c r="B287" s="22" t="str">
        <f>HYPERLINK("http://china-parts.in.ua/p304820189-prokladka-golovki-bloka.html","612600040355")</f>
        <v>612600040355</v>
      </c>
      <c r="C287" s="16" t="s">
        <v>305</v>
      </c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1.25" customHeight="1">
      <c r="A288" s="13"/>
      <c r="B288" s="21" t="str">
        <f>HYPERLINK("http://china-parts.in.ua/p304820191-prokladka-golovki-tsilindrov.html","VG1540040015")</f>
        <v>VG1540040015</v>
      </c>
      <c r="C288" s="16" t="s">
        <v>306</v>
      </c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1.25" customHeight="1">
      <c r="A289" s="13"/>
      <c r="B289" s="21" t="str">
        <f>HYPERLINK("http://china-parts.in.ua/p74282847-prokladki-dvigatelya-komplekt.html","WD615-CK")</f>
        <v>WD615-CK</v>
      </c>
      <c r="C289" s="16" t="s">
        <v>307</v>
      </c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1.25" customHeight="1">
      <c r="A290" s="13"/>
      <c r="B290" s="16" t="s">
        <v>308</v>
      </c>
      <c r="C290" s="16" t="s">
        <v>309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1.25" customHeight="1">
      <c r="A291" s="13"/>
      <c r="B291" s="21" t="str">
        <f>HYPERLINK("http://china-parts.in.ua/p503897514-prokladka-klapannoj-kryshki.html","VG14040021")</f>
        <v>VG14040021</v>
      </c>
      <c r="C291" s="16" t="s">
        <v>310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1.25" customHeight="1">
      <c r="A292" s="13"/>
      <c r="B292" s="22" t="str">
        <f>HYPERLINK("http://china-parts.in.ua/p304814994-prokladka-kryshki-klapannogo.html","614040021")</f>
        <v>614040021</v>
      </c>
      <c r="C292" s="16" t="s">
        <v>311</v>
      </c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1.25" customHeight="1">
      <c r="A293" s="13"/>
      <c r="B293" s="21" t="str">
        <f>HYPERLINK("http://china-parts.in.ua/p304820200-prokladka-kryshki-klapanov.html","VG1099040052")</f>
        <v>VG1099040052</v>
      </c>
      <c r="C293" s="16" t="s">
        <v>312</v>
      </c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1.25" customHeight="1">
      <c r="A294" s="13"/>
      <c r="B294" s="21" t="str">
        <f>HYPERLINK("http://china-parts.in.ua/p304820202-prokladka-kryshki-klapanov.html","VG1099040051")</f>
        <v>VG1099040051</v>
      </c>
      <c r="C294" s="16" t="s">
        <v>313</v>
      </c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1.25" customHeight="1">
      <c r="A295" s="13"/>
      <c r="B295" s="21" t="str">
        <f>HYPERLINK("http://china-parts.in.ua/p304820675-prokladka-turbiny-rezinovaya.html","VG190320035")</f>
        <v>VG190320035</v>
      </c>
      <c r="C295" s="16" t="s">
        <v>314</v>
      </c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1.25" customHeight="1">
      <c r="A296" s="13"/>
      <c r="B296" s="21" t="str">
        <f>HYPERLINK("http://china-parts.in.ua/p304820620-prokladka-maslyanogo-poddona.html","VG14150004")</f>
        <v>VG14150004</v>
      </c>
      <c r="C296" s="16" t="s">
        <v>315</v>
      </c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1.25" customHeight="1">
      <c r="A297" s="13"/>
      <c r="B297" s="21" t="str">
        <f>HYPERLINK("http://china-parts.in.ua/p304820620-prokladka-maslyanogo-poddona.html","VG14150004-CK")</f>
        <v>VG14150004-CK</v>
      </c>
      <c r="C297" s="16" t="s">
        <v>316</v>
      </c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1.25" customHeight="1">
      <c r="A298" s="13"/>
      <c r="B298" s="21" t="str">
        <f>HYPERLINK("http://china-parts.in.ua/p304820676-prokladka-turbokompressora-turbiny.html","VG1540110017")</f>
        <v>VG1540110017</v>
      </c>
      <c r="C298" s="16" t="s">
        <v>317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1.25" customHeight="1">
      <c r="A299" s="13"/>
      <c r="B299" s="21" t="str">
        <f>HYPERLINK("http://china-parts.in.ua/p304820355-prokladka-dvigatel-evro.html","AZ1560010701")</f>
        <v>AZ1560010701</v>
      </c>
      <c r="C299" s="16" t="s">
        <v>318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1.25" customHeight="1">
      <c r="A300" s="13"/>
      <c r="B300" s="21" t="str">
        <f>HYPERLINK("http://china-parts.in.ua/p304820599-val-promezhutochnoj-shesterni.html","VG1500019018")</f>
        <v>VG1500019018</v>
      </c>
      <c r="C300" s="16" t="s">
        <v>319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1.25" customHeight="1">
      <c r="A301" s="13"/>
      <c r="B301" s="21" t="str">
        <f>HYPERLINK("http://china-parts.in.ua/p304820211-pruzhina-klapana-evro.html","VG1540050011")</f>
        <v>VG1540050011</v>
      </c>
      <c r="C301" s="16" t="s">
        <v>320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1.25" customHeight="1">
      <c r="A302" s="13"/>
      <c r="B302" s="21" t="str">
        <f>HYPERLINK("http://china-parts.in.ua/p304820208-pruzhina-klapana-vneshnyaya.html","VG1500050002")</f>
        <v>VG1500050002</v>
      </c>
      <c r="C302" s="16" t="s">
        <v>321</v>
      </c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1.25" customHeight="1">
      <c r="A303" s="13"/>
      <c r="B303" s="21" t="str">
        <f>HYPERLINK("http://china-parts.in.ua/p304820210-pruzhina-klapana-vnutrennyaya.html","VG1500050001")</f>
        <v>VG1500050001</v>
      </c>
      <c r="C303" s="16" t="s">
        <v>322</v>
      </c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1.25" customHeight="1">
      <c r="A304" s="13"/>
      <c r="B304" s="21" t="str">
        <f>HYPERLINK("http://china-parts.in.ua/p304820444-pruzhina-predohranitelnogo-klapana.html","VG14070068")</f>
        <v>VG14070068</v>
      </c>
      <c r="C304" s="16" t="s">
        <v>323</v>
      </c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1.25" customHeight="1">
      <c r="A305" s="13"/>
      <c r="B305" s="21" t="str">
        <f>HYPERLINK("http://china-parts.in.ua/p304820551-radiator-alyuminij-wd615.html","WG9719530011")</f>
        <v>WG9719530011</v>
      </c>
      <c r="C305" s="16" t="s">
        <v>324</v>
      </c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1.25" customHeight="1">
      <c r="A306" s="13"/>
      <c r="B306" s="21" t="str">
        <f>HYPERLINK("http://china-parts.in.ua/p304820553-radiator-sbore-mednyj.html","WG9719530010")</f>
        <v>WG9719530010</v>
      </c>
      <c r="C306" s="16" t="s">
        <v>325</v>
      </c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1.25" customHeight="1">
      <c r="A307" s="13"/>
      <c r="B307" s="21" t="str">
        <f>HYPERLINK("http://china-parts.in.ua/p304820552-radiator-sbore-alyuminij.html","WG9719530231")</f>
        <v>WG9719530231</v>
      </c>
      <c r="C307" s="16" t="s">
        <v>326</v>
      </c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1.25" customHeight="1">
      <c r="A308" s="13"/>
      <c r="B308" s="21" t="str">
        <f>HYPERLINK("http://china-parts.in.ua/p503897998-radiator-ohlazhdeniya-shaanxi.html","DZ9112539268")</f>
        <v>DZ9112539268</v>
      </c>
      <c r="C308" s="16" t="s">
        <v>327</v>
      </c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1.25" customHeight="1">
      <c r="A309" s="13"/>
      <c r="B309" s="21" t="str">
        <f>HYPERLINK("http://china-parts.in.ua/p304820574-radiator-sbore-mednyj.html","WG9719530230")</f>
        <v>WG9719530230</v>
      </c>
      <c r="C309" s="16" t="s">
        <v>328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1.25" customHeight="1">
      <c r="A310" s="13"/>
      <c r="B310" s="21" t="str">
        <f>HYPERLINK("http://china-parts.in.ua/p304822385-radiator-konditsionera-sbore.html","WG1630820073")</f>
        <v>WG1630820073</v>
      </c>
      <c r="C310" s="16" t="s">
        <v>329</v>
      </c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1.25" customHeight="1">
      <c r="A311" s="13"/>
      <c r="B311" s="21" t="str">
        <f>HYPERLINK("http://china-parts.in.ua/p304820621-radiator-maslyanyj-d12.html","VG1246070012")</f>
        <v>VG1246070012</v>
      </c>
      <c r="C311" s="16" t="s">
        <v>330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1.25" customHeight="1">
      <c r="A312" s="13"/>
      <c r="B312" s="21" t="str">
        <f>HYPERLINK("http://china-parts.in.ua/p304820623-teploobmennik-maslyanyj-radiator.html","VG1500010334")</f>
        <v>VG1500010334</v>
      </c>
      <c r="C312" s="16" t="s">
        <v>331</v>
      </c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1.25" customHeight="1">
      <c r="A313" s="13"/>
      <c r="B313" s="21" t="str">
        <f>HYPERLINK("http://china-parts.in.ua/p304822389-radiator-pechki-howo.html","AZ1630840074")</f>
        <v>AZ1630840074</v>
      </c>
      <c r="C313" s="16" t="s">
        <v>332</v>
      </c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1.25" customHeight="1">
      <c r="A314" s="13"/>
      <c r="B314" s="23">
        <v>9.9112530268E10</v>
      </c>
      <c r="C314" s="16" t="s">
        <v>333</v>
      </c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1.25" customHeight="1">
      <c r="A315" s="13"/>
      <c r="B315" s="21" t="str">
        <f>HYPERLINK("http://china-parts.in.ua/p304820116-val-raspredelitelnyj-raspredval.html","VG1500050096")</f>
        <v>VG1500050096</v>
      </c>
      <c r="C315" s="16" t="s">
        <v>334</v>
      </c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1.25" customHeight="1">
      <c r="A316" s="13"/>
      <c r="B316" s="21" t="str">
        <f>HYPERLINK("http://china-parts.in.ua/p75032890-remkomplekt-dvigatelya-evro.html","199100360736-H1")</f>
        <v>199100360736-H1</v>
      </c>
      <c r="C316" s="16" t="s">
        <v>335</v>
      </c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1.25" customHeight="1">
      <c r="A317" s="13"/>
      <c r="B317" s="21" t="str">
        <f>HYPERLINK("http://china-parts.in.ua/p304822313-oblitsovka-radiatora-sbore.html","WG162111011")</f>
        <v>WG162111011</v>
      </c>
      <c r="C317" s="16" t="s">
        <v>336</v>
      </c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1.25" customHeight="1">
      <c r="A318" s="13"/>
      <c r="B318" s="21" t="str">
        <f>HYPERLINK("http://china-parts.in.ua/p304820364-salnik-kolenvala-perednij.html","VG1500010037")</f>
        <v>VG1500010037</v>
      </c>
      <c r="C318" s="16" t="s">
        <v>337</v>
      </c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1.25" customHeight="1">
      <c r="A319" s="13"/>
      <c r="B319" s="21" t="str">
        <f>HYPERLINK("http://china-parts.in.ua/p304820360-salnik-kolenvala-evro.html","VG1047010038")</f>
        <v>VG1047010038</v>
      </c>
      <c r="C319" s="16" t="s">
        <v>338</v>
      </c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1.25" customHeight="1">
      <c r="A320" s="13"/>
      <c r="B320" s="21" t="str">
        <f>HYPERLINK("http://china-parts.in.ua/p304820220-sedlo-klapana-vpusknogo.html","VG1560040057")</f>
        <v>VG1560040057</v>
      </c>
      <c r="C320" s="16" t="s">
        <v>339</v>
      </c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1.25" customHeight="1">
      <c r="A321" s="13"/>
      <c r="B321" s="21" t="str">
        <f>HYPERLINK("http://china-parts.in.ua/p304820218-sedlo-klapana-vpusknogo.html","VG1540040006")</f>
        <v>VG1540040006</v>
      </c>
      <c r="C321" s="16" t="s">
        <v>340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1.25" customHeight="1">
      <c r="A322" s="13"/>
      <c r="B322" s="21" t="str">
        <f>HYPERLINK("http://china-parts.in.ua/p304820223-sedlo-klapana-vypusknogo.html","VG1560040037")</f>
        <v>VG1560040037</v>
      </c>
      <c r="C322" s="16" t="s">
        <v>341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1.25" customHeight="1">
      <c r="A323" s="13"/>
      <c r="B323" s="21" t="str">
        <f>HYPERLINK("http://china-parts.in.ua/p304820224-sedlo-klapana-vypusknogo.html","VG1540040007")</f>
        <v>VG1540040007</v>
      </c>
      <c r="C323" s="16" t="s">
        <v>342</v>
      </c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1.25" customHeight="1">
      <c r="A324" s="13"/>
      <c r="B324" s="21" t="str">
        <f>HYPERLINK("http://china-parts.in.ua/p304820331-kryshka-perednyaya-salnika.html","VG2600010928")</f>
        <v>VG2600010928</v>
      </c>
      <c r="C324" s="16" t="s">
        <v>343</v>
      </c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1.25" customHeight="1">
      <c r="A325" s="13"/>
      <c r="B325" s="21" t="str">
        <f>HYPERLINK("http://china-parts.in.ua/p304820183-opora-pruzhiny-vypusknogo.html","VG1500040014")</f>
        <v>VG1500040014</v>
      </c>
      <c r="C325" s="16" t="s">
        <v>344</v>
      </c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1.25" customHeight="1">
      <c r="A326" s="13"/>
      <c r="B326" s="21" t="str">
        <f>HYPERLINK("http://china-parts.in.ua/p304820184-opora-pruzhiny-klapana.html","VG1500050109")</f>
        <v>VG1500050109</v>
      </c>
      <c r="C326" s="16" t="s">
        <v>345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1.25" customHeight="1">
      <c r="A327" s="13"/>
      <c r="B327" s="21" t="str">
        <f>HYPERLINK("http://china-parts.in.ua/p304820182-opora-pruzhiny-vpusknogo.html","VG14050017")</f>
        <v>VG14050017</v>
      </c>
      <c r="C327" s="16" t="s">
        <v>346</v>
      </c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1.25" customHeight="1">
      <c r="A328" s="13"/>
      <c r="B328" s="21" t="str">
        <f>HYPERLINK("http://china-parts.in.ua/p74282989-tolkatel-klapana-vg1500050032.html","VG1500050032")</f>
        <v>VG1500050032</v>
      </c>
      <c r="C328" s="16" t="s">
        <v>347</v>
      </c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1.25" customHeight="1">
      <c r="A329" s="13"/>
      <c r="B329" s="21" t="str">
        <f>HYPERLINK("http://china-parts.in.ua/p304820591-flanets-ventilyatora-promezhutochnyj.html","VG1500060240")</f>
        <v>VG1500060240</v>
      </c>
      <c r="C329" s="16" t="s">
        <v>348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1.25" customHeight="1">
      <c r="A330" s="13"/>
      <c r="B330" s="21" t="str">
        <f>HYPERLINK("http://china-parts.in.ua/p304820368-flanets-mahovika-wd615.html","VG1500020070")</f>
        <v>VG1500020070</v>
      </c>
      <c r="C330" s="16" t="s">
        <v>349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1.25" customHeight="1">
      <c r="A331" s="13"/>
      <c r="B331" s="21" t="str">
        <f>HYPERLINK("http://china-parts.in.ua/p304820187-prokladka-wd615-howo.html","VG1540040023")</f>
        <v>VG1540040023</v>
      </c>
      <c r="C331" s="16" t="s">
        <v>350</v>
      </c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1.25" customHeight="1">
      <c r="A332" s="13"/>
      <c r="B332" s="21" t="str">
        <f>HYPERLINK("http://china-parts.in.ua/p304820445-raspylitel-wd615-howo.html","VG1560010090")</f>
        <v>VG1560010090</v>
      </c>
      <c r="C332" s="16" t="s">
        <v>351</v>
      </c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1.25" customHeight="1">
      <c r="A333" s="13"/>
      <c r="B333" s="21" t="str">
        <f>HYPERLINK("http://china-parts.in.ua/p304820701-homut-sbore-wd615.html","WG 9719540016")</f>
        <v>WG 9719540016</v>
      </c>
      <c r="C333" s="16" t="s">
        <v>352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1.25" customHeight="1">
      <c r="A334" s="13"/>
      <c r="B334" s="21" t="str">
        <f>HYPERLINK("http://china-parts.in.ua/p304820703-homut-turbokompressora-11011020.html","VG1500119215")</f>
        <v>VG1500119215</v>
      </c>
      <c r="C334" s="16" t="s">
        <v>353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1.25" customHeight="1">
      <c r="A335" s="13"/>
      <c r="B335" s="21" t="str">
        <f>HYPERLINK("http://china-parts.in.ua/p304820704-homut-turbokompressora-13013020.html","VG1500119216")</f>
        <v>VG1500119216</v>
      </c>
      <c r="C335" s="16" t="s">
        <v>354</v>
      </c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1.25" customHeight="1">
      <c r="A336" s="13"/>
      <c r="B336" s="21" t="str">
        <f>HYPERLINK("http://china-parts.in.ua/p304820702-homut-turbokompressora-10010020.html","VG1560110226")</f>
        <v>VG1560110226</v>
      </c>
      <c r="C336" s="16" t="s">
        <v>355</v>
      </c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1.25" customHeight="1">
      <c r="A337" s="13"/>
      <c r="B337" s="21" t="str">
        <f>HYPERLINK("http://china-parts.in.ua/p304820705-homut-turbokompressora-wd615.html","VG1034110100")</f>
        <v>VG1034110100</v>
      </c>
      <c r="C337" s="16" t="s">
        <v>356</v>
      </c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1.25" customHeight="1">
      <c r="A338" s="13"/>
      <c r="B338" s="21" t="str">
        <f>HYPERLINK("http://china-parts.in.ua/p19816214-gilza-tsilindra-vg1500010344.html","VG1500010344")</f>
        <v>VG1500010344</v>
      </c>
      <c r="C338" s="16" t="s">
        <v>357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1.25" customHeight="1">
      <c r="A339" s="13"/>
      <c r="B339" s="21" t="str">
        <f>HYPERLINK("http://china-parts.in.ua/p19816214-gilza-tsilindra-vg1500010344.html","VG1500010344-CK")</f>
        <v>VG1500010344-CK</v>
      </c>
      <c r="C339" s="16" t="s">
        <v>358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1.25" customHeight="1">
      <c r="A340" s="13"/>
      <c r="B340" s="21" t="str">
        <f>HYPERLINK("http://china-parts.in.ua/p304820236-shajba-rychaga-klapana.html","VG1540050020")</f>
        <v>VG1540050020</v>
      </c>
      <c r="C340" s="16" t="s">
        <v>359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1.25" customHeight="1">
      <c r="A341" s="13"/>
      <c r="B341" s="21" t="str">
        <f>HYPERLINK("http://china-parts.in.ua/p304820272-vkladyshi-shatunnye-025050.html","VG1500010125 +0.25")</f>
        <v>VG1500010125 +0.25</v>
      </c>
      <c r="C341" s="16" t="s">
        <v>360</v>
      </c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1.25" customHeight="1">
      <c r="A342" s="13"/>
      <c r="B342" s="21" t="str">
        <f>HYPERLINK("http://china-parts.in.ua/p304820330-koltso-upornoe-raspredvala.html","VG14050133")</f>
        <v>VG14050133</v>
      </c>
      <c r="C342" s="16" t="s">
        <v>361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1.25" customHeight="1">
      <c r="A343" s="13"/>
      <c r="B343" s="22" t="str">
        <f>HYPERLINK("http://china-parts.in.ua/p304820373-shatun-evro3-wd615.html","161500030008")</f>
        <v>161500030008</v>
      </c>
      <c r="C343" s="16" t="s">
        <v>362</v>
      </c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1.25" customHeight="1">
      <c r="A344" s="13"/>
      <c r="B344" s="23">
        <v>6.1500030008E10</v>
      </c>
      <c r="C344" s="16" t="s">
        <v>363</v>
      </c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1.25" customHeight="1">
      <c r="A345" s="13"/>
      <c r="B345" s="22" t="str">
        <f>HYPERLINK("http://china-parts.in.ua/p304820370-shatun-sbore-618.html","61800030040")</f>
        <v>61800030040</v>
      </c>
      <c r="C345" s="16" t="s">
        <v>364</v>
      </c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1.25" customHeight="1">
      <c r="A346" s="13"/>
      <c r="B346" s="21" t="str">
        <f>HYPERLINK("http://china-parts.in.ua/p304820377-shesternya-kolenvala-vala.html","VG14020038")</f>
        <v>VG14020038</v>
      </c>
      <c r="C346" s="16" t="s">
        <v>365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1.25" customHeight="1">
      <c r="A347" s="13"/>
      <c r="B347" s="21" t="str">
        <f>HYPERLINK("http://china-parts.in.ua/p304820381-shesternya-raspredvala-wd615.html","VG1500019014")</f>
        <v>VG1500019014</v>
      </c>
      <c r="C347" s="16" t="s">
        <v>366</v>
      </c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1.25" customHeight="1">
      <c r="A348" s="13"/>
      <c r="B348" s="21" t="str">
        <f>HYPERLINK("http://china-parts.in.ua/p19816391-shesternya-promezh-maslyanogo.html","VG14070061")</f>
        <v>VG14070061</v>
      </c>
      <c r="C348" s="16" t="s">
        <v>367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1.25" customHeight="1">
      <c r="A349" s="13"/>
      <c r="B349" s="21" t="str">
        <f>HYPERLINK("http://china-parts.in.ua/p75032949-shesternya-promezhutochnaya-vg1560050053.html","VG1560050053")</f>
        <v>VG1560050053</v>
      </c>
      <c r="C349" s="16" t="s">
        <v>368</v>
      </c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1.25" customHeight="1">
      <c r="A350" s="13"/>
      <c r="B350" s="21" t="str">
        <f>HYPERLINK("http://china-parts.in.ua/p304820380-shesternya-raspredvala-wd615.html","VG14050053")</f>
        <v>VG14050053</v>
      </c>
      <c r="C350" s="16" t="s">
        <v>369</v>
      </c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1.25" customHeight="1">
      <c r="A351" s="13"/>
      <c r="B351" s="21" t="str">
        <f>HYPERLINK("http://china-parts.in.ua/p304820593-shkiv-natyazhnoj-wd615.html","VG1560020016")</f>
        <v>VG1560020016</v>
      </c>
      <c r="C351" s="16" t="s">
        <v>370</v>
      </c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1.25" customHeight="1">
      <c r="A352" s="13"/>
      <c r="B352" s="21" t="str">
        <f>HYPERLINK("http://china-parts.in.ua/p304820594-shkiv-natyazhnoj-wd615.html","VG1560020020")</f>
        <v>VG1560020020</v>
      </c>
      <c r="C352" s="16" t="s">
        <v>371</v>
      </c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1.25" customHeight="1">
      <c r="A353" s="13"/>
      <c r="B353" s="21" t="str">
        <f>HYPERLINK("http://china-parts.in.ua/p304820592-shkiv-natyazhnoj-d12.html","VG1560020022")</f>
        <v>VG1560020022</v>
      </c>
      <c r="C353" s="16" t="s">
        <v>372</v>
      </c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1.25" customHeight="1">
      <c r="A354" s="13"/>
      <c r="B354" s="22" t="str">
        <f>HYPERLINK("http://china-parts.in.ua/p503897928-shpilka-gbts-vg1500010185.html","61500010185")</f>
        <v>61500010185</v>
      </c>
      <c r="C354" s="16" t="s">
        <v>373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1.25" customHeight="1">
      <c r="A355" s="13"/>
      <c r="B355" s="21" t="str">
        <f>HYPERLINK("http://china-parts.in.ua/p19816358-shtanga-tolkatelya.html","VG1500050070")</f>
        <v>VG1500050070</v>
      </c>
      <c r="C355" s="16" t="s">
        <v>374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1.25" customHeight="1">
      <c r="A356" s="13"/>
      <c r="B356" s="21" t="str">
        <f>HYPERLINK("http://china-parts.in.ua/p304820235-tolkatel-klapana-evro3.html","VG1540050008")</f>
        <v>VG1540050008</v>
      </c>
      <c r="C356" s="16" t="s">
        <v>375</v>
      </c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1.25" customHeight="1">
      <c r="A357" s="13"/>
      <c r="B357" s="21" t="str">
        <f>HYPERLINK("http://china-parts.in.ua/p304820632-chast-maslyanogo-schupa.html","VG2600010705")</f>
        <v>VG2600010705</v>
      </c>
      <c r="C357" s="16" t="s">
        <v>376</v>
      </c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1.25" customHeight="1">
      <c r="A358" s="1"/>
      <c r="B358" s="16"/>
      <c r="C358" s="17" t="s">
        <v>377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3"/>
      <c r="B359" s="21" t="str">
        <f>HYPERLINK("http://china-parts.in.ua/p304822558-bolt-kardannogo-vala.html","WG9000310049")</f>
        <v>WG9000310049</v>
      </c>
      <c r="C359" s="16" t="s">
        <v>378</v>
      </c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1.25" customHeight="1">
      <c r="A360" s="13"/>
      <c r="B360" s="21" t="str">
        <f>HYPERLINK("http://china-parts.in.ua/p503893789-bolt-krepleniya-kardana.html","WG9000310049-M14")</f>
        <v>WG9000310049-M14</v>
      </c>
      <c r="C360" s="16" t="s">
        <v>379</v>
      </c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1.25" customHeight="1">
      <c r="A361" s="13"/>
      <c r="B361" s="21" t="str">
        <f>HYPERLINK("http://china-parts.in.ua/p304822558-bolt-kardannogo-vala.html","WG9000310049-M16")</f>
        <v>WG9000310049-M16</v>
      </c>
      <c r="C361" s="16" t="s">
        <v>380</v>
      </c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1.25" customHeight="1">
      <c r="A362" s="13"/>
      <c r="B362" s="21" t="str">
        <f>HYPERLINK("http://china-parts.in.ua/p75032748-val-kardannyj-az9319311710.html","AZ9319311710")</f>
        <v>AZ9319311710</v>
      </c>
      <c r="C362" s="16" t="s">
        <v>381</v>
      </c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1.25" customHeight="1">
      <c r="A363" s="13"/>
      <c r="B363" s="16" t="s">
        <v>382</v>
      </c>
      <c r="C363" s="16" t="s">
        <v>383</v>
      </c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1.25" customHeight="1">
      <c r="A364" s="13"/>
      <c r="B364" s="16" t="s">
        <v>384</v>
      </c>
      <c r="C364" s="16" t="s">
        <v>385</v>
      </c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1.25" customHeight="1">
      <c r="A365" s="13"/>
      <c r="B365" s="21" t="str">
        <f>HYPERLINK("http://china-parts.in.ua/p75032747-val-kardannyj-az9114311441.html","AZ9114311441")</f>
        <v>AZ9114311441</v>
      </c>
      <c r="C365" s="16" t="s">
        <v>386</v>
      </c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1.25" customHeight="1">
      <c r="A366" s="13"/>
      <c r="B366" s="21" t="str">
        <f>HYPERLINK("http://china-parts.in.ua/p75032737-val-kardannyj-mezhosevoj.html","WG9014310125")</f>
        <v>WG9014310125</v>
      </c>
      <c r="C366" s="16" t="s">
        <v>387</v>
      </c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1.25" customHeight="1">
      <c r="A367" s="13"/>
      <c r="B367" s="21" t="str">
        <f>HYPERLINK("http://china-parts.in.ua/p304822565-val-kardannyj-mezhosevoj.html","AZ9320311675")</f>
        <v>AZ9320311675</v>
      </c>
      <c r="C367" s="16" t="s">
        <v>388</v>
      </c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1.25" customHeight="1">
      <c r="A368" s="13"/>
      <c r="B368" s="21" t="str">
        <f>HYPERLINK("http://china-parts.in.ua/p304822566-val-kardannyj-mezhosevoj.html","AZ932131185")</f>
        <v>AZ932131185</v>
      </c>
      <c r="C368" s="16" t="s">
        <v>389</v>
      </c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1.25" customHeight="1">
      <c r="A369" s="13"/>
      <c r="B369" s="22" t="str">
        <f>HYPERLINK("http://china-parts.in.ua/p304822568-val-kardannyj-mezhosevoj.html","199012310126")</f>
        <v>199012310126</v>
      </c>
      <c r="C369" s="16" t="s">
        <v>390</v>
      </c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1.25" customHeight="1">
      <c r="A370" s="13"/>
      <c r="B370" s="21" t="str">
        <f>HYPERLINK("http://china-parts.in.ua/p304822570-val-kardannyj-mezhosevoj.html","AZ9115314492")</f>
        <v>AZ9115314492</v>
      </c>
      <c r="C370" s="16" t="s">
        <v>391</v>
      </c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1.25" customHeight="1">
      <c r="A371" s="13"/>
      <c r="B371" s="16" t="s">
        <v>392</v>
      </c>
      <c r="C371" s="16" t="s">
        <v>393</v>
      </c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1.25" customHeight="1">
      <c r="A372" s="13"/>
      <c r="B372" s="21" t="str">
        <f>HYPERLINK("http://china-parts.in.ua/p503896030-val-kardannyj-privoda.html","26013310010/1-500")</f>
        <v>26013310010/1-500</v>
      </c>
      <c r="C372" s="16" t="s">
        <v>394</v>
      </c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1.25" customHeight="1">
      <c r="A373" s="13"/>
      <c r="B373" s="21" t="str">
        <f>HYPERLINK("http://china-parts.in.ua/p503896028-val-kardannyj-privoda.html","26013310010/1-540")</f>
        <v>26013310010/1-540</v>
      </c>
      <c r="C373" s="16" t="s">
        <v>395</v>
      </c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1.25" customHeight="1">
      <c r="A374" s="13"/>
      <c r="B374" s="21" t="str">
        <f>HYPERLINK("http://china-parts.in.ua/p304822571-val-kardannyj-podema.html","AZ9319311740")</f>
        <v>AZ9319311740</v>
      </c>
      <c r="C374" s="16" t="s">
        <v>396</v>
      </c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1.25" customHeight="1">
      <c r="A375" s="13"/>
      <c r="B375" s="21" t="str">
        <f>HYPERLINK("http://china-parts.in.ua/p75032809-val-kardannyj-podema.html","99112290664 50")</f>
        <v>99112290664 50</v>
      </c>
      <c r="C375" s="16" t="s">
        <v>397</v>
      </c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1.25" customHeight="1">
      <c r="A376" s="13"/>
      <c r="B376" s="21" t="str">
        <f>HYPERLINK("http://china-parts.in.ua/p75032811-val-kardannyj-podema.html","99112290664 52")</f>
        <v>99112290664 52</v>
      </c>
      <c r="C376" s="16" t="s">
        <v>398</v>
      </c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1.25" customHeight="1">
      <c r="A377" s="13"/>
      <c r="B377" s="21" t="str">
        <f>HYPERLINK("http://china-parts.in.ua/p75032812-val-kardannyj-podema.html","99112290664 54")</f>
        <v>99112290664 54</v>
      </c>
      <c r="C377" s="16" t="s">
        <v>399</v>
      </c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1.25" customHeight="1">
      <c r="A378" s="13"/>
      <c r="B378" s="16" t="s">
        <v>400</v>
      </c>
      <c r="C378" s="16" t="s">
        <v>401</v>
      </c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1.25" customHeight="1">
      <c r="A379" s="13"/>
      <c r="B379" s="16" t="s">
        <v>402</v>
      </c>
      <c r="C379" s="16" t="s">
        <v>403</v>
      </c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1.25" customHeight="1">
      <c r="A380" s="13"/>
      <c r="B380" s="16" t="s">
        <v>404</v>
      </c>
      <c r="C380" s="16" t="s">
        <v>405</v>
      </c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1.25" customHeight="1">
      <c r="A381" s="13"/>
      <c r="B381" s="16" t="s">
        <v>406</v>
      </c>
      <c r="C381" s="16" t="s">
        <v>407</v>
      </c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1.25" customHeight="1">
      <c r="A382" s="13"/>
      <c r="B382" s="16" t="s">
        <v>408</v>
      </c>
      <c r="C382" s="16" t="s">
        <v>409</v>
      </c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1.25" customHeight="1">
      <c r="A383" s="13"/>
      <c r="B383" s="21" t="str">
        <f>HYPERLINK("http://china-parts.in.ua/p304822569-val-kardannyj-mezhosevoj.html","AZ9716310590")</f>
        <v>AZ9716310590</v>
      </c>
      <c r="C383" s="16" t="s">
        <v>410</v>
      </c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1.25" customHeight="1">
      <c r="A384" s="13"/>
      <c r="B384" s="23">
        <v>2.601334052E9</v>
      </c>
      <c r="C384" s="16" t="s">
        <v>411</v>
      </c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1.25" customHeight="1">
      <c r="A385" s="13"/>
      <c r="B385" s="22" t="str">
        <f>HYPERLINK("http://china-parts.in.ua/p304822563-gajka-flantsa-kardana.html","26013314052")</f>
        <v>26013314052</v>
      </c>
      <c r="C385" s="16" t="s">
        <v>412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1.25" customHeight="1">
      <c r="A386" s="13"/>
      <c r="B386" s="22" t="str">
        <f>HYPERLINK("http://china-parts.in.ua/p304820897-koltso-stopornoe-kpp.html","99100310703")</f>
        <v>99100310703</v>
      </c>
      <c r="C386" s="16" t="s">
        <v>413</v>
      </c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1.25" customHeight="1">
      <c r="A387" s="13"/>
      <c r="B387" s="22" t="str">
        <f>HYPERLINK("http://china-parts.in.ua/p304820898-koltso-stopornoe-kpp.html","99100310705")</f>
        <v>99100310705</v>
      </c>
      <c r="C387" s="16" t="s">
        <v>414</v>
      </c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1.25" customHeight="1">
      <c r="A388" s="13"/>
      <c r="B388" s="22" t="str">
        <f>HYPERLINK("http://china-parts.in.ua/p304820899-koltso-stopornoe-kpp.html","99100310704")</f>
        <v>99100310704</v>
      </c>
      <c r="C388" s="16" t="s">
        <v>415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1.25" customHeight="1">
      <c r="A389" s="13"/>
      <c r="B389" s="16" t="s">
        <v>416</v>
      </c>
      <c r="C389" s="16" t="s">
        <v>417</v>
      </c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1.25" customHeight="1">
      <c r="A390" s="13"/>
      <c r="B390" s="21" t="str">
        <f>HYPERLINK("http://china-parts.in.ua/p75032824-krestovina-kardannogo-vala.html","AZ26013314080")</f>
        <v>AZ26013314080</v>
      </c>
      <c r="C390" s="16" t="s">
        <v>418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1.25" customHeight="1">
      <c r="A391" s="13"/>
      <c r="B391" s="21" t="str">
        <f>HYPERLINK("http://china-parts.in.ua/p503893992-krestovina-kardannogo-vala.html","AZ26013314080-CK")</f>
        <v>AZ26013314080-CK</v>
      </c>
      <c r="C391" s="16" t="s">
        <v>419</v>
      </c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1.25" customHeight="1">
      <c r="A392" s="13"/>
      <c r="B392" s="22" t="str">
        <f>HYPERLINK("http://china-parts.in.ua/p304822574-krestovina-kardannogo-vala.html","9115311060")</f>
        <v>9115311060</v>
      </c>
      <c r="C392" s="16" t="s">
        <v>420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1.25" customHeight="1">
      <c r="A393" s="13"/>
      <c r="B393" s="16" t="s">
        <v>421</v>
      </c>
      <c r="C393" s="16" t="s">
        <v>422</v>
      </c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1.25" customHeight="1">
      <c r="A394" s="13"/>
      <c r="B394" s="22" t="str">
        <f>HYPERLINK("http://china-parts.in.ua/p304822575-krestovina-kardannogo-vala.html","26013314080")</f>
        <v>26013314080</v>
      </c>
      <c r="C394" s="16" t="s">
        <v>423</v>
      </c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1.25" customHeight="1">
      <c r="A395" s="13"/>
      <c r="B395" s="21" t="str">
        <f>HYPERLINK("http://china-parts.in.ua/p75032824-krestovina-kardannogo-vala.html","AZ26013314080\26013314080")</f>
        <v>AZ26013314080\26013314080</v>
      </c>
      <c r="C395" s="16" t="s">
        <v>424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1.25" customHeight="1">
      <c r="A396" s="13"/>
      <c r="B396" s="22" t="str">
        <f>HYPERLINK("http://china-parts.in.ua/p304822573-krestovina-kardannogo-vala.html","19036311080")</f>
        <v>19036311080</v>
      </c>
      <c r="C396" s="16" t="s">
        <v>425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1.25" customHeight="1">
      <c r="A397" s="13"/>
      <c r="B397" s="21" t="str">
        <f>HYPERLINK("http://china-parts.in.ua/p503894244-krestovina-kardana-57h152.html","A6204100031")</f>
        <v>A6204100031</v>
      </c>
      <c r="C397" s="16" t="s">
        <v>426</v>
      </c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1.25" customHeight="1">
      <c r="A398" s="13"/>
      <c r="B398" s="21" t="str">
        <f>HYPERLINK("http://china-parts.in.ua/p503893635-krestovina-kardana-57h144.html","AZ19036311080-CK")</f>
        <v>AZ19036311080-CK</v>
      </c>
      <c r="C398" s="16" t="s">
        <v>427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1.25" customHeight="1">
      <c r="A399" s="13"/>
      <c r="B399" s="16" t="s">
        <v>428</v>
      </c>
      <c r="C399" s="16" t="s">
        <v>429</v>
      </c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1.25" customHeight="1">
      <c r="A400" s="13"/>
      <c r="B400" s="16" t="s">
        <v>430</v>
      </c>
      <c r="C400" s="16" t="s">
        <v>431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1.25" customHeight="1">
      <c r="A401" s="13"/>
      <c r="B401" s="21" t="str">
        <f>HYPERLINK("http://china-parts.in.ua/p75032826-krestovina-kardannogo-vala.html","AZ9719470043")</f>
        <v>AZ9719470043</v>
      </c>
      <c r="C401" s="16" t="s">
        <v>432</v>
      </c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1.25" customHeight="1">
      <c r="A402" s="13"/>
      <c r="B402" s="21" t="str">
        <f>HYPERLINK("http://china-parts.in.ua/p304822576-podshipnik-podvesnoj-kardannogo.html","AZ954100622")</f>
        <v>AZ954100622</v>
      </c>
      <c r="C402" s="16" t="s">
        <v>433</v>
      </c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1.25" customHeight="1">
      <c r="A403" s="13"/>
      <c r="B403" s="21" t="str">
        <f>HYPERLINK("http://china-parts.in.ua/p304822580-podshipnik-podvesnoj-kardannogo.html","AZ9115314120")</f>
        <v>AZ9115314120</v>
      </c>
      <c r="C403" s="16" t="s">
        <v>434</v>
      </c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1.25" customHeight="1">
      <c r="A404" s="13"/>
      <c r="B404" s="22" t="str">
        <f>HYPERLINK("http://china-parts.in.ua/p304822582-podshipnik-podvesnoj-kardannogo.html","26013314045")</f>
        <v>26013314045</v>
      </c>
      <c r="C404" s="16" t="s">
        <v>435</v>
      </c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1.25" customHeight="1">
      <c r="A405" s="13"/>
      <c r="B405" s="21" t="str">
        <f>HYPERLINK("http://china-parts.in.ua/p503895597-podshipnik-podvesnoj-howo.html","26013314030-70-CK")</f>
        <v>26013314030-70-CK</v>
      </c>
      <c r="C405" s="16" t="s">
        <v>436</v>
      </c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1.25" customHeight="1">
      <c r="A406" s="13"/>
      <c r="B406" s="21" t="str">
        <f>HYPERLINK("http://china-parts.in.ua/p75032872-podshipnik-podvesnoj-kardannogo.html","26013314030-70-CK")</f>
        <v>26013314030-70-CK</v>
      </c>
      <c r="C406" s="16" t="s">
        <v>437</v>
      </c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1.25" customHeight="1">
      <c r="A407" s="13"/>
      <c r="B407" s="21" t="str">
        <f>HYPERLINK("http://china-parts.in.ua/p304854758-tsentralnaya-opora-sbore.html","99114310100-2204030-В")</f>
        <v>99114310100-2204030-В</v>
      </c>
      <c r="C407" s="16" t="s">
        <v>438</v>
      </c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1.25" customHeight="1">
      <c r="A408" s="13"/>
      <c r="B408" s="22" t="str">
        <f>HYPERLINK("http://china-parts.in.ua/p75032870-podshipnik-podvesnoj-kardannogo.html","26013314030")</f>
        <v>26013314030</v>
      </c>
      <c r="C408" s="16" t="s">
        <v>439</v>
      </c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1.25" customHeight="1">
      <c r="A409" s="13"/>
      <c r="B409" s="21" t="str">
        <f>HYPERLINK("http://china-parts.in.ua/p75032871-podshipnik-podvesnoj-kardannogo.html","26013314030 60")</f>
        <v>26013314030 60</v>
      </c>
      <c r="C409" s="16" t="s">
        <v>440</v>
      </c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1.25" customHeight="1">
      <c r="A410" s="13"/>
      <c r="B410" s="21" t="str">
        <f>HYPERLINK("http://china-parts.in.ua/p75032871-podshipnik-podvesnoj-kardannogo.html","26013314030-60")</f>
        <v>26013314030-60</v>
      </c>
      <c r="C410" s="16" t="s">
        <v>441</v>
      </c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1.25" customHeight="1">
      <c r="A411" s="13"/>
      <c r="B411" s="21" t="str">
        <f>HYPERLINK("http://china-parts.in.ua/p75032872-podshipnik-podvesnoj-kardannogo.html","26013314030 70")</f>
        <v>26013314030 70</v>
      </c>
      <c r="C411" s="16" t="s">
        <v>442</v>
      </c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1.25" customHeight="1">
      <c r="A412" s="13"/>
      <c r="B412" s="21" t="str">
        <f>HYPERLINK("http://china-parts.in.ua/p75032872-podshipnik-podvesnoj-kardannogo.html","26013314030-70")</f>
        <v>26013314030-70</v>
      </c>
      <c r="C412" s="16" t="s">
        <v>443</v>
      </c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1.25" customHeight="1">
      <c r="A413" s="13"/>
      <c r="B413" s="16" t="s">
        <v>444</v>
      </c>
      <c r="C413" s="16" t="s">
        <v>445</v>
      </c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1.25" customHeight="1">
      <c r="A414" s="13"/>
      <c r="B414" s="16" t="s">
        <v>446</v>
      </c>
      <c r="C414" s="16" t="s">
        <v>447</v>
      </c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1.25" customHeight="1">
      <c r="A415" s="13"/>
      <c r="B415" s="16" t="s">
        <v>448</v>
      </c>
      <c r="C415" s="16" t="s">
        <v>449</v>
      </c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1.25" customHeight="1">
      <c r="A416" s="13"/>
      <c r="B416" s="22" t="str">
        <f>HYPERLINK("http://china-parts.in.ua/p304822688-flanets-reduktora-sbore.html","199014320261")</f>
        <v>199014320261</v>
      </c>
      <c r="C416" s="16" t="s">
        <v>450</v>
      </c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1.25" customHeight="1">
      <c r="A417" s="13"/>
      <c r="B417" s="16" t="s">
        <v>451</v>
      </c>
      <c r="C417" s="16" t="s">
        <v>452</v>
      </c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1.25" customHeight="1">
      <c r="A418" s="13"/>
      <c r="B418" s="21" t="str">
        <f>HYPERLINK("http://china-parts.in.ua/p503895094-flanets-kardannogo-vala.html","CDZBCH57")</f>
        <v>CDZBCH57</v>
      </c>
      <c r="C418" s="16" t="s">
        <v>453</v>
      </c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1.25" customHeight="1">
      <c r="A419" s="13"/>
      <c r="B419" s="21" t="str">
        <f>HYPERLINK("http://china-parts.in.ua/p304822687-flanets-reduktora-165.html","AZ9112320110")</f>
        <v>AZ9112320110</v>
      </c>
      <c r="C419" s="16" t="s">
        <v>454</v>
      </c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1.25" customHeight="1">
      <c r="A420" s="13"/>
      <c r="B420" s="22" t="str">
        <f>HYPERLINK("http://china-parts.in.ua/p75032909-flanets-kardannogo-vala.html","26013314062")</f>
        <v>26013314062</v>
      </c>
      <c r="C420" s="16" t="s">
        <v>455</v>
      </c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1.25" customHeight="1">
      <c r="A421" s="13"/>
      <c r="B421" s="21" t="str">
        <f>HYPERLINK("http://china-parts.in.ua/p75032910-flanets-kardannogo-vala.html","AZ9113314062")</f>
        <v>AZ9113314062</v>
      </c>
      <c r="C421" s="16" t="s">
        <v>456</v>
      </c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1.25" customHeight="1">
      <c r="A422" s="13"/>
      <c r="B422" s="22" t="str">
        <f>HYPERLINK("http://china-parts.in.ua/p75032911-flanets-kardannogo-vala.html","19036311062")</f>
        <v>19036311062</v>
      </c>
      <c r="C422" s="16" t="s">
        <v>457</v>
      </c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1.25" customHeight="1">
      <c r="A423" s="13"/>
      <c r="B423" s="21" t="str">
        <f>HYPERLINK("http://china-parts.in.ua/p75032912-flanets-kardannogo-vala.html","AZ9136311062")</f>
        <v>AZ9136311062</v>
      </c>
      <c r="C423" s="16" t="s">
        <v>458</v>
      </c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1.25" customHeight="1">
      <c r="A424" s="13"/>
      <c r="B424" s="21" t="str">
        <f>HYPERLINK("http://china-parts.in.ua/p75032913-flanets-kardannogo-vala.html","AZ9115311010")</f>
        <v>AZ9115311010</v>
      </c>
      <c r="C424" s="16" t="s">
        <v>459</v>
      </c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1.25" customHeight="1">
      <c r="A425" s="1"/>
      <c r="B425" s="16"/>
      <c r="C425" s="17" t="s">
        <v>460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3"/>
      <c r="B426" s="21" t="str">
        <f>HYPERLINK("http://china-parts.in.ua/p304820846-blok-pereklyuchayuschij-peredachi.html","F99588")</f>
        <v>F99588</v>
      </c>
      <c r="C426" s="16" t="s">
        <v>461</v>
      </c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1.25" customHeight="1">
      <c r="A427" s="13"/>
      <c r="B427" s="23">
        <v>258369.0</v>
      </c>
      <c r="C427" s="16" t="s">
        <v>462</v>
      </c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1.25" customHeight="1">
      <c r="A428" s="13"/>
      <c r="B428" s="16" t="s">
        <v>463</v>
      </c>
      <c r="C428" s="16" t="s">
        <v>464</v>
      </c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1.25" customHeight="1">
      <c r="A429" s="13"/>
      <c r="B429" s="21" t="str">
        <f>HYPERLINK("http://china-parts.in.ua/p304820847-bolt-shestiugolnyj-kpp.html","Q15131632TF2")</f>
        <v>Q15131632TF2</v>
      </c>
      <c r="C429" s="16" t="s">
        <v>465</v>
      </c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1.25" customHeight="1">
      <c r="A430" s="13"/>
      <c r="B430" s="21" t="str">
        <f>HYPERLINK("http://china-parts.in.ua/p304815082-val-vilki-vyzhimnogo.html","A-C-04009-1")</f>
        <v>A-C-04009-1</v>
      </c>
      <c r="C430" s="16" t="s">
        <v>466</v>
      </c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1.25" customHeight="1">
      <c r="A431" s="13"/>
      <c r="B431" s="21" t="str">
        <f>HYPERLINK("http://china-parts.in.ua/p304813016-val-delitelya-glavnyj.html","F99882")</f>
        <v>F99882</v>
      </c>
      <c r="C431" s="16" t="s">
        <v>467</v>
      </c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1.25" customHeight="1">
      <c r="A432" s="13"/>
      <c r="B432" s="22" t="str">
        <f>HYPERLINK("http://china-parts.in.ua/p304820850-val-vtorichnyj-kpp.html","2159304001")</f>
        <v>2159304001</v>
      </c>
      <c r="C432" s="16" t="s">
        <v>468</v>
      </c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1.25" customHeight="1">
      <c r="A433" s="13"/>
      <c r="B433" s="23">
        <v>1.26923201E9</v>
      </c>
      <c r="C433" s="16" t="s">
        <v>469</v>
      </c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1.25" customHeight="1">
      <c r="A434" s="13"/>
      <c r="B434" s="22" t="str">
        <f>HYPERLINK("http://china-parts.in.ua/p304815107-val-pervichnyj-foton.html","19694")</f>
        <v>19694</v>
      </c>
      <c r="C434" s="16" t="s">
        <v>470</v>
      </c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1.25" customHeight="1">
      <c r="A435" s="13"/>
      <c r="B435" s="21" t="str">
        <f>HYPERLINK("http://china-parts.in.ua/p304820857-val-pervichnyj-kpp.html","199012320177A")</f>
        <v>199012320177A</v>
      </c>
      <c r="C435" s="16" t="s">
        <v>471</v>
      </c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1.25" customHeight="1">
      <c r="A436" s="13"/>
      <c r="B436" s="22" t="str">
        <f>HYPERLINK("http://china-parts.in.ua/p304820853-val-pervichnyj-d45.html","2159302059")</f>
        <v>2159302059</v>
      </c>
      <c r="C436" s="16" t="s">
        <v>472</v>
      </c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1.25" customHeight="1">
      <c r="A437" s="13"/>
      <c r="B437" s="22" t="str">
        <f>HYPERLINK("http://china-parts.in.ua/p304820854-val-pervichnyj-d50.html","2159302006")</f>
        <v>2159302006</v>
      </c>
      <c r="C437" s="16" t="s">
        <v>473</v>
      </c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1.25" customHeight="1">
      <c r="A438" s="13"/>
      <c r="B438" s="16" t="s">
        <v>474</v>
      </c>
      <c r="C438" s="16" t="s">
        <v>475</v>
      </c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1.25" customHeight="1">
      <c r="A439" s="13"/>
      <c r="B439" s="22" t="str">
        <f>HYPERLINK("http://china-parts.in.ua/p304815102-promezhutochnyj-val-foton.html","19549")</f>
        <v>19549</v>
      </c>
      <c r="C439" s="16" t="s">
        <v>476</v>
      </c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1.25" customHeight="1">
      <c r="A440" s="13"/>
      <c r="B440" s="22" t="str">
        <f>HYPERLINK("http://china-parts.in.ua/p304820861-val-promezhutochnyj-dlinnyj.html","18222")</f>
        <v>18222</v>
      </c>
      <c r="C440" s="16" t="s">
        <v>477</v>
      </c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1.25" customHeight="1">
      <c r="A441" s="13"/>
      <c r="B441" s="21" t="str">
        <f>HYPERLINK("http://china-parts.in.ua/p304813019-val-promezhutochnyj-delitelya.html","A-5119")</f>
        <v>A-5119</v>
      </c>
      <c r="C441" s="16" t="s">
        <v>478</v>
      </c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1.25" customHeight="1">
      <c r="A442" s="13"/>
      <c r="B442" s="21" t="str">
        <f>HYPERLINK("http://china-parts.in.ua/p304813020-val-promezhutochnyj-delitelya.html","A-C09019")</f>
        <v>A-C09019</v>
      </c>
      <c r="C442" s="16" t="s">
        <v>479</v>
      </c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1.25" customHeight="1">
      <c r="A443" s="13"/>
      <c r="B443" s="22" t="str">
        <f>HYPERLINK("http://china-parts.in.ua/p304820859-val-promezhutochnyj-kpp.html","1292303004")</f>
        <v>1292303004</v>
      </c>
      <c r="C443" s="16" t="s">
        <v>480</v>
      </c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1.25" customHeight="1">
      <c r="A444" s="13"/>
      <c r="B444" s="22" t="str">
        <f>HYPERLINK("http://china-parts.in.ua/p304813012-val-promezhutochnyj-peredachi.html","16405")</f>
        <v>16405</v>
      </c>
      <c r="C444" s="16" t="s">
        <v>481</v>
      </c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1.25" customHeight="1">
      <c r="A445" s="13"/>
      <c r="B445" s="21" t="str">
        <f>HYPERLINK("http://china-parts.in.ua/p304822505-vilka-stsepleniya-howo.html","12817A")</f>
        <v>12817A</v>
      </c>
      <c r="C445" s="16" t="s">
        <v>482</v>
      </c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1.25" customHeight="1">
      <c r="A446" s="13"/>
      <c r="B446" s="23">
        <v>2.2319944E7</v>
      </c>
      <c r="C446" s="16" t="s">
        <v>483</v>
      </c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1.25" customHeight="1">
      <c r="A447" s="13"/>
      <c r="B447" s="22" t="str">
        <f>HYPERLINK("http://china-parts.in.ua/p304815142-vilka-vklyucheni-demultiplikatora.html","16775")</f>
        <v>16775</v>
      </c>
      <c r="C447" s="16" t="s">
        <v>484</v>
      </c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1.25" customHeight="1">
      <c r="A448" s="13"/>
      <c r="B448" s="23">
        <v>875421.0</v>
      </c>
      <c r="C448" s="16" t="s">
        <v>485</v>
      </c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1.25" customHeight="1">
      <c r="A449" s="13"/>
      <c r="B449" s="22" t="str">
        <f>HYPERLINK("http://china-parts.in.ua/p304815117-vilka-vklyucheniya-tretej.html","16136")</f>
        <v>16136</v>
      </c>
      <c r="C449" s="16" t="s">
        <v>486</v>
      </c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1.25" customHeight="1">
      <c r="A450" s="13"/>
      <c r="B450" s="22" t="str">
        <f>HYPERLINK("http://china-parts.in.ua/p304815112-vilka-vklyucheniya-zadnej.html","99664")</f>
        <v>99664</v>
      </c>
      <c r="C450" s="16" t="s">
        <v>487</v>
      </c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1.25" customHeight="1">
      <c r="A451" s="13"/>
      <c r="B451" s="22" t="str">
        <f>HYPERLINK("http://china-parts.in.ua/p304820868-vilka-pereklyucheniya-peredach.html","115206006")</f>
        <v>115206006</v>
      </c>
      <c r="C451" s="16" t="s">
        <v>488</v>
      </c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1.25" customHeight="1">
      <c r="A452" s="13"/>
      <c r="B452" s="22" t="str">
        <f>HYPERLINK("http://china-parts.in.ua/p304820866-vilka-nizshej-vysshej.html","2159328001")</f>
        <v>2159328001</v>
      </c>
      <c r="C452" s="16" t="s">
        <v>489</v>
      </c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1.25" customHeight="1">
      <c r="A453" s="13"/>
      <c r="B453" s="22" t="str">
        <f>HYPERLINK("http://china-parts.in.ua/p304820871-vilka-pereklyucheniya-ponizhennogo.html","2159206001")</f>
        <v>2159206001</v>
      </c>
      <c r="C453" s="16" t="s">
        <v>490</v>
      </c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1.25" customHeight="1">
      <c r="A454" s="13"/>
      <c r="B454" s="22" t="str">
        <f>HYPERLINK("http://china-parts.in.ua/p304813002-val-vtorichnyj-faw.html","18729")</f>
        <v>18729</v>
      </c>
      <c r="C454" s="16" t="s">
        <v>491</v>
      </c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1.25" customHeight="1">
      <c r="A455" s="13"/>
      <c r="B455" s="16" t="s">
        <v>492</v>
      </c>
      <c r="C455" s="16" t="s">
        <v>493</v>
      </c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1.25" customHeight="1">
      <c r="A456" s="13"/>
      <c r="B456" s="22" t="str">
        <f>HYPERLINK("http://china-parts.in.ua/p304821225-vtulka-vilki-vyklyucheniya.html","8677")</f>
        <v>8677</v>
      </c>
      <c r="C456" s="16" t="s">
        <v>494</v>
      </c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1.25" customHeight="1">
      <c r="A457" s="13"/>
      <c r="B457" s="21" t="str">
        <f>HYPERLINK("http://china-parts.in.ua/p304812994-vtulka-pervichnogo-vala.html","16566-1")</f>
        <v>16566-1</v>
      </c>
      <c r="C457" s="16" t="s">
        <v>495</v>
      </c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1.25" customHeight="1">
      <c r="A458" s="13"/>
      <c r="B458" s="22" t="str">
        <f>HYPERLINK("http://china-parts.in.ua/p304812994-vtulka-pervichnogo-vala.html","16566")</f>
        <v>16566</v>
      </c>
      <c r="C458" s="16" t="s">
        <v>496</v>
      </c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1.25" customHeight="1">
      <c r="A459" s="13"/>
      <c r="B459" s="23">
        <v>15566.0</v>
      </c>
      <c r="C459" s="16" t="s">
        <v>497</v>
      </c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1.25" customHeight="1">
      <c r="A460" s="13"/>
      <c r="B460" s="21" t="str">
        <f>HYPERLINK("http://china-parts.in.ua/p304815098-promezhutochnaya-vtulka-foton.html","C01025")</f>
        <v>C01025</v>
      </c>
      <c r="C460" s="16" t="s">
        <v>498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1.25" customHeight="1">
      <c r="A461" s="13"/>
      <c r="B461" s="22" t="str">
        <f>HYPERLINK("http://china-parts.in.ua/p304820936-obojma-podshipnika-kpp.html","2159304010")</f>
        <v>2159304010</v>
      </c>
      <c r="C461" s="16" t="s">
        <v>499</v>
      </c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1.25" customHeight="1">
      <c r="A462" s="13"/>
      <c r="B462" s="16" t="s">
        <v>500</v>
      </c>
      <c r="C462" s="16" t="s">
        <v>501</v>
      </c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1.25" customHeight="1">
      <c r="A463" s="13"/>
      <c r="B463" s="22" t="str">
        <f>HYPERLINK("http://china-parts.in.ua/p304820879-gajka-vyhodnogo-vala.html","96006")</f>
        <v>96006</v>
      </c>
      <c r="C463" s="16" t="s">
        <v>502</v>
      </c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1.25" customHeight="1">
      <c r="A464" s="13"/>
      <c r="B464" s="22" t="str">
        <f>HYPERLINK("http://china-parts.in.ua/p304820878-gajka-vala-pervichnogo.html","8858")</f>
        <v>8858</v>
      </c>
      <c r="C464" s="16" t="s">
        <v>503</v>
      </c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1.25" customHeight="1">
      <c r="A465" s="13"/>
      <c r="B465" s="21" t="str">
        <f>HYPERLINK("http://china-parts.in.ua/p304820879-gajka-vyhodnogo-vala.html","F96006")</f>
        <v>F96006</v>
      </c>
      <c r="C465" s="16" t="s">
        <v>504</v>
      </c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1.25" customHeight="1">
      <c r="A466" s="13"/>
      <c r="B466" s="21" t="str">
        <f>HYPERLINK("http://china-parts.in.ua/p304820890-kozhuh-rychaga-pylezaschitnyj.html","AZ9719240002")</f>
        <v>AZ9719240002</v>
      </c>
      <c r="C466" s="16" t="s">
        <v>505</v>
      </c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1.25" customHeight="1">
      <c r="A467" s="13"/>
      <c r="B467" s="22" t="str">
        <f>HYPERLINK("http://china-parts.in.ua/p304821161-zubchataya-mufta-sinhronizatsii.html","1292304041")</f>
        <v>1292304041</v>
      </c>
      <c r="C467" s="16" t="s">
        <v>506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1.25" customHeight="1">
      <c r="A468" s="13"/>
      <c r="B468" s="22" t="str">
        <f>HYPERLINK("http://china-parts.in.ua/p304820885-karetka-sinhronizatsii-kpp.html","1269333047")</f>
        <v>1269333047</v>
      </c>
      <c r="C468" s="16" t="s">
        <v>507</v>
      </c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1.25" customHeight="1">
      <c r="A469" s="13"/>
      <c r="B469" s="22" t="str">
        <f>HYPERLINK("http://china-parts.in.ua/p304820874-karetka-sinhronizatsii-peredach.html","1312302057")</f>
        <v>1312302057</v>
      </c>
      <c r="C469" s="16" t="s">
        <v>508</v>
      </c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1.25" customHeight="1">
      <c r="A470" s="13"/>
      <c r="B470" s="22" t="str">
        <f>HYPERLINK("http://china-parts.in.ua/p304820883-karetka-sinhronizatsii-peredach.html","1240304375")</f>
        <v>1240304375</v>
      </c>
      <c r="C470" s="16" t="s">
        <v>509</v>
      </c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1.25" customHeight="1">
      <c r="A471" s="13"/>
      <c r="B471" s="22" t="str">
        <f>HYPERLINK("http://china-parts.in.ua/p304820882-karetka-sinhronizatsii-peredach.html","1272304077")</f>
        <v>1272304077</v>
      </c>
      <c r="C471" s="16" t="s">
        <v>510</v>
      </c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1.25" customHeight="1">
      <c r="A472" s="13"/>
      <c r="B472" s="22" t="str">
        <f>HYPERLINK("http://china-parts.in.ua/p304820884-karetka-sinhronizatsii-kpp.html","2159555001")</f>
        <v>2159555001</v>
      </c>
      <c r="C472" s="16" t="s">
        <v>511</v>
      </c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1.25" customHeight="1">
      <c r="A473" s="13"/>
      <c r="B473" s="22" t="str">
        <f>HYPERLINK("http://china-parts.in.ua/p503896084-klapan-vklyucheniya-delitelya.html","750132006")</f>
        <v>750132006</v>
      </c>
      <c r="C473" s="16" t="s">
        <v>512</v>
      </c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1.25" customHeight="1">
      <c r="A474" s="13"/>
      <c r="B474" s="21" t="str">
        <f>HYPERLINK("http://china-parts.in.ua/p304813084-dvojnoj-obraznyj-vozdushnyj.html","F99660")</f>
        <v>F99660</v>
      </c>
      <c r="C474" s="16" t="s">
        <v>513</v>
      </c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1.25" customHeight="1">
      <c r="A475" s="13"/>
      <c r="B475" s="21" t="str">
        <f>HYPERLINK("http://china-parts.in.ua/p75032814-klapan-raspredelitelnyj-vozdushnyj.html","A-4740")</f>
        <v>A-4740</v>
      </c>
      <c r="C475" s="16" t="s">
        <v>514</v>
      </c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1.25" customHeight="1">
      <c r="A476" s="13"/>
      <c r="B476" s="24">
        <v>7.50132008E8</v>
      </c>
      <c r="C476" s="16" t="s">
        <v>515</v>
      </c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1.25" customHeight="1">
      <c r="A477" s="13"/>
      <c r="B477" s="16" t="s">
        <v>516</v>
      </c>
      <c r="C477" s="16" t="s">
        <v>517</v>
      </c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1.25" customHeight="1">
      <c r="A478" s="13"/>
      <c r="B478" s="22" t="str">
        <f>HYPERLINK("http://china-parts.in.ua/p304821042-shponka-vala-vtorichnogo.html","17109")</f>
        <v>17109</v>
      </c>
      <c r="C478" s="16" t="s">
        <v>518</v>
      </c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1.25" customHeight="1">
      <c r="A479" s="13"/>
      <c r="B479" s="16" t="s">
        <v>519</v>
      </c>
      <c r="C479" s="16" t="s">
        <v>520</v>
      </c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1.25" customHeight="1">
      <c r="A480" s="13"/>
      <c r="B480" s="16" t="s">
        <v>521</v>
      </c>
      <c r="C480" s="16" t="s">
        <v>522</v>
      </c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1.25" customHeight="1">
      <c r="A481" s="13"/>
      <c r="B481" s="16" t="s">
        <v>523</v>
      </c>
      <c r="C481" s="16" t="s">
        <v>524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1.25" customHeight="1">
      <c r="A482" s="13"/>
      <c r="B482" s="22" t="str">
        <f>HYPERLINK("http://china-parts.in.ua/p74293760-remen-generatora-630.html","1450")</f>
        <v>1450</v>
      </c>
      <c r="C482" s="16" t="s">
        <v>525</v>
      </c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1.25" customHeight="1">
      <c r="A483" s="13"/>
      <c r="B483" s="22" t="str">
        <f>HYPERLINK("http://china-parts.in.ua/p304821014-vtulka-podshipnika-shesterni.html","2159304009")</f>
        <v>2159304009</v>
      </c>
      <c r="C483" s="16" t="s">
        <v>526</v>
      </c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1.25" customHeight="1">
      <c r="A484" s="13"/>
      <c r="B484" s="22" t="str">
        <f>HYPERLINK("http://china-parts.in.ua/p304820992-stupitsa-sinhronizatsii-kpp.html","1312304027")</f>
        <v>1312304027</v>
      </c>
      <c r="C484" s="16" t="s">
        <v>527</v>
      </c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1.25" customHeight="1">
      <c r="A485" s="13"/>
      <c r="B485" s="22" t="str">
        <f>HYPERLINK("http://china-parts.in.ua/p304820896-koltso-sinhronizatsii-nizshej.html","1269328289")</f>
        <v>1269328289</v>
      </c>
      <c r="C485" s="16" t="s">
        <v>528</v>
      </c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1.25" customHeight="1">
      <c r="A486" s="13"/>
      <c r="B486" s="22" t="str">
        <f>HYPERLINK("http://china-parts.in.ua/p304820893-koltso-sinhronizatsii-peredach.html","1297304402")</f>
        <v>1297304402</v>
      </c>
      <c r="C486" s="16" t="s">
        <v>529</v>
      </c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1.25" customHeight="1">
      <c r="A487" s="13"/>
      <c r="B487" s="22" t="str">
        <f>HYPERLINK("http://china-parts.in.ua/p304820894-koltso-sinhronizatsii-kpp.html","1272304076")</f>
        <v>1272304076</v>
      </c>
      <c r="C487" s="16" t="s">
        <v>530</v>
      </c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1.25" customHeight="1">
      <c r="A488" s="13"/>
      <c r="B488" s="22" t="str">
        <f>HYPERLINK("http://china-parts.in.ua/p304820895-koltso-sinhronizatsii-nizshej.html","2159328002")</f>
        <v>2159328002</v>
      </c>
      <c r="C488" s="16" t="s">
        <v>531</v>
      </c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1.25" customHeight="1">
      <c r="A489" s="13"/>
      <c r="B489" s="22" t="str">
        <f>HYPERLINK("http://china-parts.in.ua/p304822628-koltso-stopornoe-130.html","190003935383")</f>
        <v>190003935383</v>
      </c>
      <c r="C489" s="16" t="s">
        <v>532</v>
      </c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1.25" customHeight="1">
      <c r="A490" s="13"/>
      <c r="B490" s="22" t="str">
        <f>HYPERLINK("http://china-parts.in.ua/p304812998-koltso-stopornoe-pervichnogo.html","14750")</f>
        <v>14750</v>
      </c>
      <c r="C490" s="16" t="s">
        <v>533</v>
      </c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1.25" customHeight="1">
      <c r="A491" s="13"/>
      <c r="B491" s="22" t="str">
        <f>HYPERLINK("http://china-parts.in.ua/p304820902-koltso-stopornoe-kpp.html","16763")</f>
        <v>16763</v>
      </c>
      <c r="C491" s="16" t="s">
        <v>534</v>
      </c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1.25" customHeight="1">
      <c r="A492" s="13"/>
      <c r="B492" s="22" t="str">
        <f>HYPERLINK("http://china-parts.in.ua/p304821809-koltso-stopornoe-howo.html","19000393316")</f>
        <v>19000393316</v>
      </c>
      <c r="C492" s="16" t="s">
        <v>535</v>
      </c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1.25" customHeight="1">
      <c r="A493" s="13"/>
      <c r="B493" s="16" t="s">
        <v>536</v>
      </c>
      <c r="C493" s="16" t="s">
        <v>537</v>
      </c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1.25" customHeight="1">
      <c r="A494" s="13"/>
      <c r="B494" s="22" t="str">
        <f>HYPERLINK("http://china-parts.in.ua/p304820905-koltso-stoporttyue-kpp.html","14317")</f>
        <v>14317</v>
      </c>
      <c r="C494" s="16" t="s">
        <v>538</v>
      </c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1.25" customHeight="1">
      <c r="A495" s="13"/>
      <c r="B495" s="21" t="str">
        <f>HYPERLINK("http://china-parts.in.ua/p304820904-koltso-stopornoe-kpp.html","C01019")</f>
        <v>C01019</v>
      </c>
      <c r="C495" s="16" t="s">
        <v>539</v>
      </c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1.25" customHeight="1">
      <c r="A496" s="13"/>
      <c r="B496" s="21" t="str">
        <f>HYPERLINK("http://china-parts.in.ua/p304820914-kpp-sbore-kpp.html","КПП RT11509C стопорн")</f>
        <v>КПП RT11509C стопорн</v>
      </c>
      <c r="C496" s="16" t="s">
        <v>540</v>
      </c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1.25" customHeight="1">
      <c r="A497" s="13"/>
      <c r="B497" s="21" t="str">
        <f>HYPERLINK("http://china-parts.in.ua/p304820901-koltso-stopornoe-kpp.html","F14327")</f>
        <v>F14327</v>
      </c>
      <c r="C497" s="16" t="s">
        <v>541</v>
      </c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1.25" customHeight="1">
      <c r="A498" s="13"/>
      <c r="B498" s="21" t="str">
        <f>HYPERLINK("http://china-parts.in.ua/p304820910-korobka-peredach-sbore.html","5S-150GP")</f>
        <v>5S-150GP</v>
      </c>
      <c r="C498" s="16" t="s">
        <v>542</v>
      </c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1.25" customHeight="1">
      <c r="A499" s="13"/>
      <c r="B499" s="23">
        <v>986532.0</v>
      </c>
      <c r="C499" s="16" t="s">
        <v>543</v>
      </c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1.25" customHeight="1">
      <c r="A500" s="13"/>
      <c r="B500" s="21" t="str">
        <f>HYPERLINK("http://china-parts.in.ua/p304815076-korobka-peredach-rt11509c.html","RT-11509C - 1")</f>
        <v>RT-11509C - 1</v>
      </c>
      <c r="C500" s="16" t="s">
        <v>544</v>
      </c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1.25" customHeight="1">
      <c r="A501" s="13"/>
      <c r="B501" s="21" t="str">
        <f>HYPERLINK("http://china-parts.in.ua/p304820914-kpp-sbore-kpp.html","RT-11509C")</f>
        <v>RT-11509C</v>
      </c>
      <c r="C501" s="16" t="s">
        <v>545</v>
      </c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1.25" customHeight="1">
      <c r="A502" s="13"/>
      <c r="B502" s="21" t="str">
        <f>HYPERLINK("http://china-parts.in.ua/p304820916-kronshtejn-kpp-sbore.html","AZ9725596010")</f>
        <v>AZ9725596010</v>
      </c>
      <c r="C502" s="16" t="s">
        <v>546</v>
      </c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1.25" customHeight="1">
      <c r="A503" s="13"/>
      <c r="B503" s="21" t="str">
        <f>HYPERLINK("http://china-parts.in.ua/p304820917-kronshtejn-kpp-sbore.html","WG9112590100")</f>
        <v>WG9112590100</v>
      </c>
      <c r="C503" s="16" t="s">
        <v>547</v>
      </c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1.25" customHeight="1">
      <c r="A504" s="13"/>
      <c r="B504" s="22" t="str">
        <f>HYPERLINK("http://china-parts.in.ua/p304820925-kryshka-podshipnika-vala.html","17376")</f>
        <v>17376</v>
      </c>
      <c r="C504" s="16" t="s">
        <v>548</v>
      </c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1.25" customHeight="1">
      <c r="A505" s="13"/>
      <c r="B505" s="23">
        <v>123456.0</v>
      </c>
      <c r="C505" s="16" t="s">
        <v>549</v>
      </c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1.25" customHeight="1">
      <c r="A506" s="13"/>
      <c r="B506" s="21" t="str">
        <f>HYPERLINK("http://china-parts.in.ua/p304820918-kryshka-zadnego-podshipnika.html","F99967")</f>
        <v>F99967</v>
      </c>
      <c r="C506" s="16" t="s">
        <v>550</v>
      </c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1.25" customHeight="1">
      <c r="A507" s="13"/>
      <c r="B507" s="22" t="str">
        <f>HYPERLINK("http://china-parts.in.ua/p304820920-kryshka-zadnyaya-korobki.html","1269338095")</f>
        <v>1269338095</v>
      </c>
      <c r="C507" s="16" t="s">
        <v>551</v>
      </c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1.25" customHeight="1">
      <c r="A508" s="13"/>
      <c r="B508" s="22" t="str">
        <f>HYPERLINK("http://china-parts.in.ua/p304820921-kryshka-korobki-peredach.html","1269307484")</f>
        <v>1269307484</v>
      </c>
      <c r="C508" s="16" t="s">
        <v>552</v>
      </c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1.25" customHeight="1">
      <c r="A509" s="13"/>
      <c r="B509" s="21" t="str">
        <f>HYPERLINK("http://china-parts.in.ua/p304820913-korpus-zadnej-kryshki.html","F99975")</f>
        <v>F99975</v>
      </c>
      <c r="C509" s="16" t="s">
        <v>553</v>
      </c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1.25" customHeight="1">
      <c r="A510" s="13"/>
      <c r="B510" s="22" t="str">
        <f>HYPERLINK("http://china-parts.in.ua/p304820926-kryshka-podshipnika-kpp.html","2159302007")</f>
        <v>2159302007</v>
      </c>
      <c r="C510" s="16" t="s">
        <v>554</v>
      </c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1.25" customHeight="1">
      <c r="A511" s="13"/>
      <c r="B511" s="22" t="str">
        <f>HYPERLINK("http://china-parts.in.ua/p304820927-kryshka-podshipnika-pervichnogo.html","2159302003")</f>
        <v>2159302003</v>
      </c>
      <c r="C511" s="16" t="s">
        <v>555</v>
      </c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1.25" customHeight="1">
      <c r="A512" s="13"/>
      <c r="B512" s="21" t="str">
        <f>HYPERLINK("http://china-parts.in.ua/p304815077-kryshka-podshipnika-pervichnogo.html","F91409")</f>
        <v>F91409</v>
      </c>
      <c r="C512" s="16" t="s">
        <v>556</v>
      </c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1.25" customHeight="1">
      <c r="A513" s="13"/>
      <c r="B513" s="21" t="str">
        <f>HYPERLINK("http://china-parts.in.ua/p304820924-kryshka-podshipnika-vala.html","JS180-1701040")</f>
        <v>JS180-1701040</v>
      </c>
      <c r="C513" s="16" t="s">
        <v>557</v>
      </c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1.25" customHeight="1">
      <c r="A514" s="13"/>
      <c r="B514" s="22" t="str">
        <f>HYPERLINK("http://china-parts.in.ua/p304822637-kryshka-podshipnika-srednego.html","199014320129")</f>
        <v>199014320129</v>
      </c>
      <c r="C514" s="16" t="s">
        <v>558</v>
      </c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1.25" customHeight="1">
      <c r="A515" s="13"/>
      <c r="B515" s="21" t="str">
        <f>HYPERLINK("http://china-parts.in.ua/p304820919-kryshka-zadnego-podshipnika.html","JS180-1707155")</f>
        <v>JS180-1707155</v>
      </c>
      <c r="C515" s="16" t="s">
        <v>559</v>
      </c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1.25" customHeight="1">
      <c r="A516" s="13"/>
      <c r="B516" s="21" t="str">
        <f>HYPERLINK("http://china-parts.in.ua/p304820974-rychag-kpp-sbore.html","WG9716240010")</f>
        <v>WG9716240010</v>
      </c>
      <c r="C516" s="16" t="s">
        <v>560</v>
      </c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1.25" customHeight="1">
      <c r="A517" s="13"/>
      <c r="B517" s="16" t="s">
        <v>561</v>
      </c>
      <c r="C517" s="16" t="s">
        <v>562</v>
      </c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1.25" customHeight="1">
      <c r="A518" s="13"/>
      <c r="B518" s="22" t="str">
        <f>HYPERLINK("http://china-parts.in.ua/p304820930-mufta-zubchataya-sinhronizatsii.html","2159304011")</f>
        <v>2159304011</v>
      </c>
      <c r="C518" s="16" t="s">
        <v>563</v>
      </c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1.25" customHeight="1">
      <c r="A519" s="13"/>
      <c r="B519" s="22" t="str">
        <f>HYPERLINK("http://china-parts.in.ua/p304820993-stupitsa-sinhronizatsii-peredach.html","1310302045")</f>
        <v>1310302045</v>
      </c>
      <c r="C519" s="16" t="s">
        <v>564</v>
      </c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1.25" customHeight="1">
      <c r="A520" s="13"/>
      <c r="B520" s="22" t="str">
        <f>HYPERLINK("http://china-parts.in.ua/p304822645-mufta-zubchataya-nepodvizhnaya.html","13809320155")</f>
        <v>13809320155</v>
      </c>
      <c r="C520" s="16" t="s">
        <v>565</v>
      </c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1.25" customHeight="1">
      <c r="A521" s="13"/>
      <c r="B521" s="22" t="str">
        <f>HYPERLINK("http://china-parts.in.ua/p304820931-mufta-zubchataya-sinhronizatsii.html","2159333004")</f>
        <v>2159333004</v>
      </c>
      <c r="C521" s="16" t="s">
        <v>566</v>
      </c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1.25" customHeight="1">
      <c r="A522" s="13"/>
      <c r="B522" s="22" t="str">
        <f>HYPERLINK("http://china-parts.in.ua/p304813006-sinhonizator-shesteren-vtorichnogo.html","16118")</f>
        <v>16118</v>
      </c>
      <c r="C522" s="16" t="s">
        <v>567</v>
      </c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1.25" customHeight="1">
      <c r="A523" s="13"/>
      <c r="B523" s="22" t="str">
        <f>HYPERLINK("http://china-parts.in.ua/p304820933-mufta-ponizhennogo-zadnego.html","2159304017")</f>
        <v>2159304017</v>
      </c>
      <c r="C523" s="16" t="s">
        <v>568</v>
      </c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1.25" customHeight="1">
      <c r="A524" s="13"/>
      <c r="B524" s="16" t="s">
        <v>569</v>
      </c>
      <c r="C524" s="16" t="s">
        <v>570</v>
      </c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1.25" customHeight="1">
      <c r="A525" s="13"/>
      <c r="B525" s="22" t="str">
        <f>HYPERLINK("http://china-parts.in.ua/p304820928-mufta-zubchataya-ponizhennoj.html","2159304015")</f>
        <v>2159304015</v>
      </c>
      <c r="C525" s="16" t="s">
        <v>571</v>
      </c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1.25" customHeight="1">
      <c r="A526" s="13"/>
      <c r="B526" s="23">
        <v>226584.0</v>
      </c>
      <c r="C526" s="16" t="s">
        <v>572</v>
      </c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1.25" customHeight="1">
      <c r="A527" s="13"/>
      <c r="B527" s="22" t="str">
        <f>HYPERLINK("http://china-parts.in.ua/p304821175-nabor-regulirovochnyh-shajb.html","769140115")</f>
        <v>769140115</v>
      </c>
      <c r="C527" s="16" t="s">
        <v>573</v>
      </c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1.25" customHeight="1">
      <c r="A528" s="13"/>
      <c r="B528" s="22" t="str">
        <f>HYPERLINK("http://china-parts.in.ua/p304821181-naruzhnaya-pruzhina-tolkatelya.html","732040385")</f>
        <v>732040385</v>
      </c>
      <c r="C528" s="16" t="s">
        <v>574</v>
      </c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1.25" customHeight="1">
      <c r="A529" s="13"/>
      <c r="B529" s="22" t="str">
        <f>HYPERLINK("http://china-parts.in.ua/p75032759-nasos-maslyanij-1269202027.html","1269202027")</f>
        <v>1269202027</v>
      </c>
      <c r="C529" s="16" t="s">
        <v>575</v>
      </c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1.25" customHeight="1">
      <c r="A530" s="13"/>
      <c r="B530" s="22" t="str">
        <f>HYPERLINK("http://china-parts.in.ua/p304820935-nasos-maslyanyj-kpp.html","1269202104")</f>
        <v>1269202104</v>
      </c>
      <c r="C530" s="16" t="s">
        <v>576</v>
      </c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1.25" customHeight="1">
      <c r="A531" s="13"/>
      <c r="B531" s="22" t="str">
        <f>HYPERLINK("http://china-parts.in.ua/p304820938-opora-korobki-peredach.html","2159302022")</f>
        <v>2159302022</v>
      </c>
      <c r="C531" s="16" t="s">
        <v>577</v>
      </c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1.25" customHeight="1">
      <c r="A532" s="13"/>
      <c r="B532" s="22" t="str">
        <f>HYPERLINK("http://china-parts.in.ua/p304820943-plastina-opornaya-stupitsa.html","1269233010")</f>
        <v>1269233010</v>
      </c>
      <c r="C532" s="16" t="s">
        <v>578</v>
      </c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1.25" customHeight="1">
      <c r="A533" s="13"/>
      <c r="B533" s="16" t="s">
        <v>579</v>
      </c>
      <c r="C533" s="16" t="s">
        <v>580</v>
      </c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1.25" customHeight="1">
      <c r="A534" s="13"/>
      <c r="B534" s="22" t="str">
        <f>HYPERLINK("http://china-parts.in.ua/p304820940-patron-planetarnyj-sbore.html","199114250109")</f>
        <v>199114250109</v>
      </c>
      <c r="C534" s="16" t="s">
        <v>581</v>
      </c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1.25" customHeight="1">
      <c r="A535" s="13"/>
      <c r="B535" s="22" t="str">
        <f>HYPERLINK("http://china-parts.in.ua/p304812970-datchik-zadnego-hoda.html","79100710068")</f>
        <v>79100710068</v>
      </c>
      <c r="C535" s="16" t="s">
        <v>582</v>
      </c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1.25" customHeight="1">
      <c r="A536" s="13"/>
      <c r="B536" s="22" t="str">
        <f>HYPERLINK("http://china-parts.in.ua/p304820942-plastina-opornaya-stupitsa.html","2159233001")</f>
        <v>2159233001</v>
      </c>
      <c r="C536" s="16" t="s">
        <v>583</v>
      </c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1.25" customHeight="1">
      <c r="A537" s="13"/>
      <c r="B537" s="21" t="str">
        <f>HYPERLINK("http://china-parts.in.ua/p304820945-pnevmotsilindr-pereklyucheniya-peredach.html","A-C09016")</f>
        <v>A-C09016</v>
      </c>
      <c r="C537" s="16" t="s">
        <v>584</v>
      </c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1.25" customHeight="1">
      <c r="A538" s="13"/>
      <c r="B538" s="16" t="s">
        <v>585</v>
      </c>
      <c r="C538" s="16" t="s">
        <v>586</v>
      </c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1.25" customHeight="1">
      <c r="A539" s="13"/>
      <c r="B539" s="21" t="str">
        <f>HYPERLINK("http://china-parts.in.ua/p304813022-podshipnik-promezhutochnogo-vala.html","192310E")</f>
        <v>192310E</v>
      </c>
      <c r="C539" s="16" t="s">
        <v>587</v>
      </c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1.25" customHeight="1">
      <c r="A540" s="13"/>
      <c r="B540" s="16" t="s">
        <v>588</v>
      </c>
      <c r="C540" s="16" t="s">
        <v>589</v>
      </c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1.25" customHeight="1">
      <c r="A541" s="13"/>
      <c r="B541" s="22" t="str">
        <f>HYPERLINK("http://china-parts.in.ua/p304815128-podshipnik-kanavkoj-dlya.html","50118")</f>
        <v>50118</v>
      </c>
      <c r="C541" s="16" t="s">
        <v>590</v>
      </c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1.25" customHeight="1">
      <c r="A542" s="13"/>
      <c r="B542" s="21" t="str">
        <f>HYPERLINK("http://china-parts.in.ua/p304820962-podshipnik-igolchatyj-shesterni.html","К808840")</f>
        <v>К808840</v>
      </c>
      <c r="C542" s="16" t="s">
        <v>591</v>
      </c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1.25" customHeight="1">
      <c r="A543" s="13"/>
      <c r="B543" s="21" t="str">
        <f>HYPERLINK("http://china-parts.in.ua/p304815103-podshipnik-rolikovyj-promezhutochnogo.html","102308E")</f>
        <v>102308E</v>
      </c>
      <c r="C543" s="16" t="s">
        <v>592</v>
      </c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1.25" customHeight="1">
      <c r="A544" s="13"/>
      <c r="B544" s="22" t="str">
        <f>HYPERLINK("http://china-parts.in.ua/p75032820-konicheskij-podshipnik-vtorichnogo.html","200628")</f>
        <v>200628</v>
      </c>
      <c r="C544" s="16" t="s">
        <v>593</v>
      </c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1.25" customHeight="1">
      <c r="A545" s="13"/>
      <c r="B545" s="22" t="str">
        <f>HYPERLINK("http://china-parts.in.ua/p304815137-podshipnik-konicheskij-vtorichnogo.html","717813")</f>
        <v>717813</v>
      </c>
      <c r="C545" s="16" t="s">
        <v>594</v>
      </c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1.25" customHeight="1">
      <c r="A546" s="13"/>
      <c r="B546" s="21" t="str">
        <f>HYPERLINK("http://china-parts.in.ua/p503894755-podshipnik-vyhodnogo-vala.html","717813-CK")</f>
        <v>717813-CK</v>
      </c>
      <c r="C546" s="16" t="s">
        <v>595</v>
      </c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1.25" customHeight="1">
      <c r="A547" s="13"/>
      <c r="B547" s="21" t="str">
        <f>HYPERLINK("http://china-parts.in.ua/p304820963-podshipnik-igolchatyj-shesterni.html","K808835")</f>
        <v>K808835</v>
      </c>
      <c r="C547" s="16" t="s">
        <v>596</v>
      </c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1.25" customHeight="1">
      <c r="A548" s="13"/>
      <c r="B548" s="21" t="str">
        <f>HYPERLINK("http://china-parts.in.ua/p304820962-podshipnik-igolchatyj-shesterni.html","K808840")</f>
        <v>K808840</v>
      </c>
      <c r="C548" s="16" t="s">
        <v>597</v>
      </c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1.25" customHeight="1">
      <c r="A549" s="13"/>
      <c r="B549" s="22" t="str">
        <f>HYPERLINK("http://china-parts.in.ua/p304821163-igolchatyj-podshipnik-shesterni.html","735320418")</f>
        <v>735320418</v>
      </c>
      <c r="C549" s="16" t="s">
        <v>598</v>
      </c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1.25" customHeight="1">
      <c r="A550" s="13"/>
      <c r="B550" s="24">
        <v>7.35320401E8</v>
      </c>
      <c r="C550" s="16" t="s">
        <v>599</v>
      </c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1.25" customHeight="1">
      <c r="A551" s="13"/>
      <c r="B551" s="22" t="str">
        <f>HYPERLINK("http://china-parts.in.ua/p304821063-igolchatyj-podshipnik-kpp.html","735320499")</f>
        <v>735320499</v>
      </c>
      <c r="C551" s="16" t="s">
        <v>600</v>
      </c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1.25" customHeight="1">
      <c r="A552" s="13"/>
      <c r="B552" s="22" t="str">
        <f>HYPERLINK("http://china-parts.in.ua/p75032765-podshipnik-konchnij-750117010.html","750117010")</f>
        <v>750117010</v>
      </c>
      <c r="C552" s="16" t="s">
        <v>601</v>
      </c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1.25" customHeight="1">
      <c r="A553" s="13"/>
      <c r="B553" s="16" t="s">
        <v>602</v>
      </c>
      <c r="C553" s="16" t="s">
        <v>603</v>
      </c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1.25" customHeight="1">
      <c r="A554" s="13"/>
      <c r="B554" s="16" t="s">
        <v>604</v>
      </c>
      <c r="C554" s="16" t="s">
        <v>605</v>
      </c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1.25" customHeight="1">
      <c r="A555" s="13"/>
      <c r="B555" s="21" t="str">
        <f>HYPERLINK("http://china-parts.in.ua/p304815501-podshipnik-foton-vj3251.html","212-GB276")</f>
        <v>212-GB276</v>
      </c>
      <c r="C555" s="16" t="s">
        <v>606</v>
      </c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1.25" customHeight="1">
      <c r="A556" s="13"/>
      <c r="B556" s="16" t="s">
        <v>607</v>
      </c>
      <c r="C556" s="16" t="s">
        <v>608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1.25" customHeight="1">
      <c r="A557" s="13"/>
      <c r="B557" s="21" t="str">
        <f>HYPERLINK("http://china-parts.in.ua/p304813021-podshipnik-promezhutochnogo-vala.html","42307E-CK")</f>
        <v>42307E-CK</v>
      </c>
      <c r="C557" s="16" t="s">
        <v>609</v>
      </c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1.25" customHeight="1">
      <c r="A558" s="13"/>
      <c r="B558" s="21" t="str">
        <f>HYPERLINK("http://china-parts.in.ua/p75032766-podshipnik-pervinnogo-valu.html","0750118129-1")</f>
        <v>0750118129-1</v>
      </c>
      <c r="C558" s="16" t="s">
        <v>610</v>
      </c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1.25" customHeight="1">
      <c r="A559" s="13"/>
      <c r="B559" s="21" t="str">
        <f>HYPERLINK("http://china-parts.in.ua/p304813000-podshipnik-pervichnogo-vala.html","150212K")</f>
        <v>150212K</v>
      </c>
      <c r="C559" s="16" t="s">
        <v>611</v>
      </c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1.25" customHeight="1">
      <c r="A560" s="13"/>
      <c r="B560" s="21" t="str">
        <f>HYPERLINK("http://china-parts.in.ua/p304813021-podshipnik-promezhutochnogo-vala.html","42307E")</f>
        <v>42307E</v>
      </c>
      <c r="C560" s="16" t="s">
        <v>612</v>
      </c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1.25" customHeight="1">
      <c r="A561" s="13"/>
      <c r="B561" s="22" t="str">
        <f>HYPERLINK("http://china-parts.in.ua/p304815024-podshipnik-opornyj-pervichnogo.html","90003311416")</f>
        <v>90003311416</v>
      </c>
      <c r="C561" s="16" t="s">
        <v>613</v>
      </c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1.25" customHeight="1">
      <c r="A562" s="13"/>
      <c r="B562" s="16" t="s">
        <v>614</v>
      </c>
      <c r="C562" s="16" t="s">
        <v>615</v>
      </c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1.25" customHeight="1">
      <c r="A563" s="13"/>
      <c r="B563" s="22" t="str">
        <f>HYPERLINK("http://china-parts.in.ua/p304821872-podshipnik-vnutrennij-perednego.html","1990003326543")</f>
        <v>1990003326543</v>
      </c>
      <c r="C563" s="16" t="s">
        <v>616</v>
      </c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1.25" customHeight="1">
      <c r="A564" s="13"/>
      <c r="B564" s="21" t="str">
        <f>HYPERLINK("http://china-parts.in.ua/p304820964-podshipnik-rolikovyj-kpp.html","3007910/735370011")</f>
        <v>3007910/735370011</v>
      </c>
      <c r="C564" s="16" t="s">
        <v>617</v>
      </c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1.25" customHeight="1">
      <c r="A565" s="13"/>
      <c r="B565" s="23">
        <v>7.50116019E8</v>
      </c>
      <c r="C565" s="16" t="s">
        <v>618</v>
      </c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1.25" customHeight="1">
      <c r="A566" s="13"/>
      <c r="B566" s="22" t="str">
        <f>HYPERLINK("http://china-parts.in.ua/p304815147-porshen-tormoza-promezhutochnogo.html","16658")</f>
        <v>16658</v>
      </c>
      <c r="C566" s="16" t="s">
        <v>619</v>
      </c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1.25" customHeight="1">
      <c r="A567" s="13"/>
      <c r="B567" s="22" t="str">
        <f>HYPERLINK("http://china-parts.in.ua/p304821446-prokladka-kryshki-podshipnika.html","17352")</f>
        <v>17352</v>
      </c>
      <c r="C567" s="16" t="s">
        <v>620</v>
      </c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1.25" customHeight="1">
      <c r="A568" s="13"/>
      <c r="B568" s="16" t="s">
        <v>621</v>
      </c>
      <c r="C568" s="16" t="s">
        <v>622</v>
      </c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1.25" customHeight="1">
      <c r="A569" s="13"/>
      <c r="B569" s="16" t="s">
        <v>623</v>
      </c>
      <c r="C569" s="16" t="s">
        <v>624</v>
      </c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1.25" customHeight="1">
      <c r="A570" s="13"/>
      <c r="B570" s="16" t="s">
        <v>625</v>
      </c>
      <c r="C570" s="16" t="s">
        <v>626</v>
      </c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1.25" customHeight="1">
      <c r="A571" s="13"/>
      <c r="B571" s="16" t="s">
        <v>627</v>
      </c>
      <c r="C571" s="16" t="s">
        <v>628</v>
      </c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1.25" customHeight="1">
      <c r="A572" s="13"/>
      <c r="B572" s="22" t="str">
        <f>HYPERLINK("http://china-parts.in.ua/p304822666-prokladka-shesterni-poluvala.html","11800320131")</f>
        <v>11800320131</v>
      </c>
      <c r="C572" s="16" t="s">
        <v>629</v>
      </c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1.25" customHeight="1">
      <c r="A573" s="13"/>
      <c r="B573" s="16" t="s">
        <v>630</v>
      </c>
      <c r="C573" s="16" t="s">
        <v>631</v>
      </c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1.25" customHeight="1">
      <c r="A574" s="13"/>
      <c r="B574" s="21" t="str">
        <f>HYPERLINK("http://china-parts.in.ua/p304821223-kpp-stupenchataya-overdrajv.html","9JS135A")</f>
        <v>9JS135A</v>
      </c>
      <c r="C574" s="16" t="s">
        <v>632</v>
      </c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1.25" customHeight="1">
      <c r="A575" s="13"/>
      <c r="B575" s="23">
        <v>14897.0</v>
      </c>
      <c r="C575" s="16" t="s">
        <v>633</v>
      </c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1.25" customHeight="1">
      <c r="A576" s="13"/>
      <c r="B576" s="22" t="str">
        <f>HYPERLINK("http://china-parts.in.ua/p304815080-pruzhina-vyzhimnogo-podshipnika.html","4425")</f>
        <v>4425</v>
      </c>
      <c r="C576" s="16" t="s">
        <v>634</v>
      </c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1.25" customHeight="1">
      <c r="A577" s="13"/>
      <c r="B577" s="22" t="str">
        <f>HYPERLINK("http://china-parts.in.ua/p304822540-pruzhina-vilki-obratnaya.html","9293")</f>
        <v>9293</v>
      </c>
      <c r="C577" s="16" t="s">
        <v>635</v>
      </c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1.25" customHeight="1">
      <c r="A578" s="13"/>
      <c r="B578" s="22" t="str">
        <f>HYPERLINK("http://china-parts.in.ua/p304821153-vnutrennyaya-pruzhina-tolkatelya.html","732040386")</f>
        <v>732040386</v>
      </c>
      <c r="C578" s="16" t="s">
        <v>636</v>
      </c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1.25" customHeight="1">
      <c r="A579" s="13"/>
      <c r="B579" s="22" t="str">
        <f>HYPERLINK("http://china-parts.in.ua/p304820967-pruzhina-sinhronizatsii-kpp.html","1311304021")</f>
        <v>1311304021</v>
      </c>
      <c r="C579" s="16" t="s">
        <v>637</v>
      </c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1.25" customHeight="1">
      <c r="A580" s="13"/>
      <c r="B580" s="16" t="s">
        <v>638</v>
      </c>
      <c r="C580" s="16" t="s">
        <v>639</v>
      </c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1.25" customHeight="1">
      <c r="A581" s="13"/>
      <c r="B581" s="21" t="str">
        <f>HYPERLINK("http://china-parts.in.ua/p503896867-kulisa-pereklyucheniya-peredach.html","81.32670.6184-XLB")</f>
        <v>81.32670.6184-XLB</v>
      </c>
      <c r="C581" s="16" t="s">
        <v>640</v>
      </c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1.25" customHeight="1">
      <c r="A582" s="13"/>
      <c r="B582" s="16" t="s">
        <v>641</v>
      </c>
      <c r="C582" s="16" t="s">
        <v>642</v>
      </c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1.25" customHeight="1">
      <c r="A583" s="13"/>
      <c r="B583" s="22" t="str">
        <f>HYPERLINK("http://china-parts.in.ua/p304820848-val-vilki-vyklyucheniya.html","1269334002")</f>
        <v>1269334002</v>
      </c>
      <c r="C583" s="16" t="s">
        <v>643</v>
      </c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1.25" customHeight="1">
      <c r="A584" s="13"/>
      <c r="B584" s="21" t="str">
        <f>HYPERLINK("http://china-parts.in.ua/p304813088-rychag-pereklyucheniya-peredach.html","F99585")</f>
        <v>F99585</v>
      </c>
      <c r="C584" s="16" t="s">
        <v>644</v>
      </c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1.25" customHeight="1">
      <c r="A585" s="13"/>
      <c r="B585" s="21" t="str">
        <f>HYPERLINK("http://china-parts.in.ua/p304820976-rychag-pereklyucheniya-peredach.html","WG9719240116")</f>
        <v>WG9719240116</v>
      </c>
      <c r="C585" s="16" t="s">
        <v>645</v>
      </c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1.25" customHeight="1">
      <c r="A586" s="13"/>
      <c r="B586" s="21" t="str">
        <f>HYPERLINK("http://china-parts.in.ua/p304813087-rychag-vneshnij-pereklyucheniya.html","F96035")</f>
        <v>F96035</v>
      </c>
      <c r="C586" s="16" t="s">
        <v>646</v>
      </c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1.25" customHeight="1">
      <c r="A587" s="13"/>
      <c r="B587" s="16" t="s">
        <v>647</v>
      </c>
      <c r="C587" s="16" t="s">
        <v>648</v>
      </c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1.25" customHeight="1">
      <c r="A588" s="13"/>
      <c r="B588" s="21" t="str">
        <f>HYPERLINK("http://china-parts.in.ua/p304813106-salnik-kryshki-podshipnika.html","F500A-1802191")</f>
        <v>F500A-1802191</v>
      </c>
      <c r="C588" s="16" t="s">
        <v>649</v>
      </c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1.25" customHeight="1">
      <c r="A589" s="13"/>
      <c r="B589" s="21" t="str">
        <f>HYPERLINK("http://china-parts.in.ua/p304813179-salnik-srednego-reduktora.html","2402030D")</f>
        <v>2402030D</v>
      </c>
      <c r="C589" s="16" t="s">
        <v>650</v>
      </c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1.25" customHeight="1">
      <c r="A590" s="13"/>
      <c r="B590" s="22" t="str">
        <f>HYPERLINK("http://china-parts.in.ua/p75032773-salnik-734310110-howo.html","734310110")</f>
        <v>734310110</v>
      </c>
      <c r="C590" s="16" t="s">
        <v>651</v>
      </c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1.25" customHeight="1">
      <c r="A591" s="13"/>
      <c r="B591" s="24">
        <v>7.34300093E8</v>
      </c>
      <c r="C591" s="16" t="s">
        <v>652</v>
      </c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1.25" customHeight="1">
      <c r="A592" s="13"/>
      <c r="B592" s="24">
        <v>7.34310109E8</v>
      </c>
      <c r="C592" s="16" t="s">
        <v>653</v>
      </c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1.25" customHeight="1">
      <c r="A593" s="13"/>
      <c r="B593" s="22" t="str">
        <f>HYPERLINK("http://china-parts.in.ua/p304820983-salnik-hvostovika-kpp.html","19109")</f>
        <v>19109</v>
      </c>
      <c r="C593" s="16" t="s">
        <v>654</v>
      </c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1.25" customHeight="1">
      <c r="A594" s="13"/>
      <c r="B594" s="21" t="str">
        <f>HYPERLINK("http://china-parts.in.ua/p304820983-salnik-hvostovika-kpp.html","19109-CK")</f>
        <v>19109-CK</v>
      </c>
      <c r="C594" s="16" t="s">
        <v>655</v>
      </c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1.25" customHeight="1">
      <c r="A595" s="13"/>
      <c r="B595" s="23">
        <v>55.0</v>
      </c>
      <c r="C595" s="16" t="s">
        <v>656</v>
      </c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1.25" customHeight="1">
      <c r="A596" s="13"/>
      <c r="B596" s="23">
        <v>85.0</v>
      </c>
      <c r="C596" s="16" t="s">
        <v>657</v>
      </c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1.25" customHeight="1">
      <c r="A597" s="13"/>
      <c r="B597" s="21" t="str">
        <f>HYPERLINK("http://china-parts.in.ua/p304815140-salnik-hvostovika-kpp.html","C01032")</f>
        <v>C01032</v>
      </c>
      <c r="C597" s="16" t="s">
        <v>658</v>
      </c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1.25" customHeight="1">
      <c r="A598" s="13"/>
      <c r="B598" s="16" t="s">
        <v>659</v>
      </c>
      <c r="C598" s="16" t="s">
        <v>660</v>
      </c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1.25" customHeight="1">
      <c r="A599" s="13"/>
      <c r="B599" s="21" t="str">
        <f>HYPERLINK("http://china-parts.in.ua/p503895106-salnik-zadnij-kpp.html","C01032-KIT")</f>
        <v>C01032-KIT</v>
      </c>
      <c r="C599" s="16" t="s">
        <v>661</v>
      </c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1.25" customHeight="1">
      <c r="A600" s="13"/>
      <c r="B600" s="16" t="s">
        <v>662</v>
      </c>
      <c r="C600" s="16" t="s">
        <v>663</v>
      </c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1.25" customHeight="1">
      <c r="A601" s="13"/>
      <c r="B601" s="21" t="str">
        <f>HYPERLINK("http://china-parts.in.ua/p304815078-salnik-pervichnogo-vala.html","F91410-CK")</f>
        <v>F91410-CK</v>
      </c>
      <c r="C601" s="16" t="s">
        <v>664</v>
      </c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1.25" customHeight="1">
      <c r="A602" s="13"/>
      <c r="B602" s="16" t="s">
        <v>665</v>
      </c>
      <c r="C602" s="16" t="s">
        <v>666</v>
      </c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1.25" customHeight="1">
      <c r="A603" s="13"/>
      <c r="B603" s="16" t="s">
        <v>667</v>
      </c>
      <c r="C603" s="16" t="s">
        <v>668</v>
      </c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1.25" customHeight="1">
      <c r="A604" s="13"/>
      <c r="B604" s="21" t="str">
        <f>HYPERLINK("http://china-parts.in.ua/p304815078-salnik-pervichnogo-vala.html","F91410")</f>
        <v>F91410</v>
      </c>
      <c r="C604" s="16" t="s">
        <v>668</v>
      </c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1.25" customHeight="1">
      <c r="A605" s="13"/>
      <c r="B605" s="16" t="s">
        <v>669</v>
      </c>
      <c r="C605" s="16" t="s">
        <v>670</v>
      </c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1.25" customHeight="1">
      <c r="A606" s="13"/>
      <c r="B606" s="22" t="str">
        <f>HYPERLINK("http://china-parts.in.ua/p75032906-salnik-hvostovika-kpp.html","200629")</f>
        <v>200629</v>
      </c>
      <c r="C606" s="16" t="s">
        <v>671</v>
      </c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1.25" customHeight="1">
      <c r="A607" s="13"/>
      <c r="B607" s="23">
        <v>258147.0</v>
      </c>
      <c r="C607" s="16" t="s">
        <v>672</v>
      </c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1.25" customHeight="1">
      <c r="A608" s="13"/>
      <c r="B608" s="21" t="str">
        <f>HYPERLINK("http://china-parts.in.ua/p75032774-sinhronizator-vysshejnizshej-peredach.html","A-C09005")</f>
        <v>A-C09005</v>
      </c>
      <c r="C608" s="16" t="s">
        <v>673</v>
      </c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1.25" customHeight="1">
      <c r="A609" s="13"/>
      <c r="B609" s="23">
        <v>987654.0</v>
      </c>
      <c r="C609" s="16" t="s">
        <v>674</v>
      </c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1.25" customHeight="1">
      <c r="A610" s="13"/>
      <c r="B610" s="23">
        <v>235689.0</v>
      </c>
      <c r="C610" s="16" t="s">
        <v>675</v>
      </c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1.25" customHeight="1">
      <c r="A611" s="13"/>
      <c r="B611" s="21" t="str">
        <f>HYPERLINK("http://china-parts.in.ua/p304820991-sinhronizator-sbore-kpp.html","A-5056")</f>
        <v>A-5056</v>
      </c>
      <c r="C611" s="16" t="s">
        <v>676</v>
      </c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1.25" customHeight="1">
      <c r="A612" s="13"/>
      <c r="B612" s="22" t="str">
        <f>HYPERLINK("http://china-parts.in.ua/p304820995-stupitsa-sinhronizatsii-kpp.html","1269333048")</f>
        <v>1269333048</v>
      </c>
      <c r="C612" s="16" t="s">
        <v>677</v>
      </c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1.25" customHeight="1">
      <c r="A613" s="13"/>
      <c r="B613" s="22" t="str">
        <f>HYPERLINK("http://china-parts.in.ua/p304820929-mufta-zubchataya-sinhronizatsii.html","1310304158")</f>
        <v>1310304158</v>
      </c>
      <c r="C613" s="16" t="s">
        <v>678</v>
      </c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1.25" customHeight="1">
      <c r="A614" s="13"/>
      <c r="B614" s="22" t="str">
        <f>HYPERLINK("http://china-parts.in.ua/p304821191-stupitsa-sinhronizatsii-peredach.html","1269304196")</f>
        <v>1269304196</v>
      </c>
      <c r="C614" s="16" t="s">
        <v>679</v>
      </c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1.25" customHeight="1">
      <c r="A615" s="13"/>
      <c r="B615" s="22" t="str">
        <f>HYPERLINK("http://china-parts.in.ua/p304820994-stupitsa-sinhronizatsii-kpp.html","2159333002")</f>
        <v>2159333002</v>
      </c>
      <c r="C615" s="16" t="s">
        <v>680</v>
      </c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1.25" customHeight="1">
      <c r="A616" s="13"/>
      <c r="B616" s="23">
        <v>1.272334003E9</v>
      </c>
      <c r="C616" s="16" t="s">
        <v>681</v>
      </c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1.25" customHeight="1">
      <c r="A617" s="13"/>
      <c r="B617" s="22" t="str">
        <f>HYPERLINK("http://china-parts.in.ua/p75032775-suhar-vilki-1295334027.html","1295334027")</f>
        <v>1295334027</v>
      </c>
      <c r="C617" s="16" t="s">
        <v>682</v>
      </c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1.25" customHeight="1">
      <c r="A618" s="13"/>
      <c r="B618" s="22" t="str">
        <f>HYPERLINK("http://china-parts.in.ua/p304822685-suhar-podvizhnyj-perevodnoj.html","11800320077")</f>
        <v>11800320077</v>
      </c>
      <c r="C618" s="16" t="s">
        <v>683</v>
      </c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1.25" customHeight="1">
      <c r="A619" s="13"/>
      <c r="B619" s="22" t="str">
        <f>HYPERLINK("http://china-parts.in.ua/p304820996-suhar-vilki-kpp.html","115306006")</f>
        <v>115306006</v>
      </c>
      <c r="C619" s="16" t="s">
        <v>684</v>
      </c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1.25" customHeight="1">
      <c r="A620" s="13"/>
      <c r="B620" s="22" t="str">
        <f>HYPERLINK("http://china-parts.in.ua/p304820997-suhar-vilki-ponizhennnogo.html","1297306027")</f>
        <v>1297306027</v>
      </c>
      <c r="C620" s="16" t="s">
        <v>685</v>
      </c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1.25" customHeight="1">
      <c r="A621" s="13"/>
      <c r="B621" s="23">
        <v>2.229100042E9</v>
      </c>
      <c r="C621" s="16" t="s">
        <v>686</v>
      </c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1.25" customHeight="1">
      <c r="A622" s="13"/>
      <c r="B622" s="22" t="str">
        <f>HYPERLINK("http://china-parts.in.ua/p304820844-bashmak-sinhronizatora-kpp.html","1240304278")</f>
        <v>1240304278</v>
      </c>
      <c r="C622" s="16" t="s">
        <v>687</v>
      </c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1.25" customHeight="1">
      <c r="A623" s="13"/>
      <c r="B623" s="16" t="s">
        <v>688</v>
      </c>
      <c r="C623" s="16" t="s">
        <v>689</v>
      </c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1.25" customHeight="1">
      <c r="A624" s="13"/>
      <c r="B624" s="21" t="str">
        <f>HYPERLINK("http://china-parts.in.ua/p304821004-tros-pereklyucheniya-peredach.html","WG9719240111")</f>
        <v>WG9719240111</v>
      </c>
      <c r="C624" s="16" t="s">
        <v>690</v>
      </c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1.25" customHeight="1">
      <c r="A625" s="13"/>
      <c r="B625" s="21" t="str">
        <f>HYPERLINK("http://china-parts.in.ua/p304821000-tros-vklyucheniya-kpp.html","WG9719240007")</f>
        <v>WG9719240007</v>
      </c>
      <c r="C625" s="16" t="s">
        <v>691</v>
      </c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1.25" customHeight="1">
      <c r="A626" s="13"/>
      <c r="B626" s="21" t="str">
        <f>HYPERLINK("http://china-parts.in.ua/p304821005-tros-pereklyucheniya-peredach.html","WG9719240112")</f>
        <v>WG9719240112</v>
      </c>
      <c r="C626" s="16" t="s">
        <v>692</v>
      </c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1.25" customHeight="1">
      <c r="A627" s="13"/>
      <c r="B627" s="22" t="str">
        <f>HYPERLINK("http://china-parts.in.ua/p304820999-tros-vklyucheniya-kpp.html","9719240008")</f>
        <v>9719240008</v>
      </c>
      <c r="C627" s="16" t="s">
        <v>693</v>
      </c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1.25" customHeight="1">
      <c r="A628" s="13"/>
      <c r="B628" s="16" t="s">
        <v>694</v>
      </c>
      <c r="C628" s="16" t="s">
        <v>695</v>
      </c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1.25" customHeight="1">
      <c r="A629" s="13"/>
      <c r="B629" s="23">
        <v>55518.0</v>
      </c>
      <c r="C629" s="16" t="s">
        <v>696</v>
      </c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1.25" customHeight="1">
      <c r="A630" s="13"/>
      <c r="B630" s="21" t="str">
        <f>HYPERLINK("http://china-parts.in.ua/p304821009-tyaga-opornaya-kpp.html","WG9719240117")</f>
        <v>WG9719240117</v>
      </c>
      <c r="C630" s="16" t="s">
        <v>697</v>
      </c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1.25" customHeight="1">
      <c r="A631" s="13"/>
      <c r="B631" s="16" t="s">
        <v>698</v>
      </c>
      <c r="C631" s="16" t="s">
        <v>699</v>
      </c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1.25" customHeight="1">
      <c r="A632" s="13"/>
      <c r="B632" s="21" t="str">
        <f>HYPERLINK("http://china-parts.in.ua/p304815141-flanets-kardannyj-hvostovika.html","F99900")</f>
        <v>F99900</v>
      </c>
      <c r="C632" s="16" t="s">
        <v>700</v>
      </c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1.25" customHeight="1">
      <c r="A633" s="13"/>
      <c r="B633" s="21" t="str">
        <f>HYPERLINK("http://china-parts.in.ua/p304821453-flanets-vyhodnoj-optsiya.html","F99900-1")</f>
        <v>F99900-1</v>
      </c>
      <c r="C633" s="16" t="s">
        <v>701</v>
      </c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1.25" customHeight="1">
      <c r="A634" s="13"/>
      <c r="B634" s="21" t="str">
        <f>HYPERLINK("http://china-parts.in.ua/p304821454-flanets-vyhodnoj-optsiya.html","F99902")</f>
        <v>F99902</v>
      </c>
      <c r="C634" s="16" t="s">
        <v>702</v>
      </c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1.25" customHeight="1">
      <c r="A635" s="13"/>
      <c r="B635" s="22" t="str">
        <f>HYPERLINK("http://china-parts.in.ua/p75032938-flyanets-kpp-f165.html","1269338028")</f>
        <v>1269338028</v>
      </c>
      <c r="C635" s="16" t="s">
        <v>703</v>
      </c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1.25" customHeight="1">
      <c r="A636" s="13"/>
      <c r="B636" s="21" t="str">
        <f>HYPERLINK("http://china-parts.in.ua/p75032938-flyanets-kpp-f165.html","1269338028-1")</f>
        <v>1269338028-1</v>
      </c>
      <c r="C636" s="16" t="s">
        <v>703</v>
      </c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1.25" customHeight="1">
      <c r="A637" s="13"/>
      <c r="B637" s="22" t="str">
        <f>HYPERLINK("http://china-parts.in.ua/p75032937-flyanets-kpp-f165.html","1269338020")</f>
        <v>1269338020</v>
      </c>
      <c r="C637" s="16" t="s">
        <v>704</v>
      </c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1.25" customHeight="1">
      <c r="A638" s="13"/>
      <c r="B638" s="21" t="str">
        <f>HYPERLINK("http://china-parts.in.ua/p75032937-flyanets-kpp-f165.html","1269338020-1")</f>
        <v>1269338020-1</v>
      </c>
      <c r="C638" s="16" t="s">
        <v>704</v>
      </c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1.25" customHeight="1">
      <c r="A639" s="13"/>
      <c r="B639" s="22" t="str">
        <f>HYPERLINK("http://china-parts.in.ua/p75032939-flyanets-kpp-f180.html","109304212")</f>
        <v>109304212</v>
      </c>
      <c r="C639" s="16" t="s">
        <v>705</v>
      </c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1.25" customHeight="1">
      <c r="A640" s="13"/>
      <c r="B640" s="23">
        <v>1.0830802E8</v>
      </c>
      <c r="C640" s="16" t="s">
        <v>706</v>
      </c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1.25" customHeight="1">
      <c r="A641" s="13"/>
      <c r="B641" s="22" t="str">
        <f>HYPERLINK("http://china-parts.in.ua/p75032777-tsilindr-pereklyucheniya-peredach.html","627207001")</f>
        <v>627207001</v>
      </c>
      <c r="C641" s="16" t="s">
        <v>707</v>
      </c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1.25" customHeight="1">
      <c r="A642" s="13"/>
      <c r="B642" s="22" t="str">
        <f>HYPERLINK("http://china-parts.in.ua/p304821011-tsilindr-pereklyucheniya-peredach.html","750132019")</f>
        <v>750132019</v>
      </c>
      <c r="C642" s="16" t="s">
        <v>708</v>
      </c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1.25" customHeight="1">
      <c r="A643" s="13"/>
      <c r="B643" s="21" t="str">
        <f>HYPERLINK("http://china-parts.in.ua/p304820889-klapan-kpp-kpp.html","A-C03001")</f>
        <v>A-C03001</v>
      </c>
      <c r="C643" s="16" t="s">
        <v>709</v>
      </c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1.25" customHeight="1">
      <c r="A644" s="13"/>
      <c r="B644" s="23">
        <v>7.69140186E8</v>
      </c>
      <c r="C644" s="16" t="s">
        <v>710</v>
      </c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1.25" customHeight="1">
      <c r="A645" s="13"/>
      <c r="B645" s="22" t="str">
        <f>HYPERLINK("http://china-parts.in.ua/p503896198-shajba-vtorichnogo-vala.html","14749")</f>
        <v>14749</v>
      </c>
      <c r="C645" s="16" t="s">
        <v>711</v>
      </c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1.25" customHeight="1">
      <c r="A646" s="13"/>
      <c r="B646" s="23">
        <v>14322.0</v>
      </c>
      <c r="C646" s="16" t="s">
        <v>712</v>
      </c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1.25" customHeight="1">
      <c r="A647" s="13"/>
      <c r="B647" s="21" t="str">
        <f>HYPERLINK("http://china-parts.in.ua/p304821016-shajba-shesterni-glavnogo.html","14332-1")</f>
        <v>14332-1</v>
      </c>
      <c r="C647" s="16" t="s">
        <v>713</v>
      </c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1.25" customHeight="1">
      <c r="A648" s="13"/>
      <c r="B648" s="16" t="s">
        <v>714</v>
      </c>
      <c r="C648" s="16" t="s">
        <v>715</v>
      </c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1.25" customHeight="1">
      <c r="A649" s="13"/>
      <c r="B649" s="21" t="str">
        <f>HYPERLINK("http://china-parts.in.ua/p304821015-shajba-ponizhayuschej-shesterni.html","19466-1")</f>
        <v>19466-1</v>
      </c>
      <c r="C649" s="16" t="s">
        <v>716</v>
      </c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1.25" customHeight="1">
      <c r="A650" s="13"/>
      <c r="B650" s="22" t="str">
        <f>HYPERLINK("http://china-parts.in.ua/p304820966-shajba-shesterni-glavnogo.html","14331")</f>
        <v>14331</v>
      </c>
      <c r="C650" s="16" t="s">
        <v>717</v>
      </c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1.25" customHeight="1">
      <c r="A651" s="13"/>
      <c r="B651" s="22" t="str">
        <f>HYPERLINK("http://china-parts.in.ua/p304821016-shajba-shesterni-glavnogo.html","14332")</f>
        <v>14332</v>
      </c>
      <c r="C651" s="16" t="s">
        <v>718</v>
      </c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1.25" customHeight="1">
      <c r="A652" s="13"/>
      <c r="B652" s="16" t="s">
        <v>719</v>
      </c>
      <c r="C652" s="16" t="s">
        <v>720</v>
      </c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1.25" customHeight="1">
      <c r="A653" s="13"/>
      <c r="B653" s="22" t="str">
        <f>HYPERLINK("http://china-parts.in.ua/p304821015-shajba-ponizhayuschej-shesterni.html","19466")</f>
        <v>19466</v>
      </c>
      <c r="C653" s="16" t="s">
        <v>721</v>
      </c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1.25" customHeight="1">
      <c r="A654" s="13"/>
      <c r="B654" s="16" t="s">
        <v>722</v>
      </c>
      <c r="C654" s="16" t="s">
        <v>723</v>
      </c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1.25" customHeight="1">
      <c r="A655" s="13"/>
      <c r="B655" s="22" t="str">
        <f>HYPERLINK("http://china-parts.in.ua/p304813005-prokladka-reguliruyuschaya-vtorichnogo.html","18701")</f>
        <v>18701</v>
      </c>
      <c r="C655" s="16" t="s">
        <v>724</v>
      </c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1.25" customHeight="1">
      <c r="A656" s="13"/>
      <c r="B656" s="22" t="str">
        <f>HYPERLINK("http://china-parts.in.ua/p304842216-shesternya-peredachi-promezhutochnogo.html","19753")</f>
        <v>19753</v>
      </c>
      <c r="C656" s="16" t="s">
        <v>725</v>
      </c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1.25" customHeight="1">
      <c r="A657" s="13"/>
      <c r="B657" s="22" t="str">
        <f>HYPERLINK("http://china-parts.in.ua/p304821017-shesternya-peredach-vala.html","2159303002")</f>
        <v>2159303002</v>
      </c>
      <c r="C657" s="16" t="s">
        <v>726</v>
      </c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1.25" customHeight="1">
      <c r="A658" s="13"/>
      <c r="B658" s="22" t="str">
        <f>HYPERLINK("http://china-parts.in.ua/p304821018-shesternya-peredachi-vala.html","2159304003")</f>
        <v>2159304003</v>
      </c>
      <c r="C658" s="16" t="s">
        <v>727</v>
      </c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1.25" customHeight="1">
      <c r="A659" s="13"/>
      <c r="B659" s="22" t="str">
        <f>HYPERLINK("http://china-parts.in.ua/p304842217-shesternya-peredachi-promezhutochnogo.html","16751")</f>
        <v>16751</v>
      </c>
      <c r="C659" s="16" t="s">
        <v>728</v>
      </c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1.25" customHeight="1">
      <c r="A660" s="13"/>
      <c r="B660" s="22" t="str">
        <f>HYPERLINK("http://china-parts.in.ua/p304842198-shesternya-peredachi-vtorichnogo.html","16750")</f>
        <v>16750</v>
      </c>
      <c r="C660" s="16" t="s">
        <v>729</v>
      </c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1.25" customHeight="1">
      <c r="A661" s="13"/>
      <c r="B661" s="22" t="str">
        <f>HYPERLINK("http://china-parts.in.ua/p304821021-shesternya-peredachi-vala.html","2159304004")</f>
        <v>2159304004</v>
      </c>
      <c r="C661" s="16" t="s">
        <v>730</v>
      </c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1.25" customHeight="1">
      <c r="A662" s="13"/>
      <c r="B662" s="22" t="str">
        <f>HYPERLINK("http://china-parts.in.ua/p304821024-shesternya-peredach-vala.html","2159303003")</f>
        <v>2159303003</v>
      </c>
      <c r="C662" s="16" t="s">
        <v>731</v>
      </c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1.25" customHeight="1">
      <c r="A663" s="13"/>
      <c r="B663" s="22" t="str">
        <f>HYPERLINK("http://china-parts.in.ua/p304821202-shesternya-peredach-promezhutochnogo.html","1292303005")</f>
        <v>1292303005</v>
      </c>
      <c r="C663" s="16" t="s">
        <v>732</v>
      </c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1.25" customHeight="1">
      <c r="A664" s="13"/>
      <c r="B664" s="22" t="str">
        <f>HYPERLINK("http://china-parts.in.ua/p304842199-shesternya-peredachi-vtorichnogo.html","16748")</f>
        <v>16748</v>
      </c>
      <c r="C664" s="16" t="s">
        <v>733</v>
      </c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1.25" customHeight="1">
      <c r="A665" s="13"/>
      <c r="B665" s="22" t="str">
        <f>HYPERLINK("http://china-parts.in.ua/p304842218-shesternya-peredachi-promezhutochnogo.html","16749")</f>
        <v>16749</v>
      </c>
      <c r="C665" s="16" t="s">
        <v>734</v>
      </c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1.25" customHeight="1">
      <c r="A666" s="13"/>
      <c r="B666" s="22" t="str">
        <f>HYPERLINK("http://china-parts.in.ua/p304821026-shesternya-peredachi-vala.html","2159304005")</f>
        <v>2159304005</v>
      </c>
      <c r="C666" s="16" t="s">
        <v>735</v>
      </c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1.25" customHeight="1">
      <c r="A667" s="13"/>
      <c r="B667" s="22" t="str">
        <f>HYPERLINK("http://china-parts.in.ua/p304815129-shesternya-veduschaya-demultiplikatora.html","18869")</f>
        <v>18869</v>
      </c>
      <c r="C667" s="16" t="s">
        <v>736</v>
      </c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1.25" customHeight="1">
      <c r="A668" s="13"/>
      <c r="B668" s="22" t="str">
        <f>HYPERLINK("http://china-parts.in.ua/p304842200-shesternya-zadnego-hoda.html","16756")</f>
        <v>16756</v>
      </c>
      <c r="C668" s="16" t="s">
        <v>737</v>
      </c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1.25" customHeight="1">
      <c r="A669" s="13"/>
      <c r="B669" s="22" t="str">
        <f>HYPERLINK("http://china-parts.in.ua/p304842210-shesternya-vala-peredachi.html","16757")</f>
        <v>16757</v>
      </c>
      <c r="C669" s="16" t="s">
        <v>738</v>
      </c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1.25" customHeight="1">
      <c r="A670" s="13"/>
      <c r="B670" s="22" t="str">
        <f>HYPERLINK("http://china-parts.in.ua/p304821033-shesternya-levaya-otbora.html","15953")</f>
        <v>15953</v>
      </c>
      <c r="C670" s="16" t="s">
        <v>739</v>
      </c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1.25" customHeight="1">
      <c r="A671" s="13"/>
      <c r="B671" s="22" t="str">
        <f>HYPERLINK("http://china-parts.in.ua/p304813001-shesternya-pervichnogo-vala.html","17568")</f>
        <v>17568</v>
      </c>
      <c r="C671" s="16" t="s">
        <v>740</v>
      </c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1.25" customHeight="1">
      <c r="A672" s="13"/>
      <c r="B672" s="22" t="str">
        <f>HYPERLINK("http://china-parts.in.ua/p304813007-shesternya-peredachi-vtorichnogo.html","16752")</f>
        <v>16752</v>
      </c>
      <c r="C672" s="16" t="s">
        <v>741</v>
      </c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1.25" customHeight="1">
      <c r="A673" s="13"/>
      <c r="B673" s="21" t="str">
        <f>HYPERLINK("http://china-parts.in.ua/p304813018-shesternya-glavnogo-vala.html","19726/1")</f>
        <v>19726/1</v>
      </c>
      <c r="C673" s="16" t="s">
        <v>742</v>
      </c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1.25" customHeight="1">
      <c r="A674" s="13"/>
      <c r="B674" s="22" t="str">
        <f>HYPERLINK("http://china-parts.in.ua/p304813011-shesternya-ponizhayuschej-peredachi.html","16754")</f>
        <v>16754</v>
      </c>
      <c r="C674" s="16" t="s">
        <v>743</v>
      </c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1.25" customHeight="1">
      <c r="A675" s="13"/>
      <c r="B675" s="22" t="str">
        <f>HYPERLINK("http://china-parts.in.ua/p304821036-shesternya-ponizhennoj-peredachi.html","2159304014")</f>
        <v>2159304014</v>
      </c>
      <c r="C675" s="16" t="s">
        <v>744</v>
      </c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1.25" customHeight="1">
      <c r="A676" s="13"/>
      <c r="B676" s="21" t="str">
        <f>HYPERLINK("http://china-parts.in.ua/p75032948-shesternya-privoda-demultiplikatora.html","12JS160T-1707030")</f>
        <v>12JS160T-1707030</v>
      </c>
      <c r="C676" s="16" t="s">
        <v>745</v>
      </c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1.25" customHeight="1">
      <c r="A677" s="13"/>
      <c r="B677" s="22" t="str">
        <f>HYPERLINK("http://china-parts.in.ua/p304842219-shesternya-privoda-promezhutochnogo.html","19552")</f>
        <v>19552</v>
      </c>
      <c r="C677" s="16" t="s">
        <v>746</v>
      </c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1.25" customHeight="1">
      <c r="A678" s="13"/>
      <c r="B678" s="23">
        <v>124578.0</v>
      </c>
      <c r="C678" s="16" t="s">
        <v>747</v>
      </c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1.25" customHeight="1">
      <c r="A679" s="13"/>
      <c r="B679" s="22" t="str">
        <f>HYPERLINK("http://china-parts.in.ua/p304821040-shesternya-solnechnaya-vala.html","1286304022")</f>
        <v>1286304022</v>
      </c>
      <c r="C679" s="16" t="s">
        <v>748</v>
      </c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1.25" customHeight="1">
      <c r="A680" s="13"/>
      <c r="B680" s="21" t="str">
        <f>HYPERLINK("http://china-parts.in.ua/p304821030-shesternya-vedomaya-privoda.html","F91055")</f>
        <v>F91055</v>
      </c>
      <c r="C680" s="16" t="s">
        <v>749</v>
      </c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1.25" customHeight="1">
      <c r="A681" s="13"/>
      <c r="B681" s="16" t="s">
        <v>750</v>
      </c>
      <c r="C681" s="16" t="s">
        <v>751</v>
      </c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1.25" customHeight="1">
      <c r="A682" s="13"/>
      <c r="B682" s="22" t="str">
        <f>HYPERLINK("http://china-parts.in.ua/p304813018-shesternya-glavnogo-vala.html","19726")</f>
        <v>19726</v>
      </c>
      <c r="C682" s="16" t="s">
        <v>752</v>
      </c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1.25" customHeight="1">
      <c r="A683" s="13"/>
      <c r="B683" s="22" t="str">
        <f>HYPERLINK("http://china-parts.in.ua/p304821042-shponka-vala-vtorichnogo.html","17109")</f>
        <v>17109</v>
      </c>
      <c r="C683" s="16" t="s">
        <v>753</v>
      </c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1.25" customHeight="1">
      <c r="A684" s="13"/>
      <c r="B684" s="22" t="str">
        <f>HYPERLINK("http://china-parts.in.ua/p304821041-shplint-vala-promezhutochnogo.html","19673")</f>
        <v>19673</v>
      </c>
      <c r="C684" s="16" t="s">
        <v>754</v>
      </c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1.25" customHeight="1">
      <c r="A685" s="13"/>
      <c r="B685" s="16" t="s">
        <v>755</v>
      </c>
      <c r="C685" s="16" t="s">
        <v>756</v>
      </c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1.25" customHeight="1">
      <c r="A686" s="13"/>
      <c r="B686" s="16" t="s">
        <v>757</v>
      </c>
      <c r="C686" s="16" t="s">
        <v>758</v>
      </c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1.25" customHeight="1">
      <c r="A687" s="13"/>
      <c r="B687" s="16" t="s">
        <v>759</v>
      </c>
      <c r="C687" s="16" t="s">
        <v>760</v>
      </c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1.25" customHeight="1">
      <c r="A688" s="13"/>
      <c r="B688" s="16" t="s">
        <v>761</v>
      </c>
      <c r="C688" s="16" t="s">
        <v>762</v>
      </c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1.25" customHeight="1">
      <c r="A689" s="13"/>
      <c r="B689" s="16" t="s">
        <v>763</v>
      </c>
      <c r="C689" s="16" t="s">
        <v>764</v>
      </c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1.25" customHeight="1">
      <c r="A690" s="13"/>
      <c r="B690" s="23">
        <v>62509.0</v>
      </c>
      <c r="C690" s="16" t="s">
        <v>765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1.25" customHeight="1">
      <c r="A691" s="13"/>
      <c r="B691" s="22" t="str">
        <f>HYPERLINK("http://china-parts.in.ua/p304820843-bashmak-sinhronizatora-kpp.html","1311304020")</f>
        <v>1311304020</v>
      </c>
      <c r="C691" s="16" t="s">
        <v>766</v>
      </c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1.25" customHeight="1">
      <c r="A692" s="1"/>
      <c r="B692" s="16"/>
      <c r="C692" s="17" t="s">
        <v>767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3"/>
      <c r="B693" s="21" t="str">
        <f>HYPERLINK("http://china-parts.in.ua/p304822378-podushka-vozdushnaya-pod.html","AZ1642440025A")</f>
        <v>AZ1642440025A</v>
      </c>
      <c r="C693" s="16" t="s">
        <v>768</v>
      </c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1.25" customHeight="1">
      <c r="A694" s="13"/>
      <c r="B694" s="21" t="str">
        <f>HYPERLINK("http://china-parts.in.ua/p304822142-amortizator-perednij-sbore.html","AZ1642430091")</f>
        <v>AZ1642430091</v>
      </c>
      <c r="C694" s="16" t="s">
        <v>769</v>
      </c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1.25" customHeight="1">
      <c r="A695" s="13"/>
      <c r="B695" s="21" t="str">
        <f>HYPERLINK("http://china-parts.in.ua/p304821953-amortizator-zadnej-podveski.html","WG1642440028")</f>
        <v>WG1642440028</v>
      </c>
      <c r="C695" s="16" t="s">
        <v>770</v>
      </c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1.25" customHeight="1">
      <c r="A696" s="13"/>
      <c r="B696" s="21" t="str">
        <f>HYPERLINK("http://china-parts.in.ua/p304821955-amortizator-kabiny-zadnij.html","WG1642440082")</f>
        <v>WG1642440082</v>
      </c>
      <c r="C696" s="16" t="s">
        <v>771</v>
      </c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1.25" customHeight="1">
      <c r="A697" s="13"/>
      <c r="B697" s="16" t="s">
        <v>772</v>
      </c>
      <c r="C697" s="16" t="s">
        <v>773</v>
      </c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1.25" customHeight="1">
      <c r="A698" s="13"/>
      <c r="B698" s="21" t="str">
        <f>HYPERLINK("http://china-parts.in.ua/p304821964-amortizator-stabilizatora-howo.html","AZ1642440021")</f>
        <v>AZ1642440021</v>
      </c>
      <c r="C698" s="16" t="s">
        <v>774</v>
      </c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1.25" customHeight="1">
      <c r="A699" s="13"/>
      <c r="B699" s="21" t="str">
        <f>HYPERLINK("http://china-parts.in.ua/p304821964-amortizator-stabilizatora-howo.html","AZ1642440021-CK")</f>
        <v>AZ1642440021-CK</v>
      </c>
      <c r="C699" s="16" t="s">
        <v>775</v>
      </c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1.25" customHeight="1">
      <c r="A700" s="13"/>
      <c r="B700" s="21" t="str">
        <f>HYPERLINK("http://china-parts.in.ua/p75032732-amortizator-kabiny-perednij.html","WG1642430285/1")</f>
        <v>WG1642430285/1</v>
      </c>
      <c r="C700" s="16" t="s">
        <v>776</v>
      </c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1.25" customHeight="1">
      <c r="A701" s="13"/>
      <c r="B701" s="21" t="str">
        <f>HYPERLINK("http://china-parts.in.ua/p503894072-amortizator-kabiny-howo.html","AZ1642430385/1-CK")</f>
        <v>AZ1642430385/1-CK</v>
      </c>
      <c r="C701" s="16" t="s">
        <v>777</v>
      </c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1.25" customHeight="1">
      <c r="A702" s="13"/>
      <c r="B702" s="21" t="str">
        <f>HYPERLINK("http://china-parts.in.ua/p503894101-amortizator-kabiny-reguliruemyj.html","WG1642430385/1")</f>
        <v>WG1642430385/1</v>
      </c>
      <c r="C702" s="16" t="s">
        <v>778</v>
      </c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1.25" customHeight="1">
      <c r="A703" s="13"/>
      <c r="B703" s="21" t="str">
        <f>HYPERLINK("http://china-parts.in.ua/p304822140-amortizator-sbore-howo.html","WG1642430285")</f>
        <v>WG1642430285</v>
      </c>
      <c r="C703" s="16" t="s">
        <v>779</v>
      </c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1.25" customHeight="1">
      <c r="A704" s="13"/>
      <c r="B704" s="21" t="str">
        <f>HYPERLINK("http://china-parts.in.ua/p304821957-amortizator-kabiny-perednij.html","WG1642430385")</f>
        <v>WG1642430385</v>
      </c>
      <c r="C704" s="16" t="s">
        <v>780</v>
      </c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1.25" customHeight="1">
      <c r="A705" s="13"/>
      <c r="B705" s="21" t="str">
        <f>HYPERLINK("http://china-parts.in.ua/p503894099-amortizator-kapota-howo.html","WG1642110024")</f>
        <v>WG1642110024</v>
      </c>
      <c r="C705" s="16" t="s">
        <v>781</v>
      </c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1.25" customHeight="1">
      <c r="A706" s="13"/>
      <c r="B706" s="16" t="s">
        <v>782</v>
      </c>
      <c r="C706" s="16" t="s">
        <v>783</v>
      </c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1.25" customHeight="1">
      <c r="A707" s="13"/>
      <c r="B707" s="21" t="str">
        <f>HYPERLINK("http://china-parts.in.ua/p304822147-bamper-howo-wg1642240101.html","WG1642240101")</f>
        <v>WG1642240101</v>
      </c>
      <c r="C707" s="16" t="s">
        <v>784</v>
      </c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1.25" customHeight="1">
      <c r="A708" s="13"/>
      <c r="B708" s="21" t="str">
        <f>HYPERLINK("http://china-parts.in.ua/p304822145-bamper-howo-wg1641240001.html","WG1641240001")</f>
        <v>WG1641240001</v>
      </c>
      <c r="C708" s="16" t="s">
        <v>785</v>
      </c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1.25" customHeight="1">
      <c r="A709" s="13"/>
      <c r="B709" s="21" t="str">
        <f>HYPERLINK("http://china-parts.in.ua/p503894096-bamper-howo-wg1642240002.html","WG1642240002")</f>
        <v>WG1642240002</v>
      </c>
      <c r="C709" s="16" t="s">
        <v>786</v>
      </c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1.25" customHeight="1">
      <c r="A710" s="13"/>
      <c r="B710" s="21" t="str">
        <f>HYPERLINK("http://china-parts.in.ua/p304822146-bamper-howo-wg16422401020.html","WG16422401020")</f>
        <v>WG16422401020</v>
      </c>
      <c r="C710" s="16" t="s">
        <v>787</v>
      </c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1.25" customHeight="1">
      <c r="A711" s="13"/>
      <c r="B711" s="21" t="str">
        <f>HYPERLINK("http://china-parts.in.ua/p304822148-bamper-howo-wg1642241021.html","WG1642241021")</f>
        <v>WG1642241021</v>
      </c>
      <c r="C711" s="16" t="s">
        <v>788</v>
      </c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1.25" customHeight="1">
      <c r="A712" s="13"/>
      <c r="B712" s="21" t="str">
        <f>HYPERLINK("http://china-parts.in.ua/p75032848-nasos-bachka-omyvatelya.html","WG1642860001")</f>
        <v>WG1642860001</v>
      </c>
      <c r="C712" s="16" t="s">
        <v>789</v>
      </c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1.25" customHeight="1">
      <c r="A713" s="13"/>
      <c r="B713" s="21" t="str">
        <f>HYPERLINK("http://china-parts.in.ua/p304822158-bolt-torsiona-kabiny.html","AZ1642430071")</f>
        <v>AZ1642430071</v>
      </c>
      <c r="C713" s="16" t="s">
        <v>790</v>
      </c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1.25" customHeight="1">
      <c r="A714" s="13"/>
      <c r="B714" s="21" t="str">
        <f>HYPERLINK("http://china-parts.in.ua/p304822159-bryzgovik-howo-wg9719950130.html","WG9719950130")</f>
        <v>WG9719950130</v>
      </c>
      <c r="C714" s="16" t="s">
        <v>791</v>
      </c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1.25" customHeight="1">
      <c r="A715" s="13"/>
      <c r="B715" s="21" t="str">
        <f>HYPERLINK("http://china-parts.in.ua/p304822160-bryzgovik-zadnij-levyj.html","WG1642230003")</f>
        <v>WG1642230003</v>
      </c>
      <c r="C715" s="16" t="s">
        <v>792</v>
      </c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1.25" customHeight="1">
      <c r="A716" s="13"/>
      <c r="B716" s="21" t="str">
        <f>HYPERLINK("http://china-parts.in.ua/p304822161-bryzgovik-zadnij-levyj.html","WG1642230103")</f>
        <v>WG1642230103</v>
      </c>
      <c r="C716" s="16" t="s">
        <v>793</v>
      </c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1.25" customHeight="1">
      <c r="A717" s="13"/>
      <c r="B717" s="21" t="str">
        <f>HYPERLINK("http://china-parts.in.ua/p304822163-bryzgovik-zadnij-levyj.html","WG1642230104")</f>
        <v>WG1642230104</v>
      </c>
      <c r="C717" s="16" t="s">
        <v>794</v>
      </c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1.25" customHeight="1">
      <c r="A718" s="13"/>
      <c r="B718" s="21" t="str">
        <f>HYPERLINK("http://china-parts.in.ua/p304822164-bryzgovik-zadnij-pravyj.html","WG1642230004")</f>
        <v>WG1642230004</v>
      </c>
      <c r="C718" s="16" t="s">
        <v>795</v>
      </c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1.25" customHeight="1">
      <c r="A719" s="13"/>
      <c r="B719" s="21" t="str">
        <f>HYPERLINK("http://china-parts.in.ua/p304822347-podkladka-zadnyaya-kabiny.html","WG1642610006")</f>
        <v>WG1642610006</v>
      </c>
      <c r="C719" s="16" t="s">
        <v>796</v>
      </c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1.25" customHeight="1">
      <c r="A720" s="13"/>
      <c r="B720" s="21" t="str">
        <f>HYPERLINK("http://china-parts.in.ua/p304822348-podkladka-levaya-bortovaya.html","WG1642610007")</f>
        <v>WG1642610007</v>
      </c>
      <c r="C720" s="16" t="s">
        <v>797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1.25" customHeight="1">
      <c r="A721" s="13"/>
      <c r="B721" s="21" t="str">
        <f>HYPERLINK("http://china-parts.in.ua/p304822350-podkladka-pravaya-bortovaya.html","WG1642610009")</f>
        <v>WG1642610009</v>
      </c>
      <c r="C721" s="16" t="s">
        <v>798</v>
      </c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1.25" customHeight="1">
      <c r="A722" s="13"/>
      <c r="B722" s="21" t="str">
        <f>HYPERLINK("http://china-parts.in.ua/p304820640-vozduhozabornik-sbore-wd615.html","WG9725190012")</f>
        <v>WG9725190012</v>
      </c>
      <c r="C722" s="16" t="s">
        <v>799</v>
      </c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1.25" customHeight="1">
      <c r="A723" s="13"/>
      <c r="B723" s="21" t="str">
        <f>HYPERLINK("http://china-parts.in.ua/p304820642-vozduhozabornik-sbore-evro2.html","WG97255190009")</f>
        <v>WG97255190009</v>
      </c>
      <c r="C723" s="16" t="s">
        <v>800</v>
      </c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1.25" customHeight="1">
      <c r="A724" s="13"/>
      <c r="B724" s="21" t="str">
        <f>HYPERLINK("http://china-parts.in.ua/p304822175-vtulka-stabilizatora-poperechnoj.html","AZ1642440031")</f>
        <v>AZ1642440031</v>
      </c>
      <c r="C724" s="16" t="s">
        <v>801</v>
      </c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1.25" customHeight="1">
      <c r="A725" s="13"/>
      <c r="B725" s="21" t="str">
        <f>HYPERLINK("http://china-parts.in.ua/p304822192-vtulka-stabilizatora-poperechnoj.html","AZ1642440032")</f>
        <v>AZ1642440032</v>
      </c>
      <c r="C725" s="16" t="s">
        <v>802</v>
      </c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1.25" customHeight="1">
      <c r="A726" s="13"/>
      <c r="B726" s="21" t="str">
        <f>HYPERLINK("http://china-parts.in.ua/p304822195-vtulka-torsiona-kabiny.html","AZ164243026110263")</f>
        <v>AZ164243026110263</v>
      </c>
      <c r="C726" s="16" t="s">
        <v>803</v>
      </c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1.25" customHeight="1">
      <c r="A727" s="13"/>
      <c r="B727" s="21" t="str">
        <f>HYPERLINK("http://china-parts.in.ua/p75032789-vtulka-torsiona-kabiny.html","AZ1642430061")</f>
        <v>AZ1642430061</v>
      </c>
      <c r="C727" s="16" t="s">
        <v>804</v>
      </c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1.25" customHeight="1">
      <c r="A728" s="13"/>
      <c r="B728" s="25" t="str">
        <f>HYPERLINK("http://china-parts.in.ua/p304822196-vtulka-torsiona-kabiny.html","WG1642430061")</f>
        <v>WG1642430061</v>
      </c>
      <c r="C728" s="16" t="s">
        <v>805</v>
      </c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1.25" customHeight="1">
      <c r="A729" s="13"/>
      <c r="B729" s="16" t="s">
        <v>806</v>
      </c>
      <c r="C729" s="16" t="s">
        <v>807</v>
      </c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1.25" customHeight="1">
      <c r="A730" s="13"/>
      <c r="B730" s="16" t="s">
        <v>808</v>
      </c>
      <c r="C730" s="16" t="s">
        <v>809</v>
      </c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1.25" customHeight="1">
      <c r="A731" s="13"/>
      <c r="B731" s="21" t="str">
        <f>HYPERLINK("http://china-parts.in.ua/p304820740-datchik-gidrozamka-kabiny.html","WG1642440052")</f>
        <v>WG1642440052</v>
      </c>
      <c r="C731" s="16" t="s">
        <v>810</v>
      </c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1.25" customHeight="1">
      <c r="A732" s="13"/>
      <c r="B732" s="21" t="str">
        <f>HYPERLINK("http://china-parts.in.ua/p304822206-dver-levaya-sbore.html","A1616210001")</f>
        <v>A1616210001</v>
      </c>
      <c r="C732" s="16" t="s">
        <v>811</v>
      </c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1.25" customHeight="1">
      <c r="A733" s="13"/>
      <c r="B733" s="21" t="str">
        <f>HYPERLINK("http://china-parts.in.ua/p304822207-dver-levaya-sbore.html","AZ1642210001")</f>
        <v>AZ1642210001</v>
      </c>
      <c r="C733" s="16" t="s">
        <v>812</v>
      </c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1.25" customHeight="1">
      <c r="A734" s="13"/>
      <c r="B734" s="21" t="str">
        <f>HYPERLINK("http://china-parts.in.ua/p304822208-dver-pravaya-sbore.html","AZ1616210002")</f>
        <v>AZ1616210002</v>
      </c>
      <c r="C734" s="16" t="s">
        <v>813</v>
      </c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1.25" customHeight="1">
      <c r="A735" s="13"/>
      <c r="B735" s="21" t="str">
        <f>HYPERLINK("http://china-parts.in.ua/p304822209-dver-pravaya-sbore.html","AZ1642210002")</f>
        <v>AZ1642210002</v>
      </c>
      <c r="C735" s="16" t="s">
        <v>814</v>
      </c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1.25" customHeight="1">
      <c r="A736" s="13"/>
      <c r="B736" s="21" t="str">
        <f>HYPERLINK("http://china-parts.in.ua/p304822468-deflektor-sbore-howo.html","AZ1642160150")</f>
        <v>AZ1642160150</v>
      </c>
      <c r="C736" s="16" t="s">
        <v>815</v>
      </c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1.25" customHeight="1">
      <c r="A737" s="13"/>
      <c r="B737" s="21" t="str">
        <f>HYPERLINK("http://china-parts.in.ua/p304822289-kryshka-naruzhnaya-levaya.html","WG1642111013")</f>
        <v>WG1642111013</v>
      </c>
      <c r="C737" s="16" t="s">
        <v>816</v>
      </c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1.25" customHeight="1">
      <c r="A738" s="13"/>
      <c r="B738" s="21" t="str">
        <f>HYPERLINK("http://china-parts.in.ua/p304822290-kryshka-naruzhnaya-pravaya.html","WG1642111014")</f>
        <v>WG1642111014</v>
      </c>
      <c r="C738" s="16" t="s">
        <v>817</v>
      </c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1.25" customHeight="1">
      <c r="A739" s="13"/>
      <c r="B739" s="16" t="s">
        <v>818</v>
      </c>
      <c r="C739" s="16" t="s">
        <v>819</v>
      </c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1.25" customHeight="1">
      <c r="A740" s="13"/>
      <c r="B740" s="16" t="s">
        <v>820</v>
      </c>
      <c r="C740" s="16" t="s">
        <v>821</v>
      </c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1.25" customHeight="1">
      <c r="A741" s="13"/>
      <c r="B741" s="16" t="s">
        <v>822</v>
      </c>
      <c r="C741" s="16" t="s">
        <v>823</v>
      </c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1.25" customHeight="1">
      <c r="A742" s="13"/>
      <c r="B742" s="21" t="str">
        <f>HYPERLINK("http://china-parts.in.ua/p304822212-zamok-dvernoj-sbore.html","WG1642341001")</f>
        <v>WG1642341001</v>
      </c>
      <c r="C742" s="16" t="s">
        <v>824</v>
      </c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1.25" customHeight="1">
      <c r="A743" s="13"/>
      <c r="B743" s="21" t="str">
        <f>HYPERLINK("http://china-parts.in.ua/p304822210-zamok-dveri-levoj.html","WG1642340014/1")</f>
        <v>WG1642340014/1</v>
      </c>
      <c r="C743" s="16" t="s">
        <v>825</v>
      </c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1.25" customHeight="1">
      <c r="A744" s="13"/>
      <c r="B744" s="21" t="str">
        <f>HYPERLINK("http://china-parts.in.ua/p304822211-zamok-dveri-pravoj.html","WG1642340015/1")</f>
        <v>WG1642340015/1</v>
      </c>
      <c r="C744" s="16" t="s">
        <v>826</v>
      </c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1.25" customHeight="1">
      <c r="A745" s="13"/>
      <c r="B745" s="21" t="str">
        <f>HYPERLINK("http://china-parts.in.ua/p75032808-zamok-zazhiganiya-az9130583019.html","AZ9130583019")</f>
        <v>AZ9130583019</v>
      </c>
      <c r="C745" s="16" t="s">
        <v>827</v>
      </c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1.25" customHeight="1">
      <c r="A746" s="13"/>
      <c r="B746" s="21" t="str">
        <f>HYPERLINK("http://china-parts.in.ua/p304820729-zamok-zazhiganiya-howo.html","AZ9132583019")</f>
        <v>AZ9132583019</v>
      </c>
      <c r="C746" s="16" t="s">
        <v>828</v>
      </c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1.25" customHeight="1">
      <c r="A747" s="13"/>
      <c r="B747" s="21" t="str">
        <f>HYPERLINK("http://china-parts.in.ua/p304822215-zamok-kapota-kabiny.html","WG1642110028")</f>
        <v>WG1642110028</v>
      </c>
      <c r="C747" s="16" t="s">
        <v>829</v>
      </c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1.25" customHeight="1">
      <c r="A748" s="13"/>
      <c r="B748" s="21" t="str">
        <f>HYPERLINK("http://china-parts.in.ua/p304822216-zamok-kapota-kabiny.html","WG1642110027")</f>
        <v>WG1642110027</v>
      </c>
      <c r="C748" s="16" t="s">
        <v>830</v>
      </c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1.25" customHeight="1">
      <c r="A749" s="13"/>
      <c r="B749" s="21" t="str">
        <f>HYPERLINK("http://china-parts.in.ua/p304822224-zerkalo-parkovochnoe-bordyurnoe.html","WG1600770007")</f>
        <v>WG1600770007</v>
      </c>
      <c r="C749" s="16" t="s">
        <v>831</v>
      </c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1.25" customHeight="1">
      <c r="A750" s="13"/>
      <c r="B750" s="21" t="str">
        <f>HYPERLINK("http://china-parts.in.ua/p304822219-zerkalo-zadnego-vida.html","WG1642777010")</f>
        <v>WG1642777010</v>
      </c>
      <c r="C750" s="16" t="s">
        <v>832</v>
      </c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1.25" customHeight="1">
      <c r="A751" s="13"/>
      <c r="B751" s="21" t="str">
        <f>HYPERLINK("http://china-parts.in.ua/p304822223-zerkalo-nizhnego-vida.html","WG1642770004")</f>
        <v>WG1642770004</v>
      </c>
      <c r="C751" s="16" t="s">
        <v>833</v>
      </c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1.25" customHeight="1">
      <c r="A752" s="13"/>
      <c r="B752" s="21" t="str">
        <f>HYPERLINK("http://china-parts.in.ua/p304822222-zerkalo-zadnego-vida.html","WG1642777020")</f>
        <v>WG1642777020</v>
      </c>
      <c r="C752" s="16" t="s">
        <v>834</v>
      </c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1.25" customHeight="1">
      <c r="A753" s="13"/>
      <c r="B753" s="21" t="str">
        <f>HYPERLINK("http://china-parts.in.ua/p75032745-zerkalo-zadnego-vida.html","WG1642770001")</f>
        <v>WG1642770001</v>
      </c>
      <c r="C753" s="16" t="s">
        <v>835</v>
      </c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1.25" customHeight="1">
      <c r="A754" s="13"/>
      <c r="B754" s="21" t="str">
        <f>HYPERLINK("http://china-parts.in.ua/p75032746-zerkalo-zadnego-vida.html","WG1642770003")</f>
        <v>WG1642770003</v>
      </c>
      <c r="C754" s="16" t="s">
        <v>836</v>
      </c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1.25" customHeight="1">
      <c r="A755" s="13"/>
      <c r="B755" s="21" t="str">
        <f>HYPERLINK("http://china-parts.in.ua/p304822312-oblitsovka-radiatora-howo.html","WG1642110013")</f>
        <v>WG1642110013</v>
      </c>
      <c r="C755" s="16" t="s">
        <v>837</v>
      </c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1.25" customHeight="1">
      <c r="A756" s="13"/>
      <c r="B756" s="21" t="str">
        <f>HYPERLINK("http://china-parts.in.ua/p304822333-panel-vnutrennyaya-levoj.html","WG1642330020")</f>
        <v>WG1642330020</v>
      </c>
      <c r="C756" s="16" t="s">
        <v>838</v>
      </c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1.25" customHeight="1">
      <c r="A757" s="13"/>
      <c r="B757" s="21" t="str">
        <f>HYPERLINK("http://china-parts.in.ua/p304822334-panel-vnutrennyaya-pravoj.html","WG1642330040")</f>
        <v>WG1642330040</v>
      </c>
      <c r="C757" s="16" t="s">
        <v>839</v>
      </c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1.25" customHeight="1">
      <c r="A758" s="13"/>
      <c r="B758" s="21" t="str">
        <f>HYPERLINK("http://china-parts.in.ua/p304821793-kamera-tormoznaya-diafragmoj.html","WG9000360100/WG9000360101")</f>
        <v>WG9000360100/WG9000360101</v>
      </c>
      <c r="C758" s="16" t="s">
        <v>840</v>
      </c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1.25" customHeight="1">
      <c r="A759" s="13"/>
      <c r="B759" s="21" t="str">
        <f>HYPERLINK("http://china-parts.in.ua/p304822236-klapan-podema-pnevmaticheskij.html","CKHY-002")</f>
        <v>CKHY-002</v>
      </c>
      <c r="C759" s="16" t="s">
        <v>841</v>
      </c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1.25" customHeight="1">
      <c r="A760" s="13"/>
      <c r="B760" s="21" t="str">
        <f>HYPERLINK("http://china-parts.in.ua/p304822238-klapan-upravleniya-podyomom.html","WG1642440051")</f>
        <v>WG1642440051</v>
      </c>
      <c r="C760" s="16" t="s">
        <v>842</v>
      </c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1.25" customHeight="1">
      <c r="A761" s="13"/>
      <c r="B761" s="21" t="str">
        <f>HYPERLINK("http://china-parts.in.ua/p304821788-zaschita-datchika-abs.html","AZ9107346010")</f>
        <v>AZ9107346010</v>
      </c>
      <c r="C761" s="16" t="s">
        <v>843</v>
      </c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1.25" customHeight="1">
      <c r="A762" s="13"/>
      <c r="B762" s="21" t="str">
        <f>HYPERLINK("http://china-parts.in.ua/p304822346-podkladka-zadnyaya-kabiny.html","WG1644610011")</f>
        <v>WG1644610011</v>
      </c>
      <c r="C762" s="16" t="s">
        <v>844</v>
      </c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1.25" customHeight="1">
      <c r="A763" s="13"/>
      <c r="B763" s="21" t="str">
        <f>HYPERLINK("http://china-parts.in.ua/p304822239-kozyryok-protivosolnechnyj-sbore.html","WG164477146")</f>
        <v>WG164477146</v>
      </c>
      <c r="C763" s="16" t="s">
        <v>845</v>
      </c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1.25" customHeight="1">
      <c r="A764" s="13"/>
      <c r="B764" s="21" t="str">
        <f>HYPERLINK("http://china-parts.in.ua/p304822242-kozyryok-solntsezaschitnyj-kabiny.html","WG1644870002")</f>
        <v>WG1644870002</v>
      </c>
      <c r="C764" s="16" t="s">
        <v>846</v>
      </c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1.25" customHeight="1">
      <c r="A765" s="13"/>
      <c r="B765" s="21" t="str">
        <f>HYPERLINK("http://china-parts.in.ua/p304822240-kozyryok-solntsezaschitnyj-kabiny.html","AZ1644870231")</f>
        <v>AZ1644870231</v>
      </c>
      <c r="C765" s="16" t="s">
        <v>847</v>
      </c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1.25" customHeight="1">
      <c r="A766" s="13"/>
      <c r="B766" s="21" t="str">
        <f>HYPERLINK("http://china-parts.in.ua/p304820839-fonar-solntsezaschitnogo-kozyrka.html","WG9719790005/0008")</f>
        <v>WG9719790005/0008</v>
      </c>
      <c r="C766" s="16" t="s">
        <v>848</v>
      </c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1.25" customHeight="1">
      <c r="A767" s="13"/>
      <c r="B767" s="21" t="str">
        <f>HYPERLINK("http://china-parts.in.ua/p304822243-kozyrek-solntsezaschitnyj-standartnoj.html","WG1642870231")</f>
        <v>WG1642870231</v>
      </c>
      <c r="C767" s="16" t="s">
        <v>849</v>
      </c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1.25" customHeight="1">
      <c r="A768" s="13"/>
      <c r="B768" s="21" t="str">
        <f>HYPERLINK("http://china-parts.in.ua/p75032866-podushka-howo-ressory.html","AZ9725520269-H1")</f>
        <v>AZ9725520269-H1</v>
      </c>
      <c r="C768" s="16" t="s">
        <v>850</v>
      </c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1.25" customHeight="1">
      <c r="A769" s="13"/>
      <c r="B769" s="21" t="str">
        <f>HYPERLINK("http://china-parts.in.ua/p304822360-podnozhka-levaya-howo.html","WG164120113")</f>
        <v>WG164120113</v>
      </c>
      <c r="C769" s="16" t="s">
        <v>851</v>
      </c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1.25" customHeight="1">
      <c r="A770" s="13"/>
      <c r="B770" s="21" t="str">
        <f>HYPERLINK("http://china-parts.in.ua/p304822372-podnozhka-pravaya-howo.html","WG164120114")</f>
        <v>WG164120114</v>
      </c>
      <c r="C770" s="16" t="s">
        <v>852</v>
      </c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1.25" customHeight="1">
      <c r="A771" s="13"/>
      <c r="B771" s="16" t="s">
        <v>853</v>
      </c>
      <c r="C771" s="16" t="s">
        <v>854</v>
      </c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1.25" customHeight="1">
      <c r="A772" s="13"/>
      <c r="B772" s="21" t="str">
        <f>HYPERLINK("http://china-parts.in.ua/p304822235-klapan-podema-nyva.html","CKHY0014")</f>
        <v>CKHY0014</v>
      </c>
      <c r="C772" s="16" t="s">
        <v>855</v>
      </c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1.25" customHeight="1">
      <c r="A773" s="13"/>
      <c r="B773" s="21" t="str">
        <f>HYPERLINK("http://china-parts.in.ua/p304822341-plastina-krepleniya-reshetki.html","AZ1642240005")</f>
        <v>AZ1642240005</v>
      </c>
      <c r="C773" s="16" t="s">
        <v>856</v>
      </c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1.25" customHeight="1">
      <c r="A774" s="13"/>
      <c r="B774" s="21" t="str">
        <f>HYPERLINK("http://china-parts.in.ua/p304822342-plastina-krepleniya-reshetki.html","AZ1642240006")</f>
        <v>AZ1642240006</v>
      </c>
      <c r="C774" s="16" t="s">
        <v>857</v>
      </c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1.25" customHeight="1">
      <c r="A775" s="13"/>
      <c r="B775" s="16" t="s">
        <v>858</v>
      </c>
      <c r="C775" s="16" t="s">
        <v>859</v>
      </c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1.25" customHeight="1">
      <c r="A776" s="13"/>
      <c r="B776" s="21" t="str">
        <f>HYPERLINK("http://china-parts.in.ua/p304822271-kronshtejn-protivotumannoj-fary.html","WG164240107")</f>
        <v>WG164240107</v>
      </c>
      <c r="C776" s="16" t="s">
        <v>860</v>
      </c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1.25" customHeight="1">
      <c r="A777" s="13"/>
      <c r="B777" s="21" t="str">
        <f>HYPERLINK("http://china-parts.in.ua/p304822274-kronshtejn-protivotumannoj-fary.html","WG1642240041")</f>
        <v>WG1642240041</v>
      </c>
      <c r="C777" s="16" t="s">
        <v>861</v>
      </c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1.25" customHeight="1">
      <c r="A778" s="13"/>
      <c r="B778" s="21" t="str">
        <f>HYPERLINK("http://china-parts.in.ua/p304822273-kronshtejn-protivotumannoj-fary.html","WG164240108")</f>
        <v>WG164240108</v>
      </c>
      <c r="C778" s="16" t="s">
        <v>862</v>
      </c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1.25" customHeight="1">
      <c r="A779" s="13"/>
      <c r="B779" s="21" t="str">
        <f>HYPERLINK("http://china-parts.in.ua/p304822265-kronshtejn-krepleniya-kabiny.html","AZ1642440011")</f>
        <v>AZ1642440011</v>
      </c>
      <c r="C779" s="16" t="s">
        <v>863</v>
      </c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1.25" customHeight="1">
      <c r="A780" s="13"/>
      <c r="B780" s="21" t="str">
        <f>HYPERLINK("http://china-parts.in.ua/p304822266-kronshtejn-krepleniya-kabiny.html","AZ1642440012")</f>
        <v>AZ1642440012</v>
      </c>
      <c r="C780" s="16" t="s">
        <v>864</v>
      </c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1.25" customHeight="1">
      <c r="A781" s="13"/>
      <c r="B781" s="21" t="str">
        <f>HYPERLINK("http://china-parts.in.ua/p304822254-kronshtejn-bampera-howo.html","AZ9725930007")</f>
        <v>AZ9725930007</v>
      </c>
      <c r="C781" s="16" t="s">
        <v>865</v>
      </c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1.25" customHeight="1">
      <c r="A782" s="13"/>
      <c r="B782" s="21" t="str">
        <f>HYPERLINK("http://china-parts.in.ua/p304822253-kronshtejn-bampera-howo.html","AZ9725930002")</f>
        <v>AZ9725930002</v>
      </c>
      <c r="C782" s="16" t="s">
        <v>866</v>
      </c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1.25" customHeight="1">
      <c r="A783" s="13"/>
      <c r="B783" s="21" t="str">
        <f>HYPERLINK("http://china-parts.in.ua/p304822255-kronshtejn-bampera-sbore.html","WG9725930010")</f>
        <v>WG9725930010</v>
      </c>
      <c r="C783" s="16" t="s">
        <v>867</v>
      </c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1.25" customHeight="1">
      <c r="A784" s="13"/>
      <c r="B784" s="21" t="str">
        <f>HYPERLINK("http://china-parts.in.ua/p304822256-kronshtejn-bampera-sbore.html","WG9725930060")</f>
        <v>WG9725930060</v>
      </c>
      <c r="C784" s="16" t="s">
        <v>868</v>
      </c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1.25" customHeight="1">
      <c r="A785" s="13"/>
      <c r="B785" s="21" t="str">
        <f>HYPERLINK("http://china-parts.in.ua/p304822257-kronshtejn-bampera-levyj.html","AZ1642240019")</f>
        <v>AZ1642240019</v>
      </c>
      <c r="C785" s="16" t="s">
        <v>869</v>
      </c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1.25" customHeight="1">
      <c r="A786" s="13"/>
      <c r="B786" s="21" t="str">
        <f>HYPERLINK("http://china-parts.in.ua/p304822258-kronshtejn-bampera-pravyj.html","AZ1642240020")</f>
        <v>AZ1642240020</v>
      </c>
      <c r="C786" s="16" t="s">
        <v>870</v>
      </c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1.25" customHeight="1">
      <c r="A787" s="13"/>
      <c r="B787" s="21" t="str">
        <f>HYPERLINK("http://china-parts.in.ua/p304822262-kronshtejn-kozyrka-solntsezaschitnogo.html","WG1642870232/34/35/36")</f>
        <v>WG1642870232/34/35/36</v>
      </c>
      <c r="C787" s="16" t="s">
        <v>871</v>
      </c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1.25" customHeight="1">
      <c r="A788" s="13"/>
      <c r="B788" s="21" t="str">
        <f>HYPERLINK("http://china-parts.in.ua/p304822261-kronshtejn-kozyrka-solntsezaschitnogo.html","AZ1644870003")</f>
        <v>AZ1644870003</v>
      </c>
      <c r="C788" s="16" t="s">
        <v>872</v>
      </c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1.25" customHeight="1">
      <c r="A789" s="13"/>
      <c r="B789" s="21" t="str">
        <f>HYPERLINK("http://china-parts.in.ua/p304822267-kronshtejn-levyj-verhnij.html","WG1644240040")</f>
        <v>WG1644240040</v>
      </c>
      <c r="C789" s="16" t="s">
        <v>873</v>
      </c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1.25" customHeight="1">
      <c r="A790" s="13"/>
      <c r="B790" s="21" t="str">
        <f>HYPERLINK("http://china-parts.in.ua/p304822270-kronshtejn-pravyj-verhnij.html","WG1642440041")</f>
        <v>WG1642440041</v>
      </c>
      <c r="C790" s="16" t="s">
        <v>874</v>
      </c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1.25" customHeight="1">
      <c r="A791" s="13"/>
      <c r="B791" s="16" t="s">
        <v>875</v>
      </c>
      <c r="C791" s="16" t="s">
        <v>876</v>
      </c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1.25" customHeight="1">
      <c r="A792" s="13"/>
      <c r="B792" s="21" t="str">
        <f>HYPERLINK("http://china-parts.in.ua/p304822470-sharnir-svarnoj-sbore.html","AZ162110032/33")</f>
        <v>AZ162110032/33</v>
      </c>
      <c r="C792" s="16" t="s">
        <v>877</v>
      </c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1.25" customHeight="1">
      <c r="A793" s="13"/>
      <c r="B793" s="21" t="str">
        <f>HYPERLINK("http://china-parts.in.ua/p304822263-kronshtejn-krepleniya-zadnego.html","WG9719930315")</f>
        <v>WG9719930315</v>
      </c>
      <c r="C793" s="16" t="s">
        <v>878</v>
      </c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1.25" customHeight="1">
      <c r="A794" s="13"/>
      <c r="B794" s="21" t="str">
        <f>HYPERLINK("http://china-parts.in.ua/p304822264-kronshtejn-krepleniya-zadnego.html","WG9719930313")</f>
        <v>WG9719930313</v>
      </c>
      <c r="C794" s="16" t="s">
        <v>879</v>
      </c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1.25" customHeight="1">
      <c r="A795" s="13"/>
      <c r="B795" s="21" t="str">
        <f>HYPERLINK("http://china-parts.in.ua/p304822025-kronshtejn-stabilizatora-perednego.html","AZ9719680013")</f>
        <v>AZ9719680013</v>
      </c>
      <c r="C795" s="16" t="s">
        <v>880</v>
      </c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1.25" customHeight="1">
      <c r="A796" s="13"/>
      <c r="B796" s="21" t="str">
        <f>HYPERLINK("http://china-parts.in.ua/p304822268-kronshtejn-podnozhki-howo.html","WG925930017")</f>
        <v>WG925930017</v>
      </c>
      <c r="C796" s="16" t="s">
        <v>881</v>
      </c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1.25" customHeight="1">
      <c r="A797" s="13"/>
      <c r="B797" s="21" t="str">
        <f>HYPERLINK("http://china-parts.in.ua/p304822269-kronshtejn-podnozhki-sbore.html","AZ9725930049")</f>
        <v>AZ9725930049</v>
      </c>
      <c r="C797" s="16" t="s">
        <v>882</v>
      </c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1.25" customHeight="1">
      <c r="A798" s="13"/>
      <c r="B798" s="21" t="str">
        <f>HYPERLINK("http://china-parts.in.ua/p304822422-stojka-sidenya-opornaya.html","AZ1642510003")</f>
        <v>AZ1642510003</v>
      </c>
      <c r="C798" s="16" t="s">
        <v>883</v>
      </c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1.25" customHeight="1">
      <c r="A799" s="13"/>
      <c r="B799" s="21" t="str">
        <f>HYPERLINK("http://china-parts.in.ua/p304822423-stojka-sidenya-opornaya.html","AZ1642510005")</f>
        <v>AZ1642510005</v>
      </c>
      <c r="C799" s="16" t="s">
        <v>884</v>
      </c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1.25" customHeight="1">
      <c r="A800" s="13"/>
      <c r="B800" s="21" t="str">
        <f>HYPERLINK("http://china-parts.in.ua/p304822259-kronshtejn-kabiny-perednij.html","AZ1642430231")</f>
        <v>AZ1642430231</v>
      </c>
      <c r="C800" s="16" t="s">
        <v>885</v>
      </c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1.25" customHeight="1">
      <c r="A801" s="13"/>
      <c r="B801" s="21" t="str">
        <f>HYPERLINK("http://china-parts.in.ua/p304822260-kronshtejn-kabiny-perednij.html","AZ1642430232")</f>
        <v>AZ1642430232</v>
      </c>
      <c r="C801" s="16" t="s">
        <v>886</v>
      </c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1.25" customHeight="1">
      <c r="A802" s="13"/>
      <c r="B802" s="21" t="str">
        <f>HYPERLINK("http://china-parts.in.ua/p304822277-krylo-kabiny-levoe.html","WG1642230012")</f>
        <v>WG1642230012</v>
      </c>
      <c r="C802" s="16" t="s">
        <v>887</v>
      </c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1.25" customHeight="1">
      <c r="A803" s="13"/>
      <c r="B803" s="21" t="str">
        <f>HYPERLINK("http://china-parts.in.ua/p304822278-krylo-kabiny-pravoe.html","WG1642230013")</f>
        <v>WG1642230013</v>
      </c>
      <c r="C803" s="16" t="s">
        <v>888</v>
      </c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1.25" customHeight="1">
      <c r="A804" s="13"/>
      <c r="B804" s="21" t="str">
        <f>HYPERLINK("http://china-parts.in.ua/p304822168-krylo-perednee-levoe.html","WG1642230107")</f>
        <v>WG1642230107</v>
      </c>
      <c r="C804" s="16" t="s">
        <v>889</v>
      </c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1.25" customHeight="1">
      <c r="A805" s="13"/>
      <c r="B805" s="21" t="str">
        <f>HYPERLINK("http://china-parts.in.ua/p304822281-krylo-perednee-levoe.html","WG1642230105")</f>
        <v>WG1642230105</v>
      </c>
      <c r="C805" s="16" t="s">
        <v>890</v>
      </c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1.25" customHeight="1">
      <c r="A806" s="13"/>
      <c r="B806" s="21" t="str">
        <f>HYPERLINK("http://china-parts.in.ua/p503895948-krylo-perednee-pravoe.html","WG1642230108")</f>
        <v>WG1642230108</v>
      </c>
      <c r="C806" s="16" t="s">
        <v>891</v>
      </c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1.25" customHeight="1">
      <c r="A807" s="13"/>
      <c r="B807" s="21" t="str">
        <f>HYPERLINK("http://china-parts.in.ua/p503895950-krylo-perednee-pravoe.html","WG1642230106")</f>
        <v>WG1642230106</v>
      </c>
      <c r="C807" s="16" t="s">
        <v>892</v>
      </c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1.25" customHeight="1">
      <c r="A808" s="13"/>
      <c r="B808" s="16" t="s">
        <v>893</v>
      </c>
      <c r="C808" s="16" t="s">
        <v>894</v>
      </c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1.25" customHeight="1">
      <c r="A809" s="13"/>
      <c r="B809" s="21" t="str">
        <f>HYPERLINK("http://china-parts.in.ua/p304820776-kryshka-akkumulyatora-howo.html","AZ9100760102")</f>
        <v>AZ9100760102</v>
      </c>
      <c r="C809" s="16" t="s">
        <v>895</v>
      </c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1.25" customHeight="1">
      <c r="A810" s="13"/>
      <c r="B810" s="21" t="str">
        <f>HYPERLINK("http://china-parts.in.ua/p304822324-obshivka-rulevoj-rejki.html","AZ1642160217")</f>
        <v>AZ1642160217</v>
      </c>
      <c r="C810" s="16" t="s">
        <v>896</v>
      </c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1.25" customHeight="1">
      <c r="A811" s="13"/>
      <c r="B811" s="21" t="str">
        <f>HYPERLINK("http://china-parts.in.ua/p304822288-kryshka-lyuka-sbore.html","WG1642770006")</f>
        <v>WG1642770006</v>
      </c>
      <c r="C811" s="16" t="s">
        <v>897</v>
      </c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1.25" customHeight="1">
      <c r="A812" s="13"/>
      <c r="B812" s="21" t="str">
        <f>HYPERLINK("http://china-parts.in.ua/p304822323-obshivka-vnutrennyaya-kryshki.html","WG1642770008")</f>
        <v>WG1642770008</v>
      </c>
      <c r="C812" s="16" t="s">
        <v>898</v>
      </c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1.25" customHeight="1">
      <c r="A813" s="13"/>
      <c r="B813" s="21" t="str">
        <f>HYPERLINK("http://china-parts.in.ua/p304822349-podkladka-potolka-kabiny.html","WG1644610005")</f>
        <v>WG1644610005</v>
      </c>
      <c r="C813" s="16" t="s">
        <v>899</v>
      </c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1.25" customHeight="1">
      <c r="A814" s="13"/>
      <c r="B814" s="21" t="str">
        <f>HYPERLINK("http://china-parts.in.ua/p75032834-kryuk-bukserovochnyj-az9114930093.html","AZ9114930093")</f>
        <v>AZ9114930093</v>
      </c>
      <c r="C814" s="16" t="s">
        <v>900</v>
      </c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1.25" customHeight="1">
      <c r="A815" s="13"/>
      <c r="B815" s="21" t="str">
        <f>HYPERLINK("http://china-parts.in.ua/p304822441-ustrojstvo-buksirovochnoe-farkop.html","AZ9725930028")</f>
        <v>AZ9725930028</v>
      </c>
      <c r="C815" s="16" t="s">
        <v>901</v>
      </c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1.25" customHeight="1">
      <c r="A816" s="13"/>
      <c r="B816" s="21" t="str">
        <f>HYPERLINK("http://china-parts.in.ua/p304820777-lampa-howo-wg9719790002.html","WG9719790002")</f>
        <v>WG9719790002</v>
      </c>
      <c r="C816" s="16" t="s">
        <v>902</v>
      </c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1.25" customHeight="1">
      <c r="A817" s="13"/>
      <c r="B817" s="21" t="str">
        <f>HYPERLINK("http://china-parts.in.ua/p304820778-lampa-howo-wg9719790003.html","WG9719790003")</f>
        <v>WG9719790003</v>
      </c>
      <c r="C817" s="16" t="s">
        <v>903</v>
      </c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1.25" customHeight="1">
      <c r="A818" s="13"/>
      <c r="B818" s="21" t="str">
        <f>HYPERLINK("http://china-parts.in.ua/p304822299-molding-dekorativnyj-bampera.html","AZ1642240050")</f>
        <v>AZ1642240050</v>
      </c>
      <c r="C818" s="16" t="s">
        <v>904</v>
      </c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1.25" customHeight="1">
      <c r="A819" s="13"/>
      <c r="B819" s="21" t="str">
        <f>HYPERLINK("http://china-parts.in.ua/p304822300-molding-dekorativnyj-bampera.html","AZ1642240051")</f>
        <v>AZ1642240051</v>
      </c>
      <c r="C819" s="16" t="s">
        <v>905</v>
      </c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1.25" customHeight="1">
      <c r="A820" s="13"/>
      <c r="B820" s="16" t="s">
        <v>906</v>
      </c>
      <c r="C820" s="16" t="s">
        <v>907</v>
      </c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1.25" customHeight="1">
      <c r="A821" s="13"/>
      <c r="B821" s="21" t="str">
        <f>HYPERLINK("http://china-parts.in.ua/p304822311-oblitsovka-pribornoj-paneli.html","AZ1642160175")</f>
        <v>AZ1642160175</v>
      </c>
      <c r="C821" s="16" t="s">
        <v>908</v>
      </c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1.25" customHeight="1">
      <c r="A822" s="13"/>
      <c r="B822" s="21" t="str">
        <f>HYPERLINK("http://china-parts.in.ua/p304820432-nakladka-pedali-rezinovaya.html","AZ9719570001")</f>
        <v>AZ9719570001</v>
      </c>
      <c r="C822" s="16" t="s">
        <v>909</v>
      </c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1.25" customHeight="1">
      <c r="A823" s="13"/>
      <c r="B823" s="21" t="str">
        <f>HYPERLINK("http://china-parts.in.ua/p304822352-podnozhka-verhnyaya-levaya.html","WG1642230018")</f>
        <v>WG1642230018</v>
      </c>
      <c r="C823" s="16" t="s">
        <v>910</v>
      </c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1.25" customHeight="1">
      <c r="A824" s="13"/>
      <c r="B824" s="21" t="str">
        <f>HYPERLINK("http://china-parts.in.ua/p304822354-podnozhka-verhnyaya-pravaya.html","WG1642230019")</f>
        <v>WG1642230019</v>
      </c>
      <c r="C824" s="16" t="s">
        <v>911</v>
      </c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1.25" customHeight="1">
      <c r="A825" s="13"/>
      <c r="B825" s="21" t="str">
        <f>HYPERLINK("http://china-parts.in.ua/p304822303-napravlyayuschaya-stekla-levoj.html","WG1642330009")</f>
        <v>WG1642330009</v>
      </c>
      <c r="C825" s="16" t="s">
        <v>912</v>
      </c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1.25" customHeight="1">
      <c r="A826" s="13"/>
      <c r="B826" s="21" t="str">
        <f>HYPERLINK("http://china-parts.in.ua/p304822304-napravlyayuschaya-stekla-pravoj.html","WG1642330010")</f>
        <v>WG1642330010</v>
      </c>
      <c r="C826" s="16" t="s">
        <v>913</v>
      </c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1.25" customHeight="1">
      <c r="A827" s="13"/>
      <c r="B827" s="16" t="s">
        <v>914</v>
      </c>
      <c r="C827" s="16" t="s">
        <v>915</v>
      </c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1.25" customHeight="1">
      <c r="A828" s="13"/>
      <c r="B828" s="21" t="str">
        <f>HYPERLINK("http://china-parts.in.ua/p80618808-nasos-podema-kuzova.html","CBTx-F580 30")</f>
        <v>CBTx-F580 30</v>
      </c>
      <c r="C828" s="16" t="s">
        <v>916</v>
      </c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1.25" customHeight="1">
      <c r="A829" s="13"/>
      <c r="B829" s="21" t="str">
        <f>HYPERLINK("http://china-parts.in.ua/p80539499-nasos-gidravlicheskij-cbgj20801010.html","КБР G2080")</f>
        <v>КБР G2080</v>
      </c>
      <c r="C829" s="16" t="s">
        <v>917</v>
      </c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1.25" customHeight="1">
      <c r="A830" s="13"/>
      <c r="B830" s="21" t="str">
        <f>HYPERLINK("http://china-parts.in.ua/p304822305-nasos-podema-kabiny.html","WG9719820001")</f>
        <v>WG9719820001</v>
      </c>
      <c r="C830" s="16" t="s">
        <v>918</v>
      </c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1.25" customHeight="1">
      <c r="A831" s="13"/>
      <c r="B831" s="21" t="str">
        <f>HYPERLINK("http://china-parts.in.ua/p304822305-nasos-podema-kabiny.html","WG9719820001-CK")</f>
        <v>WG9719820001-CK</v>
      </c>
      <c r="C831" s="16" t="s">
        <v>919</v>
      </c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1.25" customHeight="1">
      <c r="A832" s="13"/>
      <c r="B832" s="16" t="s">
        <v>920</v>
      </c>
      <c r="C832" s="16" t="s">
        <v>921</v>
      </c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1.25" customHeight="1">
      <c r="A833" s="13"/>
      <c r="B833" s="21" t="str">
        <f>HYPERLINK("http://china-parts.in.ua/p304822320-obtekatel-kabiny-pravyj.html","WG1642110001")</f>
        <v>WG1642110001</v>
      </c>
      <c r="C833" s="16" t="s">
        <v>922</v>
      </c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1.25" customHeight="1">
      <c r="A834" s="13"/>
      <c r="B834" s="21" t="str">
        <f>HYPERLINK("http://china-parts.in.ua/p304822321-obtekatel-stojki-kabiny.html","WG1642110019")</f>
        <v>WG1642110019</v>
      </c>
      <c r="C834" s="16" t="s">
        <v>923</v>
      </c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1.25" customHeight="1">
      <c r="A835" s="13"/>
      <c r="B835" s="21" t="str">
        <f>HYPERLINK("http://china-parts.in.ua/p304822319-obtekatel-kabiny-levyj.html","WG1642110002")</f>
        <v>WG1642110002</v>
      </c>
      <c r="C835" s="16" t="s">
        <v>924</v>
      </c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1.25" customHeight="1">
      <c r="A836" s="13"/>
      <c r="B836" s="21" t="str">
        <f>HYPERLINK("http://china-parts.in.ua/p304822328-otbojnik-bufer-kabiny.html","AZ1642430097")</f>
        <v>AZ1642430097</v>
      </c>
      <c r="C836" s="16" t="s">
        <v>925</v>
      </c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1.25" customHeight="1">
      <c r="A837" s="13"/>
      <c r="B837" s="21" t="str">
        <f>HYPERLINK("http://china-parts.in.ua/p304822330-otbojnik-kabiny-sbore.html","WG1642430083")</f>
        <v>WG1642430083</v>
      </c>
      <c r="C837" s="16" t="s">
        <v>926</v>
      </c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1.25" customHeight="1">
      <c r="A838" s="13"/>
      <c r="B838" s="21" t="str">
        <f>HYPERLINK("http://china-parts.in.ua/p304822332-palets-buksirovochnogo-ustrojstva.html","AZ9114930094")</f>
        <v>AZ9114930094</v>
      </c>
      <c r="C838" s="16" t="s">
        <v>927</v>
      </c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1.25" customHeight="1">
      <c r="A839" s="13"/>
      <c r="B839" s="21" t="str">
        <f>HYPERLINK("http://china-parts.in.ua/p304820436-pedal-gaza-akselerator.html","AZ9719570002")</f>
        <v>AZ9719570002</v>
      </c>
      <c r="C839" s="16" t="s">
        <v>928</v>
      </c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1.25" customHeight="1">
      <c r="A840" s="13"/>
      <c r="B840" s="21" t="str">
        <f>HYPERLINK("http://china-parts.in.ua/p304822338-pepelnitsa-sbore-howo.html","AZ1642160243")</f>
        <v>AZ1642160243</v>
      </c>
      <c r="C840" s="16" t="s">
        <v>929</v>
      </c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1.25" customHeight="1">
      <c r="A841" s="13"/>
      <c r="B841" s="21" t="str">
        <f>HYPERLINK("http://china-parts.in.ua/p304822337-pepelnitsa-howo-wg1642160192.html","WG1642160192")</f>
        <v>WG1642160192</v>
      </c>
      <c r="C841" s="16" t="s">
        <v>930</v>
      </c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1.25" customHeight="1">
      <c r="A842" s="13"/>
      <c r="B842" s="21" t="str">
        <f>HYPERLINK("http://china-parts.in.ua/p304822353-podnozhka-verhnyaya-levaya.html","WG1642231090")</f>
        <v>WG1642231090</v>
      </c>
      <c r="C842" s="16" t="s">
        <v>931</v>
      </c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1.25" customHeight="1">
      <c r="A843" s="13"/>
      <c r="B843" s="21" t="str">
        <f>HYPERLINK("http://china-parts.in.ua/p304822355-podnozhka-verhnyaya-pravaya.html","WG1642230110")</f>
        <v>WG1642230110</v>
      </c>
      <c r="C843" s="16" t="s">
        <v>932</v>
      </c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1.25" customHeight="1">
      <c r="A844" s="13"/>
      <c r="B844" s="21" t="str">
        <f>HYPERLINK("http://china-parts.in.ua/p304822363-podnozhka-levaya-howo.html","WG164120111")</f>
        <v>WG164120111</v>
      </c>
      <c r="C844" s="16" t="s">
        <v>933</v>
      </c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1.25" customHeight="1">
      <c r="A845" s="13"/>
      <c r="B845" s="21" t="str">
        <f>HYPERLINK("http://china-parts.in.ua/p304822361-podnozhka-levaya-howo.html","WG16412011313")</f>
        <v>WG16412011313</v>
      </c>
      <c r="C845" s="16" t="s">
        <v>934</v>
      </c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1.25" customHeight="1">
      <c r="A846" s="13"/>
      <c r="B846" s="21" t="str">
        <f>HYPERLINK("http://china-parts.in.ua/p304822362-podnozhka-levaya-howo.html","WG1642241031")</f>
        <v>WG1642241031</v>
      </c>
      <c r="C846" s="16" t="s">
        <v>935</v>
      </c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1.25" customHeight="1">
      <c r="A847" s="13"/>
      <c r="B847" s="21" t="str">
        <f>HYPERLINK("http://china-parts.in.ua/p304822365-podnozhka-nizhnyaya-levaya.html","WG1642240113")</f>
        <v>WG1642240113</v>
      </c>
      <c r="C847" s="16" t="s">
        <v>936</v>
      </c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1.25" customHeight="1">
      <c r="A848" s="13"/>
      <c r="B848" s="21" t="str">
        <f>HYPERLINK("http://china-parts.in.ua/p304822364-podnozhka-nizhnyaya-levaya.html","WG1642240032")</f>
        <v>WG1642240032</v>
      </c>
      <c r="C848" s="16" t="s">
        <v>937</v>
      </c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1.25" customHeight="1">
      <c r="A849" s="13"/>
      <c r="B849" s="21" t="str">
        <f>HYPERLINK("http://china-parts.in.ua/p304822366-podnozhka-nizhnyaya-pravaya.html","WG1642240033")</f>
        <v>WG1642240033</v>
      </c>
      <c r="C849" s="16" t="s">
        <v>938</v>
      </c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1.25" customHeight="1">
      <c r="A850" s="13"/>
      <c r="B850" s="21" t="str">
        <f>HYPERLINK("http://china-parts.in.ua/p304822373-podnozhka-pravaya-howo.html","WG16422400114")</f>
        <v>WG16422400114</v>
      </c>
      <c r="C850" s="16" t="s">
        <v>939</v>
      </c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1.25" customHeight="1">
      <c r="A851" s="13"/>
      <c r="B851" s="21" t="str">
        <f>HYPERLINK("http://china-parts.in.ua/p304822368-podnozhka-pravaya-samosval.html","WG1641240011")</f>
        <v>WG1641240011</v>
      </c>
      <c r="C851" s="16" t="s">
        <v>940</v>
      </c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1.25" customHeight="1">
      <c r="A852" s="13"/>
      <c r="B852" s="21" t="str">
        <f>HYPERLINK("http://china-parts.in.ua/p304822376-podnozhka-pravaya-howo.html","WG164120112")</f>
        <v>WG164120112</v>
      </c>
      <c r="C852" s="16" t="s">
        <v>941</v>
      </c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1.25" customHeight="1">
      <c r="A853" s="13"/>
      <c r="B853" s="21" t="str">
        <f>HYPERLINK("http://china-parts.in.ua/p304822374-podnozhka-pravaya-howo.html","WG16412011413")</f>
        <v>WG16412011413</v>
      </c>
      <c r="C853" s="16" t="s">
        <v>942</v>
      </c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1.25" customHeight="1">
      <c r="A854" s="13"/>
      <c r="B854" s="21" t="str">
        <f>HYPERLINK("http://china-parts.in.ua/p304822371-podnozhka-pravaya-tyagach.html","WG1642240112")</f>
        <v>WG1642240112</v>
      </c>
      <c r="C854" s="16" t="s">
        <v>943</v>
      </c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1.25" customHeight="1">
      <c r="A855" s="13"/>
      <c r="B855" s="21" t="str">
        <f>HYPERLINK("http://china-parts.in.ua/p304822375-podnozhka-pravaya-howo.html","WG1642241032")</f>
        <v>WG1642241032</v>
      </c>
      <c r="C855" s="16" t="s">
        <v>944</v>
      </c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1.25" customHeight="1">
      <c r="A856" s="13"/>
      <c r="B856" s="21" t="str">
        <f>HYPERLINK("http://china-parts.in.ua/p304822351-podnozhka-sbore-howo.html","WG1642160236")</f>
        <v>WG1642160236</v>
      </c>
      <c r="C856" s="16" t="s">
        <v>945</v>
      </c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1.25" customHeight="1">
      <c r="A857" s="13"/>
      <c r="B857" s="16" t="s">
        <v>946</v>
      </c>
      <c r="C857" s="16" t="s">
        <v>947</v>
      </c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1.25" customHeight="1">
      <c r="A858" s="13"/>
      <c r="B858" s="16" t="s">
        <v>948</v>
      </c>
      <c r="C858" s="16" t="s">
        <v>949</v>
      </c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1.25" customHeight="1">
      <c r="A859" s="13"/>
      <c r="B859" s="21" t="str">
        <f>HYPERLINK("http://china-parts.in.ua/p75032865-podushka-pod-kabinu.html","WG1642430081")</f>
        <v>WG1642430081</v>
      </c>
      <c r="C859" s="16" t="s">
        <v>950</v>
      </c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1.25" customHeight="1">
      <c r="A860" s="13"/>
      <c r="B860" s="21" t="str">
        <f>HYPERLINK("http://china-parts.in.ua/p304822498-yaschik-perchatochnyj-sbore.html","WG1644770102")</f>
        <v>WG1644770102</v>
      </c>
      <c r="C860" s="16" t="s">
        <v>951</v>
      </c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1.25" customHeight="1">
      <c r="A861" s="13"/>
      <c r="B861" s="21" t="str">
        <f>HYPERLINK("http://china-parts.in.ua/p304822382-prikurivatel-howo-wg9100582141.html","WG9100582141-1")</f>
        <v>WG9100582141-1</v>
      </c>
      <c r="C861" s="16" t="s">
        <v>952</v>
      </c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1.25" customHeight="1">
      <c r="A862" s="13"/>
      <c r="B862" s="21" t="str">
        <f>HYPERLINK("http://china-parts.in.ua/p304820787-provoda-kabiny-vysokoj.html","AZ9719770001")</f>
        <v>AZ9719770001</v>
      </c>
      <c r="C862" s="16" t="s">
        <v>953</v>
      </c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1.25" customHeight="1">
      <c r="A863" s="13"/>
      <c r="B863" s="21" t="str">
        <f>HYPERLINK("http://china-parts.in.ua/p304822383-prokladka-myagkaya-srednej.html","AZ1642160214")</f>
        <v>AZ1642160214</v>
      </c>
      <c r="C863" s="16" t="s">
        <v>954</v>
      </c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1.25" customHeight="1">
      <c r="A864" s="13"/>
      <c r="B864" s="21" t="str">
        <f>HYPERLINK("http://china-parts.in.ua/p304820403-zaslonka-ruchnaya-wd615.html","AZ9725570070")</f>
        <v>AZ9725570070</v>
      </c>
      <c r="C864" s="16" t="s">
        <v>955</v>
      </c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1.25" customHeight="1">
      <c r="A865" s="13"/>
      <c r="B865" s="21" t="str">
        <f>HYPERLINK("http://china-parts.in.ua/p304822395-remkomplekt-gidravlicheskogo-maslyanogo.html","WG9719820001-XLB")</f>
        <v>WG9719820001-XLB</v>
      </c>
      <c r="C865" s="16" t="s">
        <v>956</v>
      </c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1.25" customHeight="1">
      <c r="A866" s="13"/>
      <c r="B866" s="21" t="str">
        <f>HYPERLINK("http://china-parts.in.ua/p503897641-remkomplekt-torsiona-kabiny.html","81.41715.6010-XLB-CK")</f>
        <v>81.41715.6010-XLB-CK</v>
      </c>
      <c r="C866" s="16" t="s">
        <v>957</v>
      </c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1.25" customHeight="1">
      <c r="A867" s="13"/>
      <c r="B867" s="21" t="str">
        <f>HYPERLINK("http://china-parts.in.ua/p304822398-reshyotka-radiatora-sbore.html","AZ1642240011")</f>
        <v>AZ1642240011</v>
      </c>
      <c r="C867" s="16" t="s">
        <v>958</v>
      </c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1.25" customHeight="1">
      <c r="A868" s="13"/>
      <c r="B868" s="21" t="str">
        <f>HYPERLINK("http://china-parts.in.ua/p304822312-oblitsovka-radiatora-howo.html","WG1642110013/ AZ1642110013")</f>
        <v>WG1642110013/ AZ1642110013</v>
      </c>
      <c r="C868" s="16" t="s">
        <v>959</v>
      </c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1.25" customHeight="1">
      <c r="A869" s="13"/>
      <c r="B869" s="16" t="s">
        <v>960</v>
      </c>
      <c r="C869" s="16" t="s">
        <v>961</v>
      </c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1.25" customHeight="1">
      <c r="A870" s="13"/>
      <c r="B870" s="21" t="str">
        <f>HYPERLINK("http://china-parts.in.ua/p304822399-ruchka-vnutrennyaya-sbore.html","WG1642340032")</f>
        <v>WG1642340032</v>
      </c>
      <c r="C870" s="16" t="s">
        <v>962</v>
      </c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1.25" customHeight="1">
      <c r="A871" s="13"/>
      <c r="B871" s="21" t="str">
        <f>HYPERLINK("http://china-parts.in.ua/p304822400-ruchka-vnutrennyaya-otkrytiya.html","WG1642340033")</f>
        <v>WG1642340033</v>
      </c>
      <c r="C871" s="16" t="s">
        <v>963</v>
      </c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1.25" customHeight="1">
      <c r="A872" s="13"/>
      <c r="B872" s="21" t="str">
        <f>HYPERLINK("http://china-parts.in.ua/p304822403-ruchka-naruzhnaya-sbore.html","WG1642340001")</f>
        <v>WG1642340001</v>
      </c>
      <c r="C872" s="16" t="s">
        <v>964</v>
      </c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1.25" customHeight="1">
      <c r="A873" s="13"/>
      <c r="B873" s="21" t="str">
        <f>HYPERLINK("http://china-parts.in.ua/p304822402-ruchka-kapota-howo.html","WG1642110016")</f>
        <v>WG1642110016</v>
      </c>
      <c r="C873" s="16" t="s">
        <v>965</v>
      </c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1.25" customHeight="1">
      <c r="A874" s="13"/>
      <c r="B874" s="21" t="str">
        <f>HYPERLINK("http://china-parts.in.ua/p304822405-ruchka-steklopodemnika-howo.html","WG1642330001")</f>
        <v>WG1642330001</v>
      </c>
      <c r="C874" s="16" t="s">
        <v>966</v>
      </c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1.25" customHeight="1">
      <c r="A875" s="13"/>
      <c r="B875" s="21" t="str">
        <f>HYPERLINK("http://china-parts.in.ua/p304821745-rychag-sbore-howo.html","WG9731470016")</f>
        <v>WG9731470016</v>
      </c>
      <c r="C875" s="16" t="s">
        <v>967</v>
      </c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1.25" customHeight="1">
      <c r="A876" s="13"/>
      <c r="B876" s="21" t="str">
        <f>HYPERLINK("http://china-parts.in.ua/p304821746-rychag-sbore-howo.html","WG9731470030")</f>
        <v>WG9731470030</v>
      </c>
      <c r="C876" s="16" t="s">
        <v>968</v>
      </c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1.25" customHeight="1">
      <c r="A877" s="13"/>
      <c r="B877" s="21" t="str">
        <f>HYPERLINK("http://china-parts.in.ua/p304822406-rychag-kabiny-mayatnikovyj.html","AZ1642430051")</f>
        <v>AZ1642430051</v>
      </c>
      <c r="C877" s="16" t="s">
        <v>969</v>
      </c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1.25" customHeight="1">
      <c r="A878" s="13"/>
      <c r="B878" s="21" t="str">
        <f>HYPERLINK("http://china-parts.in.ua/p304822407-rychag-kabiny-mayatnikovyj.html","AZ1642430052")</f>
        <v>AZ1642430052</v>
      </c>
      <c r="C878" s="16" t="s">
        <v>970</v>
      </c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1.25" customHeight="1">
      <c r="A879" s="13"/>
      <c r="B879" s="16" t="s">
        <v>971</v>
      </c>
      <c r="C879" s="16" t="s">
        <v>972</v>
      </c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1.25" customHeight="1">
      <c r="A880" s="13"/>
      <c r="B880" s="21" t="str">
        <f>HYPERLINK("http://china-parts.in.ua/p304822408-rychag-stekloochistitelya-sbore.html","WG1642740010")</f>
        <v>WG1642740010</v>
      </c>
      <c r="C880" s="16" t="s">
        <v>973</v>
      </c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1.25" customHeight="1">
      <c r="A881" s="13"/>
      <c r="B881" s="21" t="str">
        <f>HYPERLINK("http://china-parts.in.ua/p503896858-svecha-nakala-foton.html","61200090162-24V")</f>
        <v>61200090162-24V</v>
      </c>
      <c r="C881" s="16" t="s">
        <v>974</v>
      </c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1.25" customHeight="1">
      <c r="A882" s="13"/>
      <c r="B882" s="21" t="str">
        <f>HYPERLINK("http://china-parts.in.ua/p304822409-sedlo-tyagovoe-ustrojstvo.html","WG9112930002")</f>
        <v>WG9112930002</v>
      </c>
      <c r="C882" s="16" t="s">
        <v>975</v>
      </c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1.25" customHeight="1">
      <c r="A883" s="13"/>
      <c r="B883" s="21" t="str">
        <f>HYPERLINK("http://china-parts.in.ua/p304822217-zaschitnaya-setka-vozduhozabornika.html","AZ1642840084")</f>
        <v>AZ1642840084</v>
      </c>
      <c r="C883" s="16" t="s">
        <v>976</v>
      </c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1.25" customHeight="1">
      <c r="A884" s="13"/>
      <c r="B884" s="21" t="str">
        <f>HYPERLINK("http://china-parts.in.ua/p304822427-sidene-kabiny-ballonom.html","WG1642510007")</f>
        <v>WG1642510007</v>
      </c>
      <c r="C884" s="16" t="s">
        <v>977</v>
      </c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1.25" customHeight="1">
      <c r="A885" s="13"/>
      <c r="B885" s="21" t="str">
        <f>HYPERLINK("http://china-parts.in.ua/p304822426-sidene-kabiny-howo.html","WG1642510005")</f>
        <v>WG1642510005</v>
      </c>
      <c r="C885" s="16" t="s">
        <v>978</v>
      </c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1.25" customHeight="1">
      <c r="A886" s="13"/>
      <c r="B886" s="21" t="str">
        <f>HYPERLINK("http://china-parts.in.ua/p304822425-sidene-kabiny-howo.html","WG1642510006")</f>
        <v>WG1642510006</v>
      </c>
      <c r="C886" s="16" t="s">
        <v>979</v>
      </c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1.25" customHeight="1">
      <c r="A887" s="13"/>
      <c r="B887" s="21" t="str">
        <f>HYPERLINK("http://china-parts.in.ua/p304822380-polka-spalnaya-verhnyaya.html","AZ1644570001")</f>
        <v>AZ1644570001</v>
      </c>
      <c r="C887" s="16" t="s">
        <v>980</v>
      </c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1.25" customHeight="1">
      <c r="A888" s="13"/>
      <c r="B888" s="21" t="str">
        <f>HYPERLINK("http://china-parts.in.ua/p304822381-polka-spalnaya-nizhnyaya.html","AZ163570001")</f>
        <v>AZ163570001</v>
      </c>
      <c r="C888" s="16" t="s">
        <v>981</v>
      </c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1.25" customHeight="1">
      <c r="A889" s="13"/>
      <c r="B889" s="16" t="s">
        <v>982</v>
      </c>
      <c r="C889" s="16" t="s">
        <v>983</v>
      </c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1.25" customHeight="1">
      <c r="A890" s="13"/>
      <c r="B890" s="16" t="s">
        <v>984</v>
      </c>
      <c r="C890" s="16" t="s">
        <v>985</v>
      </c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1.25" customHeight="1">
      <c r="A891" s="13"/>
      <c r="B891" s="21" t="str">
        <f>HYPERLINK("http://china-parts.in.ua/p304822418-steklopodemnik-levyj-sbore.html","WG1642330003")</f>
        <v>WG1642330003</v>
      </c>
      <c r="C891" s="16" t="s">
        <v>986</v>
      </c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1.25" customHeight="1">
      <c r="A892" s="13"/>
      <c r="B892" s="21" t="str">
        <f>HYPERLINK("http://china-parts.in.ua/p304822420-stojka-levaya-howo.html","WC1412000010")</f>
        <v>WC1412000010</v>
      </c>
      <c r="C892" s="16" t="s">
        <v>987</v>
      </c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1.25" customHeight="1">
      <c r="A893" s="13"/>
      <c r="B893" s="21" t="str">
        <f>HYPERLINK("http://china-parts.in.ua/p304822421-stojka-pravaya-howo.html","WC1412000011")</f>
        <v>WC1412000011</v>
      </c>
      <c r="C893" s="16" t="s">
        <v>988</v>
      </c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1.25" customHeight="1">
      <c r="A894" s="13"/>
      <c r="B894" s="21" t="str">
        <f>HYPERLINK("http://china-parts.in.ua/p304822173-val-torsionnyj-kabiny.html","AZ1642430219")</f>
        <v>AZ1642430219</v>
      </c>
      <c r="C894" s="16" t="s">
        <v>989</v>
      </c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1.25" customHeight="1">
      <c r="A895" s="13"/>
      <c r="B895" s="21" t="str">
        <f>HYPERLINK("http://china-parts.in.ua/p503897654-torsion-kabiny-shaanxi.html","81.41715.6010-CK")</f>
        <v>81.41715.6010-CK</v>
      </c>
      <c r="C895" s="16" t="s">
        <v>990</v>
      </c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1.25" customHeight="1">
      <c r="A896" s="13"/>
      <c r="B896" s="21" t="str">
        <f>HYPERLINK("http://china-parts.in.ua/p503896039-trapetsiya-stekloochistitelya-howo.html","WG1642740009")</f>
        <v>WG1642740009</v>
      </c>
      <c r="C896" s="16" t="s">
        <v>991</v>
      </c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1.25" customHeight="1">
      <c r="A897" s="13"/>
      <c r="B897" s="21" t="str">
        <f>HYPERLINK("http://china-parts.in.ua/p304820472-trosik-akseleratora-pedali.html","WG9725570001")</f>
        <v>WG9725570001</v>
      </c>
      <c r="C897" s="16" t="s">
        <v>992</v>
      </c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1.25" customHeight="1">
      <c r="A898" s="13"/>
      <c r="B898" s="21" t="str">
        <f>HYPERLINK("http://china-parts.in.ua/p304820805-fara-levaya-sbore.html","WG9925720001")</f>
        <v>WG9925720001</v>
      </c>
      <c r="C898" s="16" t="s">
        <v>993</v>
      </c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1.25" customHeight="1">
      <c r="A899" s="13"/>
      <c r="B899" s="21" t="str">
        <f>HYPERLINK("http://china-parts.in.ua/p304820811-fara-pravaya-sbore.html","WG9925720002")</f>
        <v>WG9925720002</v>
      </c>
      <c r="C899" s="16" t="s">
        <v>994</v>
      </c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1.25" customHeight="1">
      <c r="A900" s="13"/>
      <c r="B900" s="21" t="str">
        <f>HYPERLINK("http://china-parts.in.ua/p304820806-fara-perednyaya-levaya.html","WG9719720001")</f>
        <v>WG9719720001</v>
      </c>
      <c r="C900" s="16" t="s">
        <v>995</v>
      </c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1.25" customHeight="1">
      <c r="A901" s="13"/>
      <c r="B901" s="21" t="str">
        <f>HYPERLINK("http://china-parts.in.ua/p304820804-fara-levaya-sbore.html","WG9100720111")</f>
        <v>WG9100720111</v>
      </c>
      <c r="C901" s="16" t="s">
        <v>996</v>
      </c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1.25" customHeight="1">
      <c r="A902" s="13"/>
      <c r="B902" s="21" t="str">
        <f>HYPERLINK("http://china-parts.in.ua/p304820810-fara-pravaya-sbore.html","WG9100720112")</f>
        <v>WG9100720112</v>
      </c>
      <c r="C902" s="16" t="s">
        <v>997</v>
      </c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1.25" customHeight="1">
      <c r="A903" s="13"/>
      <c r="B903" s="21" t="str">
        <f>HYPERLINK("http://china-parts.in.ua/p304820808-fara-perednyaya-pravaya.html","WG9719720002")</f>
        <v>WG9719720002</v>
      </c>
      <c r="C903" s="16" t="s">
        <v>998</v>
      </c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1.25" customHeight="1">
      <c r="A904" s="13"/>
      <c r="B904" s="21" t="str">
        <f>HYPERLINK("http://china-parts.in.ua/p75032930-fara-protivotumannaya-levaya.html","WG9719720005")</f>
        <v>WG9719720005</v>
      </c>
      <c r="C904" s="16" t="s">
        <v>999</v>
      </c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1.25" customHeight="1">
      <c r="A905" s="13"/>
      <c r="B905" s="21" t="str">
        <f>HYPERLINK("http://china-parts.in.ua/p304820813-fara-protivotumannaya-perednyaya.html","WG9719720015")</f>
        <v>WG9719720015</v>
      </c>
      <c r="C905" s="16" t="s">
        <v>1000</v>
      </c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1.25" customHeight="1">
      <c r="A906" s="13"/>
      <c r="B906" s="21" t="str">
        <f>HYPERLINK("http://china-parts.in.ua/p20156810-fonar-perednij-prav.html","WG9719720006")</f>
        <v>WG9719720006</v>
      </c>
      <c r="C906" s="16" t="s">
        <v>1001</v>
      </c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1.25" customHeight="1">
      <c r="A907" s="13"/>
      <c r="B907" s="21" t="str">
        <f>HYPERLINK("http://china-parts.in.ua/p304820815-fara-protivotumannaya-perednyaya.html","WG9719720016")</f>
        <v>WG9719720016</v>
      </c>
      <c r="C907" s="16" t="s">
        <v>1002</v>
      </c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1.25" customHeight="1">
      <c r="A908" s="13"/>
      <c r="B908" s="21" t="str">
        <f>HYPERLINK("http://china-parts.in.ua/p304820816-fonar-bokovoj-howo.html","WG9100720012")</f>
        <v>WG9100720012</v>
      </c>
      <c r="C908" s="16" t="s">
        <v>1003</v>
      </c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1.25" customHeight="1">
      <c r="A909" s="13"/>
      <c r="B909" s="21" t="str">
        <f>HYPERLINK("http://china-parts.in.ua/p75032944-fonar-zadnij-sbore.html","WG9719810001")</f>
        <v>WG9719810001</v>
      </c>
      <c r="C909" s="16" t="s">
        <v>1004</v>
      </c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1.25" customHeight="1">
      <c r="A910" s="13"/>
      <c r="B910" s="21" t="str">
        <f>HYPERLINK("http://china-parts.in.ua/p75032945-fonar-zadnij-sbore.html","WG9719810002")</f>
        <v>WG9719810002</v>
      </c>
      <c r="C910" s="16" t="s">
        <v>1005</v>
      </c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1.25" customHeight="1">
      <c r="A911" s="13"/>
      <c r="B911" s="21" t="str">
        <f>HYPERLINK("http://china-parts.in.ua/p304820823-fonar-zadnij-levyj.html","WG9925810001")</f>
        <v>WG9925810001</v>
      </c>
      <c r="C911" s="16" t="s">
        <v>1006</v>
      </c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1.25" customHeight="1">
      <c r="A912" s="13"/>
      <c r="B912" s="21" t="str">
        <f>HYPERLINK("http://china-parts.in.ua/p75032944-fonar-zadnij-sbore.html","WG9719810001-LED")</f>
        <v>WG9719810001-LED</v>
      </c>
      <c r="C912" s="16" t="s">
        <v>1007</v>
      </c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1.25" customHeight="1">
      <c r="A913" s="13"/>
      <c r="B913" s="21" t="str">
        <f>HYPERLINK("http://china-parts.in.ua/p304820835-fonar-zadnij-pravyj.html","WG9925810002")</f>
        <v>WG9925810002</v>
      </c>
      <c r="C913" s="16" t="s">
        <v>1008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1.25" customHeight="1">
      <c r="A914" s="13"/>
      <c r="B914" s="21" t="str">
        <f>HYPERLINK("http://china-parts.in.ua/p75032945-fonar-zadnij-sbore.html","WG9719810002-LED")</f>
        <v>WG9719810002-LED</v>
      </c>
      <c r="C914" s="16" t="s">
        <v>1009</v>
      </c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1.25" customHeight="1">
      <c r="A915" s="13"/>
      <c r="B915" s="21" t="str">
        <f>HYPERLINK("http://china-parts.in.ua/p304820786-povorotnik-howo-wg97197200170018.html","WG9719720017/0018")</f>
        <v>WG9719720017/0018</v>
      </c>
      <c r="C915" s="16" t="s">
        <v>1010</v>
      </c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1.25" customHeight="1">
      <c r="A916" s="13"/>
      <c r="B916" s="21" t="str">
        <f>HYPERLINK("http://china-parts.in.ua/p304820840-fonar-solntsezaschitnogo-kozyrka.html","WG9719790006")</f>
        <v>WG9719790006</v>
      </c>
      <c r="C916" s="16" t="s">
        <v>1011</v>
      </c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1.25" customHeight="1">
      <c r="A917" s="13"/>
      <c r="B917" s="21" t="str">
        <f>HYPERLINK("http://china-parts.in.ua/p304820838-fonar-solntsezaschitnogo-kozyrka.html","WG9719790007")</f>
        <v>WG9719790007</v>
      </c>
      <c r="C917" s="16" t="s">
        <v>1012</v>
      </c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1.25" customHeight="1">
      <c r="A918" s="13"/>
      <c r="B918" s="21" t="str">
        <f>HYPERLINK("http://china-parts.in.ua/p304820836-fonar-perednij-levyj.html","WG9925720003")</f>
        <v>WG9925720003</v>
      </c>
      <c r="C918" s="16" t="s">
        <v>1013</v>
      </c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1.25" customHeight="1">
      <c r="A919" s="13"/>
      <c r="B919" s="21" t="str">
        <f>HYPERLINK("http://china-parts.in.ua/p304820837-fonar-perednij-pravyj.html","WG9925720004")</f>
        <v>WG9925720004</v>
      </c>
      <c r="C919" s="16" t="s">
        <v>1014</v>
      </c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1.25" customHeight="1">
      <c r="A920" s="13"/>
      <c r="B920" s="21" t="str">
        <f>HYPERLINK("http://china-parts.in.ua/p304820612-oborudovanie-dlya-smazki.html","VG2600060456")</f>
        <v>VG2600060456</v>
      </c>
      <c r="C920" s="16" t="s">
        <v>1015</v>
      </c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1.25" customHeight="1">
      <c r="A921" s="13"/>
      <c r="B921" s="21" t="str">
        <f>HYPERLINK("http://china-parts.in.ua/p304822202-gidrotsilindr-podyoma-kabiny.html","WG971982002")</f>
        <v>WG971982002</v>
      </c>
      <c r="C921" s="16" t="s">
        <v>1016</v>
      </c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1.25" customHeight="1">
      <c r="A922" s="13"/>
      <c r="B922" s="16" t="s">
        <v>1017</v>
      </c>
      <c r="C922" s="16" t="s">
        <v>1018</v>
      </c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1.25" customHeight="1">
      <c r="A923" s="13"/>
      <c r="B923" s="21" t="str">
        <f>HYPERLINK("http://china-parts.in.ua/p304822471-shlang-otopitelya-howo.html","WG1642840091")</f>
        <v>WG1642840091</v>
      </c>
      <c r="C923" s="16" t="s">
        <v>1019</v>
      </c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1.25" customHeight="1">
      <c r="A924" s="13"/>
      <c r="B924" s="21" t="str">
        <f>HYPERLINK("http://china-parts.in.ua/p304822474-shlang-vysokogo-davleniya.html","WG9719821006")</f>
        <v>WG9719821006</v>
      </c>
      <c r="C924" s="16" t="s">
        <v>1020</v>
      </c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1.25" customHeight="1">
      <c r="A925" s="13"/>
      <c r="B925" s="21" t="str">
        <f>HYPERLINK("http://china-parts.in.ua/p75032952-shlangi-dlya-podema.html","WG911282005")</f>
        <v>WG911282005</v>
      </c>
      <c r="C925" s="16" t="s">
        <v>1021</v>
      </c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1.25" customHeight="1">
      <c r="A926" s="13"/>
      <c r="B926" s="21" t="str">
        <f>HYPERLINK("http://china-parts.in.ua/p304822475-shlang-vysokogo-davleniya.html","WG9719821005")</f>
        <v>WG9719821005</v>
      </c>
      <c r="C926" s="16" t="s">
        <v>1022</v>
      </c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1.25" customHeight="1">
      <c r="A927" s="13"/>
      <c r="B927" s="21" t="str">
        <f>HYPERLINK("http://china-parts.in.ua/p304822476-shlang-vysokogo-davleniya.html","WG9719820007")</f>
        <v>WG9719820007</v>
      </c>
      <c r="C927" s="16" t="s">
        <v>1023</v>
      </c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1.25" customHeight="1">
      <c r="A928" s="13"/>
      <c r="B928" s="21" t="str">
        <f>HYPERLINK("http://china-parts.in.ua/p304822477-shlang-vysokogo-davleniya.html","WG1642440072")</f>
        <v>WG1642440072</v>
      </c>
      <c r="C928" s="16" t="s">
        <v>1024</v>
      </c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1.25" customHeight="1">
      <c r="A929" s="13"/>
      <c r="B929" s="21" t="str">
        <f>HYPERLINK("http://china-parts.in.ua/p304822486-schyotka-stekloochistitelya-howo.html","WG1642740011")</f>
        <v>WG1642740011</v>
      </c>
      <c r="C929" s="16" t="s">
        <v>1025</v>
      </c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1.25" customHeight="1">
      <c r="A930" s="13"/>
      <c r="B930" s="21" t="str">
        <f>HYPERLINK("http://china-parts.in.ua/p304822302-naklejka-bukvy-emblema.html","AZ1646950002")</f>
        <v>AZ1646950002</v>
      </c>
      <c r="C930" s="16" t="s">
        <v>1026</v>
      </c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1.25" customHeight="1">
      <c r="A931" s="13"/>
      <c r="B931" s="21" t="str">
        <f>HYPERLINK("http://china-parts.in.ua/p304822496-emblema-znak-sinotrak.html","AZ1646950001")</f>
        <v>AZ1646950001</v>
      </c>
      <c r="C931" s="16" t="s">
        <v>1027</v>
      </c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1.25" customHeight="1">
      <c r="A932" s="13"/>
      <c r="B932" s="21" t="str">
        <f>HYPERLINK("http://china-parts.in.ua/p304822497-yaschik-veschevoj-kozhuhe.html","WG1642160242")</f>
        <v>WG1642160242</v>
      </c>
      <c r="C932" s="16" t="s">
        <v>1028</v>
      </c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1.25" customHeight="1">
      <c r="A933" s="1"/>
      <c r="B933" s="16"/>
      <c r="C933" s="17" t="s">
        <v>1029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3"/>
      <c r="B934" s="21" t="str">
        <f>HYPERLINK("http://china-parts.in.ua/p304822589-bolt-kartera-differentsiala.html","Q15131480TF2")</f>
        <v>Q15131480TF2</v>
      </c>
      <c r="C934" s="16" t="s">
        <v>1030</v>
      </c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1.25" customHeight="1">
      <c r="A935" s="13"/>
      <c r="B935" s="21" t="str">
        <f>HYPERLINK("http://china-parts.in.ua/p304822714-bolt-bortovogo-reduktora.html","Q151C1295TF2")</f>
        <v>Q151C1295TF2</v>
      </c>
      <c r="C935" s="16" t="s">
        <v>1031</v>
      </c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1.25" customHeight="1">
      <c r="A936" s="13"/>
      <c r="B936" s="22" t="str">
        <f>HYPERLINK("http://china-parts.in.ua/p304822733-valik-satellita-bortovogo.html","199012340004")</f>
        <v>199012340004</v>
      </c>
      <c r="C936" s="16" t="s">
        <v>1032</v>
      </c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1.25" customHeight="1">
      <c r="A937" s="13"/>
      <c r="B937" s="21" t="str">
        <f>HYPERLINK("http://china-parts.in.ua/p304843045-val-pustotelyj-kom.html","QH50-4211105")</f>
        <v>QH50-4211105</v>
      </c>
      <c r="C937" s="16" t="s">
        <v>1033</v>
      </c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1.25" customHeight="1">
      <c r="A938" s="13"/>
      <c r="B938" s="22" t="str">
        <f>HYPERLINK("http://china-parts.in.ua/p75032738-val-polyj-199014320135.html","199014320135")</f>
        <v>199014320135</v>
      </c>
      <c r="C938" s="16" t="s">
        <v>1034</v>
      </c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1.25" customHeight="1">
      <c r="A939" s="13"/>
      <c r="B939" s="22" t="str">
        <f>HYPERLINK("http://china-parts.in.ua/p75032879-prohodnoj-val-199114320031.html","199114320031")</f>
        <v>199114320031</v>
      </c>
      <c r="C939" s="16" t="s">
        <v>1035</v>
      </c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1.25" customHeight="1">
      <c r="A940" s="13"/>
      <c r="B940" s="21" t="str">
        <f>HYPERLINK("http://china-parts.in.ua/p75032879-prohodnoj-val-199114320031.html","199114320031-CK")</f>
        <v>199114320031-CK</v>
      </c>
      <c r="C940" s="16" t="s">
        <v>1036</v>
      </c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1.25" customHeight="1">
      <c r="A941" s="13"/>
      <c r="B941" s="21" t="str">
        <f>HYPERLINK("http://china-parts.in.ua/p503895390-val-prohodnoj-howo.html","AZ9761321010")</f>
        <v>AZ9761321010</v>
      </c>
      <c r="C941" s="16" t="s">
        <v>1037</v>
      </c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1.25" customHeight="1">
      <c r="A942" s="13"/>
      <c r="B942" s="22" t="str">
        <f>HYPERLINK("http://china-parts.in.ua/p304822596-vilka-blokirovki-zadnego.html","199012320014")</f>
        <v>199012320014</v>
      </c>
      <c r="C942" s="16" t="s">
        <v>1038</v>
      </c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1.25" customHeight="1">
      <c r="A943" s="13"/>
      <c r="B943" s="26">
        <v>1.99112E11</v>
      </c>
      <c r="C943" s="16" t="s">
        <v>1039</v>
      </c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1.25" customHeight="1">
      <c r="A944" s="13"/>
      <c r="B944" s="22" t="str">
        <f>HYPERLINK("http://china-parts.in.ua/p304822597-vilka-blokirovki-mezhosevogo.html","199014320053")</f>
        <v>199014320053</v>
      </c>
      <c r="C944" s="16" t="s">
        <v>1040</v>
      </c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1.25" customHeight="1">
      <c r="A945" s="13"/>
      <c r="B945" s="23">
        <v>8.80320012E8</v>
      </c>
      <c r="C945" s="16" t="s">
        <v>1041</v>
      </c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1.25" customHeight="1">
      <c r="A946" s="13"/>
      <c r="B946" s="22" t="str">
        <f>HYPERLINK("http://china-parts.in.ua/p304842348-prokladka-stakana-podshipnika.html","99014320132")</f>
        <v>99014320132</v>
      </c>
      <c r="C946" s="16" t="s">
        <v>1042</v>
      </c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1.25" customHeight="1">
      <c r="A947" s="13"/>
      <c r="B947" s="22" t="str">
        <f>HYPERLINK("http://china-parts.in.ua/p304822599-gajka-podshipnika-reduktora.html","13809320159")</f>
        <v>13809320159</v>
      </c>
      <c r="C947" s="16" t="s">
        <v>1043</v>
      </c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1.25" customHeight="1">
      <c r="A948" s="13"/>
      <c r="B948" s="22" t="str">
        <f>HYPERLINK("http://china-parts.in.ua/p304822601-gajka-prohodnogo-vala.html","179000320013")</f>
        <v>179000320013</v>
      </c>
      <c r="C948" s="16" t="s">
        <v>1044</v>
      </c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1.25" customHeight="1">
      <c r="A949" s="13"/>
      <c r="B949" s="22" t="str">
        <f>HYPERLINK("http://china-parts.in.ua/p304822600-gajka-pologo-vala.html","199012250031")</f>
        <v>199012250031</v>
      </c>
      <c r="C949" s="16" t="s">
        <v>1045</v>
      </c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1.25" customHeight="1">
      <c r="A950" s="13"/>
      <c r="B950" s="22" t="str">
        <f>HYPERLINK("http://china-parts.in.ua/p304822598-gajka-mezhkolesnogo-differentsiala.html","13809320157")</f>
        <v>13809320157</v>
      </c>
      <c r="C950" s="16" t="s">
        <v>1046</v>
      </c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1.25" customHeight="1">
      <c r="A951" s="13"/>
      <c r="B951" s="21" t="str">
        <f>HYPERLINK("http://china-parts.in.ua/p304821934-gajka-shkvornya-howo.html","AZ9100411140")</f>
        <v>AZ9100411140</v>
      </c>
      <c r="C951" s="16" t="s">
        <v>1047</v>
      </c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1.25" customHeight="1">
      <c r="A952" s="13"/>
      <c r="B952" s="22" t="str">
        <f>HYPERLINK("http://china-parts.in.ua/p304821867-gajka-stupitsy-zadnego.html","1680340013")</f>
        <v>1680340013</v>
      </c>
      <c r="C952" s="16" t="s">
        <v>1048</v>
      </c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1.25" customHeight="1">
      <c r="A953" s="13"/>
      <c r="B953" s="22" t="str">
        <f>HYPERLINK("http://china-parts.in.ua/p75032743-gajka-stupitsy-zadnej.html","637006022")</f>
        <v>637006022</v>
      </c>
      <c r="C953" s="16" t="s">
        <v>1049</v>
      </c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1.25" customHeight="1">
      <c r="A954" s="13"/>
      <c r="B954" s="16" t="s">
        <v>1050</v>
      </c>
      <c r="C954" s="16" t="s">
        <v>1051</v>
      </c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1.25" customHeight="1">
      <c r="A955" s="13"/>
      <c r="B955" s="16" t="s">
        <v>1052</v>
      </c>
      <c r="C955" s="16" t="s">
        <v>1053</v>
      </c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1.25" customHeight="1">
      <c r="A956" s="13"/>
      <c r="B956" s="23">
        <v>2920774.0</v>
      </c>
      <c r="C956" s="16" t="s">
        <v>1054</v>
      </c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1.25" customHeight="1">
      <c r="A957" s="13"/>
      <c r="B957" s="21" t="str">
        <f>HYPERLINK("http://china-parts.in.ua/p304822244-disk-kolesa-howo.html","WG99100610061")</f>
        <v>WG99100610061</v>
      </c>
      <c r="C957" s="16" t="s">
        <v>1055</v>
      </c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1.25" customHeight="1">
      <c r="A958" s="13"/>
      <c r="B958" s="22" t="str">
        <f>HYPERLINK("http://china-parts.in.ua/p304822675-salnik-srednego-mosta.html","199014320174")</f>
        <v>199014320174</v>
      </c>
      <c r="C958" s="16" t="s">
        <v>1056</v>
      </c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1.25" customHeight="1">
      <c r="A959" s="13"/>
      <c r="B959" s="22" t="str">
        <f>HYPERLINK("http://china-parts.in.ua/p304822604-disk-masloderzhatelnyj-bortovogo.html","199012340018")</f>
        <v>199012340018</v>
      </c>
      <c r="C959" s="16" t="s">
        <v>1057</v>
      </c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1.25" customHeight="1">
      <c r="A960" s="13"/>
      <c r="B960" s="21" t="str">
        <f>HYPERLINK("http://china-parts.in.ua/p304822607-differentsial-sbore-nov.html","19901432017A")</f>
        <v>19901432017A</v>
      </c>
      <c r="C960" s="16" t="s">
        <v>1058</v>
      </c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1.25" customHeight="1">
      <c r="A961" s="13"/>
      <c r="B961" s="22" t="str">
        <f>HYPERLINK("http://china-parts.in.ua/p304822738-korpus-satelitov-bortovogo.html","199112340029")</f>
        <v>199112340029</v>
      </c>
      <c r="C961" s="16" t="s">
        <v>1059</v>
      </c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1.25" customHeight="1">
      <c r="A962" s="13"/>
      <c r="B962" s="22" t="str">
        <f>HYPERLINK("http://china-parts.in.ua/p75032804-differentsial-zadnego-mosta.html","199012320198")</f>
        <v>199012320198</v>
      </c>
      <c r="C962" s="16" t="s">
        <v>1060</v>
      </c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1.25" customHeight="1">
      <c r="A963" s="13"/>
      <c r="B963" s="22" t="str">
        <f>HYPERLINK("http://china-parts.in.ua/p75032806-differentsial-srednego-mosta.html","199014320165")</f>
        <v>199014320165</v>
      </c>
      <c r="C963" s="16" t="s">
        <v>1061</v>
      </c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1.25" customHeight="1">
      <c r="A964" s="13"/>
      <c r="B964" s="21" t="str">
        <f>HYPERLINK("http://china-parts.in.ua/p75032805-differentsial-mezhosevoj-krupnyj.html","199014320166 КР ШЛ")</f>
        <v>199014320166 КР ШЛ</v>
      </c>
      <c r="C964" s="16" t="s">
        <v>1062</v>
      </c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1.25" customHeight="1">
      <c r="A965" s="13"/>
      <c r="B965" s="22" t="str">
        <f>HYPERLINK("http://china-parts.in.ua/p503896034-mezhosevoj-differentsial-howo.html","199014320166")</f>
        <v>199014320166</v>
      </c>
      <c r="C965" s="16" t="s">
        <v>1063</v>
      </c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1.25" customHeight="1">
      <c r="A966" s="13"/>
      <c r="B966" s="21" t="str">
        <f>HYPERLINK("http://china-parts.in.ua/p503896032-mezhosevoj-differentsial-chashka.html","199014320166 М ШЛ")</f>
        <v>199014320166 М ШЛ</v>
      </c>
      <c r="C966" s="16" t="s">
        <v>1064</v>
      </c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1.25" customHeight="1">
      <c r="A967" s="13"/>
      <c r="B967" s="16" t="s">
        <v>1065</v>
      </c>
      <c r="C967" s="16" t="s">
        <v>1066</v>
      </c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1.25" customHeight="1">
      <c r="A968" s="13"/>
      <c r="B968" s="21" t="str">
        <f>HYPERLINK("http://china-parts.in.ua/p304822616-karter-zadnego-mosta.html","AZ9231330265")</f>
        <v>AZ9231330265</v>
      </c>
      <c r="C968" s="16" t="s">
        <v>1067</v>
      </c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1.25" customHeight="1">
      <c r="A969" s="13"/>
      <c r="B969" s="21" t="str">
        <f>HYPERLINK("http://china-parts.in.ua/p304822615-karter-zadnego-mosta.html","AZ9231330918")</f>
        <v>AZ9231330918</v>
      </c>
      <c r="C969" s="16" t="s">
        <v>1068</v>
      </c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1.25" customHeight="1">
      <c r="A970" s="13"/>
      <c r="B970" s="21" t="str">
        <f>HYPERLINK("http://china-parts.in.ua/p304822621-karter-srednego-mosta.html","AZ2931332208")</f>
        <v>AZ2931332208</v>
      </c>
      <c r="C970" s="16" t="s">
        <v>1069</v>
      </c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1.25" customHeight="1">
      <c r="A971" s="13"/>
      <c r="B971" s="21" t="str">
        <f>HYPERLINK("http://china-parts.in.ua/p304822622-karter-srednego-mosta.html","AZ9231330920")</f>
        <v>AZ9231330920</v>
      </c>
      <c r="C971" s="16" t="s">
        <v>1070</v>
      </c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1.25" customHeight="1">
      <c r="A972" s="13"/>
      <c r="B972" s="16" t="s">
        <v>1071</v>
      </c>
      <c r="C972" s="16" t="s">
        <v>1072</v>
      </c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1.25" customHeight="1">
      <c r="A973" s="13"/>
      <c r="B973" s="21" t="str">
        <f>HYPERLINK("http://china-parts.in.ua/p304822612-karter-differentsiala-nov.html","199014320171A")</f>
        <v>199014320171A</v>
      </c>
      <c r="C973" s="16" t="s">
        <v>1073</v>
      </c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1.25" customHeight="1">
      <c r="A974" s="13"/>
      <c r="B974" s="22" t="str">
        <f>HYPERLINK("http://china-parts.in.ua/p304822618-karter-reduktora-zadnego.html","199012320098")</f>
        <v>199012320098</v>
      </c>
      <c r="C974" s="16" t="s">
        <v>1074</v>
      </c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1.25" customHeight="1">
      <c r="A975" s="13"/>
      <c r="B975" s="22" t="str">
        <f>HYPERLINK("http://china-parts.in.ua/p304822611-karter-glavnoj-peredachi.html","199014320120")</f>
        <v>199014320120</v>
      </c>
      <c r="C975" s="16" t="s">
        <v>1075</v>
      </c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1.25" customHeight="1">
      <c r="A976" s="13"/>
      <c r="B976" s="22" t="str">
        <f>HYPERLINK("http://china-parts.in.ua/p304842332-kryshka-zadnyaya-reduktora.html","99014320119")</f>
        <v>99014320119</v>
      </c>
      <c r="C976" s="16" t="s">
        <v>1076</v>
      </c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1.25" customHeight="1">
      <c r="A977" s="13"/>
      <c r="B977" s="16" t="s">
        <v>1077</v>
      </c>
      <c r="C977" s="16" t="s">
        <v>1078</v>
      </c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1.25" customHeight="1">
      <c r="A978" s="13"/>
      <c r="B978" s="16" t="s">
        <v>1079</v>
      </c>
      <c r="C978" s="16" t="s">
        <v>1080</v>
      </c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1.25" customHeight="1">
      <c r="A979" s="13"/>
      <c r="B979" s="22" t="str">
        <f>HYPERLINK("http://china-parts.in.ua/p304822624-koltso-vklyucheniya-mezhosevoj.html","1228320105")</f>
        <v>1228320105</v>
      </c>
      <c r="C979" s="16" t="s">
        <v>1081</v>
      </c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1.25" customHeight="1">
      <c r="A980" s="13"/>
      <c r="B980" s="22" t="str">
        <f>HYPERLINK("http://china-parts.in.ua/p304822625-koltso-masloulovitelnoe-bortovogo.html","1880420027")</f>
        <v>1880420027</v>
      </c>
      <c r="C980" s="16" t="s">
        <v>1082</v>
      </c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1.25" customHeight="1">
      <c r="A981" s="13"/>
      <c r="B981" s="22" t="str">
        <f>HYPERLINK("http://china-parts.in.ua/p304822630-koltso-upornoe-howo.html","199014320140")</f>
        <v>199014320140</v>
      </c>
      <c r="C981" s="16" t="s">
        <v>1083</v>
      </c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1.25" customHeight="1">
      <c r="A982" s="13"/>
      <c r="B982" s="16" t="s">
        <v>1084</v>
      </c>
      <c r="C982" s="16" t="s">
        <v>1085</v>
      </c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1.25" customHeight="1">
      <c r="A983" s="13"/>
      <c r="B983" s="22" t="str">
        <f>HYPERLINK("http://china-parts.in.ua/p304822627-koltso-salnika-zadnego.html","19901230121")</f>
        <v>19901230121</v>
      </c>
      <c r="C983" s="16" t="s">
        <v>1086</v>
      </c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1.25" customHeight="1">
      <c r="A984" s="13"/>
      <c r="B984" s="22" t="str">
        <f>HYPERLINK("http://china-parts.in.ua/p304822700-shajba-zamkovaya-differentsiala.html","13809320158")</f>
        <v>13809320158</v>
      </c>
      <c r="C984" s="16" t="s">
        <v>1087</v>
      </c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1.25" customHeight="1">
      <c r="A985" s="13"/>
      <c r="B985" s="22" t="str">
        <f>HYPERLINK("http://china-parts.in.ua/p304822629-koltso-stopornoe-howo.html","199014320256")</f>
        <v>199014320256</v>
      </c>
      <c r="C985" s="16" t="s">
        <v>1088</v>
      </c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1.25" customHeight="1">
      <c r="A986" s="13"/>
      <c r="B986" s="22" t="str">
        <f>HYPERLINK("http://china-parts.in.ua/p304820900-koltso-stopornoe-kpp.html","1990003933580")</f>
        <v>1990003933580</v>
      </c>
      <c r="C986" s="16" t="s">
        <v>1089</v>
      </c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1.25" customHeight="1">
      <c r="A987" s="13"/>
      <c r="B987" s="22" t="str">
        <f>HYPERLINK("http://china-parts.in.ua/p304822734-koltso-stopornoe-solnechnoj.html","190003933351")</f>
        <v>190003933351</v>
      </c>
      <c r="C987" s="16" t="s">
        <v>1090</v>
      </c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1.25" customHeight="1">
      <c r="A988" s="13"/>
      <c r="B988" s="21" t="str">
        <f>HYPERLINK("http://china-parts.in.ua/p304822735-koltso-stopornoe-shesterni.html","WG1880420014")</f>
        <v>WG1880420014</v>
      </c>
      <c r="C988" s="16" t="s">
        <v>1091</v>
      </c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1.25" customHeight="1">
      <c r="A989" s="13"/>
      <c r="B989" s="16" t="s">
        <v>1092</v>
      </c>
      <c r="C989" s="16" t="s">
        <v>1093</v>
      </c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1.25" customHeight="1">
      <c r="A990" s="13"/>
      <c r="B990" s="23">
        <v>1.9000393358E11</v>
      </c>
      <c r="C990" s="16" t="s">
        <v>1094</v>
      </c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1.25" customHeight="1">
      <c r="A991" s="13"/>
      <c r="B991" s="22" t="str">
        <f>HYPERLINK("http://china-parts.in.ua/p304822626-koltso-promezhutochnoe-stupitsy.html","199012340019")</f>
        <v>199012340019</v>
      </c>
      <c r="C991" s="16" t="s">
        <v>1095</v>
      </c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1.25" customHeight="1">
      <c r="A992" s="13"/>
      <c r="B992" s="22" t="str">
        <f>HYPERLINK("http://china-parts.in.ua/p304822736-koltso-uplotneniya-bortovogo.html","199012340027")</f>
        <v>199012340027</v>
      </c>
      <c r="C992" s="16" t="s">
        <v>1096</v>
      </c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1.25" customHeight="1">
      <c r="A993" s="13"/>
      <c r="B993" s="22" t="str">
        <f>HYPERLINK("http://china-parts.in.ua/p304821936-koltso-shkvornya-howo.html","199000410114")</f>
        <v>199000410114</v>
      </c>
      <c r="C993" s="16" t="s">
        <v>1097</v>
      </c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1.25" customHeight="1">
      <c r="A994" s="13"/>
      <c r="B994" s="22" t="str">
        <f>HYPERLINK("http://china-parts.in.ua/p304822737-koltso-uplotnitelnoe-korpusa.html","199012340029")</f>
        <v>199012340029</v>
      </c>
      <c r="C994" s="16" t="s">
        <v>1098</v>
      </c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1.25" customHeight="1">
      <c r="A995" s="13"/>
      <c r="B995" s="22" t="str">
        <f>HYPERLINK("http://china-parts.in.ua/p304821810-koltso-stopornoe-howo.html","1880420034")</f>
        <v>1880420034</v>
      </c>
      <c r="C995" s="16" t="s">
        <v>1099</v>
      </c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1.25" customHeight="1">
      <c r="A996" s="13"/>
      <c r="B996" s="16" t="s">
        <v>1100</v>
      </c>
      <c r="C996" s="16" t="s">
        <v>1101</v>
      </c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1.25" customHeight="1">
      <c r="A997" s="13"/>
      <c r="B997" s="21" t="str">
        <f>HYPERLINK("http://china-parts.in.ua/p304822602-glavnaya-para-srednego.html","AZ9004320251A")</f>
        <v>AZ9004320251A</v>
      </c>
      <c r="C997" s="16" t="s">
        <v>1102</v>
      </c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1.25" customHeight="1">
      <c r="A998" s="13"/>
      <c r="B998" s="22" t="str">
        <f>HYPERLINK("http://china-parts.in.ua/p75032752-konicheskaya-para-zadnego.html","199012320181")</f>
        <v>199012320181</v>
      </c>
      <c r="C998" s="16" t="s">
        <v>1103</v>
      </c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1.25" customHeight="1">
      <c r="A999" s="13"/>
      <c r="B999" s="22" t="str">
        <f>HYPERLINK("http://china-parts.in.ua/p75032751-konicheskaya-para-zadnego.html","199012320177")</f>
        <v>199012320177</v>
      </c>
      <c r="C999" s="16" t="s">
        <v>1104</v>
      </c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1.25" customHeight="1">
      <c r="A1000" s="13"/>
      <c r="B1000" s="21" t="str">
        <f>HYPERLINK("http://china-parts.in.ua/p75032753-konicheskaya-para-srednego.html","AZ9114320251")</f>
        <v>AZ9114320251</v>
      </c>
      <c r="C1000" s="16" t="s">
        <v>1105</v>
      </c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ht="11.25" customHeight="1">
      <c r="A1001" s="13"/>
      <c r="B1001" s="21" t="str">
        <f>HYPERLINK("http://china-parts.in.ua/p75032754-konicheskaya-para-srednego.html","AZ9981320152")</f>
        <v>AZ9981320152</v>
      </c>
      <c r="C1001" s="16" t="s">
        <v>1106</v>
      </c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ht="11.25" customHeight="1">
      <c r="A1002" s="13"/>
      <c r="B1002" s="21" t="str">
        <f>HYPERLINK("http://china-parts.in.ua/p75032755-korobka-otbora-moschnosti.html","QH50")</f>
        <v>QH50</v>
      </c>
      <c r="C1002" s="16" t="s">
        <v>1107</v>
      </c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ht="11.25" customHeight="1">
      <c r="A1003" s="13"/>
      <c r="B1003" s="21" t="str">
        <f>HYPERLINK("http://china-parts.in.ua/p304820906-korobka-otbora-moschnosti.html","PR70")</f>
        <v>PR70</v>
      </c>
      <c r="C1003" s="16" t="s">
        <v>1108</v>
      </c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ht="11.25" customHeight="1">
      <c r="A1004" s="13"/>
      <c r="B1004" s="21" t="str">
        <f>HYPERLINK("http://china-parts.in.ua/p304820909-korobka-otbora-moschnosti.html","QH60")</f>
        <v>QH60</v>
      </c>
      <c r="C1004" s="16" t="s">
        <v>1109</v>
      </c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ht="11.25" customHeight="1">
      <c r="A1005" s="13"/>
      <c r="B1005" s="21" t="str">
        <f>HYPERLINK("http://china-parts.in.ua/p304820908-korobka-otbora-moschnosti.html","QH70")</f>
        <v>QH70</v>
      </c>
      <c r="C1005" s="16" t="s">
        <v>1110</v>
      </c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 ht="11.25" customHeight="1">
      <c r="A1006" s="13"/>
      <c r="B1006" s="22" t="str">
        <f>HYPERLINK("http://china-parts.in.ua/p304822631-korpus-podshipnika-howo.html","199012320131")</f>
        <v>199012320131</v>
      </c>
      <c r="C1006" s="16" t="s">
        <v>1111</v>
      </c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 ht="11.25" customHeight="1">
      <c r="A1007" s="13"/>
      <c r="B1007" s="22" t="str">
        <f>HYPERLINK("http://china-parts.in.ua/p304822619-karter-reduktora-srednego.html","199014320259")</f>
        <v>199014320259</v>
      </c>
      <c r="C1007" s="16" t="s">
        <v>1112</v>
      </c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 ht="11.25" customHeight="1">
      <c r="A1008" s="13"/>
      <c r="B1008" s="22" t="str">
        <f>HYPERLINK("http://china-parts.in.ua/p304822620-karter-reduktora-srednego.html","199014320119")</f>
        <v>199014320119</v>
      </c>
      <c r="C1008" s="16" t="s">
        <v>1113</v>
      </c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</row>
    <row r="1009" ht="11.25" customHeight="1">
      <c r="A1009" s="13"/>
      <c r="B1009" s="22" t="str">
        <f>HYPERLINK("http://china-parts.in.ua/p304822632-krestovina-differentsiala-d24.html","199014320091")</f>
        <v>199014320091</v>
      </c>
      <c r="C1009" s="16" t="s">
        <v>1114</v>
      </c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 ht="11.25" customHeight="1">
      <c r="A1010" s="13"/>
      <c r="B1010" s="21" t="str">
        <f>HYPERLINK("http://china-parts.in.ua/p304822632-krestovina-differentsiala-d24.html","199014320091 24")</f>
        <v>199014320091 24</v>
      </c>
      <c r="C1010" s="16" t="s">
        <v>1115</v>
      </c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 ht="11.25" customHeight="1">
      <c r="A1011" s="13"/>
      <c r="B1011" s="21" t="str">
        <f>HYPERLINK("http://china-parts.in.ua/p304822632-krestovina-differentsiala-d24.html","199014320091-24")</f>
        <v>199014320091-24</v>
      </c>
      <c r="C1011" s="16" t="s">
        <v>1116</v>
      </c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 ht="11.25" customHeight="1">
      <c r="A1012" s="13"/>
      <c r="B1012" s="21" t="str">
        <f>HYPERLINK("http://china-parts.in.ua/p304822633-krestovina-differentsiala-d27.html","199014320091 27")</f>
        <v>199014320091 27</v>
      </c>
      <c r="C1012" s="16" t="s">
        <v>1117</v>
      </c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 ht="11.25" customHeight="1">
      <c r="A1013" s="13"/>
      <c r="B1013" s="21" t="str">
        <f>HYPERLINK("http://china-parts.in.ua/p503895964-krestovina-differentsiala-howo.html","199014320091-1")</f>
        <v>199014320091-1</v>
      </c>
      <c r="C1013" s="16" t="s">
        <v>1118</v>
      </c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 ht="11.25" customHeight="1">
      <c r="A1014" s="13"/>
      <c r="B1014" s="21" t="str">
        <f>HYPERLINK("http://china-parts.in.ua/p503895964-krestovina-differentsiala-howo.html","199014320091-27")</f>
        <v>199014320091-27</v>
      </c>
      <c r="C1014" s="16" t="s">
        <v>1119</v>
      </c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</row>
    <row r="1015" ht="11.25" customHeight="1">
      <c r="A1015" s="13"/>
      <c r="B1015" s="21" t="str">
        <f>HYPERLINK("http://china-parts.in.ua/p75032830-kryshka-bortovogo-reduktora.html","AZ9112340123")</f>
        <v>AZ9112340123</v>
      </c>
      <c r="C1015" s="16" t="s">
        <v>1120</v>
      </c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</row>
    <row r="1016" ht="11.25" customHeight="1">
      <c r="A1016" s="13"/>
      <c r="B1016" s="22" t="str">
        <f>HYPERLINK("http://china-parts.in.ua/p304822635-kryshka-kartera-reduktora.html","199014320118")</f>
        <v>199014320118</v>
      </c>
      <c r="C1016" s="16" t="s">
        <v>1121</v>
      </c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</row>
    <row r="1017" ht="11.25" customHeight="1">
      <c r="A1017" s="13"/>
      <c r="B1017" s="22" t="str">
        <f>HYPERLINK("http://china-parts.in.ua/p304822636-kryshka-podshipnika-howo.html","199014320141")</f>
        <v>199014320141</v>
      </c>
      <c r="C1017" s="16" t="s">
        <v>1122</v>
      </c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</row>
    <row r="1018" ht="11.25" customHeight="1">
      <c r="A1018" s="13"/>
      <c r="B1018" s="22" t="str">
        <f>HYPERLINK("http://china-parts.in.ua/p304822638-kryshka-reduktora-srednego.html","199014320144")</f>
        <v>199014320144</v>
      </c>
      <c r="C1018" s="16" t="s">
        <v>1123</v>
      </c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</row>
    <row r="1019" ht="11.25" customHeight="1">
      <c r="A1019" s="13"/>
      <c r="B1019" s="22" t="str">
        <f>HYPERLINK("http://china-parts.in.ua/p304822739-kryshka-zadnej-stupitsy.html","199012340021")</f>
        <v>199012340021</v>
      </c>
      <c r="C1019" s="16" t="s">
        <v>1124</v>
      </c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</row>
    <row r="1020" ht="11.25" customHeight="1">
      <c r="A1020" s="13"/>
      <c r="B1020" s="22" t="str">
        <f>HYPERLINK("http://china-parts.in.ua/p304821870-kryshka-salnika-podshipnika.html","1880410043")</f>
        <v>1880410043</v>
      </c>
      <c r="C1020" s="16" t="s">
        <v>1125</v>
      </c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</row>
    <row r="1021" ht="11.25" customHeight="1">
      <c r="A1021" s="13"/>
      <c r="B1021" s="16" t="s">
        <v>1126</v>
      </c>
      <c r="C1021" s="16" t="s">
        <v>1127</v>
      </c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</row>
    <row r="1022" ht="11.25" customHeight="1">
      <c r="A1022" s="13"/>
      <c r="B1022" s="22" t="str">
        <f>HYPERLINK("http://china-parts.in.ua/p75032833-kryshka-tortsevaya-199014320175.html","199014320175")</f>
        <v>199014320175</v>
      </c>
      <c r="C1022" s="16" t="s">
        <v>1128</v>
      </c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</row>
    <row r="1023" ht="11.25" customHeight="1">
      <c r="A1023" s="13"/>
      <c r="B1023" s="22" t="str">
        <f>HYPERLINK("http://china-parts.in.ua/p304822740-kryshka-tortsevaya-bortovogo.html","199112340001")</f>
        <v>199112340001</v>
      </c>
      <c r="C1023" s="16" t="s">
        <v>1129</v>
      </c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</row>
    <row r="1024" ht="11.25" customHeight="1">
      <c r="A1024" s="13"/>
      <c r="B1024" s="21" t="str">
        <f>HYPERLINK("http://china-parts.in.ua/p304822643-most-srednij-sbore.html","AH 71131542961")</f>
        <v>AH 71131542961</v>
      </c>
      <c r="C1024" s="16" t="s">
        <v>1130</v>
      </c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</row>
    <row r="1025" ht="11.25" customHeight="1">
      <c r="A1025" s="13"/>
      <c r="B1025" s="22" t="str">
        <f>HYPERLINK("http://china-parts.in.ua/p304822646-mufta-zubchataya-skolzyaschaya.html","13809320156")</f>
        <v>13809320156</v>
      </c>
      <c r="C1025" s="16" t="s">
        <v>1131</v>
      </c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</row>
    <row r="1026" ht="11.25" customHeight="1">
      <c r="A1026" s="13"/>
      <c r="B1026" s="22" t="str">
        <f>HYPERLINK("http://china-parts.in.ua/p304820939-palets-blokirovki-differentsiala.html","1228320106")</f>
        <v>1228320106</v>
      </c>
      <c r="C1026" s="16" t="s">
        <v>1132</v>
      </c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</row>
    <row r="1027" ht="11.25" customHeight="1">
      <c r="A1027" s="13"/>
      <c r="B1027" s="16" t="s">
        <v>1133</v>
      </c>
      <c r="C1027" s="16" t="s">
        <v>1134</v>
      </c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</row>
    <row r="1028" ht="11.25" customHeight="1">
      <c r="A1028" s="13"/>
      <c r="B1028" s="21" t="str">
        <f>HYPERLINK("http://china-parts.in.ua/p503895187-podshipnik-stupitsy-createk.html","30222 ( 7222A )")</f>
        <v>30222 ( 7222A )</v>
      </c>
      <c r="C1028" s="16" t="s">
        <v>1135</v>
      </c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</row>
    <row r="1029" ht="11.25" customHeight="1">
      <c r="A1029" s="13"/>
      <c r="B1029" s="22" t="str">
        <f>HYPERLINK("http://china-parts.in.ua/p75032763-podshipnik-2159304013-howo.html","2159304013")</f>
        <v>2159304013</v>
      </c>
      <c r="C1029" s="16" t="s">
        <v>1136</v>
      </c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</row>
    <row r="1030" ht="11.25" customHeight="1">
      <c r="A1030" s="13"/>
      <c r="B1030" s="16" t="s">
        <v>1137</v>
      </c>
      <c r="C1030" s="16" t="s">
        <v>1138</v>
      </c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</row>
    <row r="1031" ht="11.25" customHeight="1">
      <c r="A1031" s="13"/>
      <c r="B1031" s="22" t="str">
        <f>HYPERLINK("http://china-parts.in.ua/p304820947-podshipnik-08g-kpp.html","350212")</f>
        <v>350212</v>
      </c>
      <c r="C1031" s="16" t="s">
        <v>1139</v>
      </c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</row>
    <row r="1032" ht="11.25" customHeight="1">
      <c r="A1032" s="13"/>
      <c r="B1032" s="22" t="str">
        <f>HYPERLINK("http://china-parts.in.ua/p304820946-podshipnik-kpp-howo.html","1990003326236")</f>
        <v>1990003326236</v>
      </c>
      <c r="C1032" s="16" t="s">
        <v>1140</v>
      </c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</row>
    <row r="1033" ht="11.25" customHeight="1">
      <c r="A1033" s="13"/>
      <c r="B1033" s="16" t="s">
        <v>1141</v>
      </c>
      <c r="C1033" s="16" t="s">
        <v>1142</v>
      </c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</row>
    <row r="1034" ht="11.25" customHeight="1">
      <c r="A1034" s="13"/>
      <c r="B1034" s="22" t="str">
        <f>HYPERLINK("http://china-parts.in.ua/p304820948-podshipnik-30222-kpp.html","1990003326067")</f>
        <v>1990003326067</v>
      </c>
      <c r="C1034" s="16" t="s">
        <v>1143</v>
      </c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</row>
    <row r="1035" ht="11.25" customHeight="1">
      <c r="A1035" s="13"/>
      <c r="B1035" s="22" t="str">
        <f>HYPERLINK("http://china-parts.in.ua/p304820949-podshipnik-32216-kpp.html","1990003326148")</f>
        <v>1990003326148</v>
      </c>
      <c r="C1035" s="16" t="s">
        <v>1144</v>
      </c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</row>
    <row r="1036" ht="11.25" customHeight="1">
      <c r="A1036" s="13"/>
      <c r="B1036" s="22" t="str">
        <f>HYPERLINK("http://china-parts.in.ua/p304822656-podshipnik-hvtostovika-perednegozadnego.html","1990003326547")</f>
        <v>1990003326547</v>
      </c>
      <c r="C1036" s="16" t="s">
        <v>1145</v>
      </c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</row>
    <row r="1037" ht="11.25" customHeight="1">
      <c r="A1037" s="13"/>
      <c r="B1037" s="22" t="str">
        <f>HYPERLINK("http://china-parts.in.ua/p304820951-podshipnik-32316-kpp.html","1990003326546")</f>
        <v>1990003326546</v>
      </c>
      <c r="C1037" s="16" t="s">
        <v>1146</v>
      </c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</row>
    <row r="1038" ht="11.25" customHeight="1">
      <c r="A1038" s="13"/>
      <c r="B1038" s="21" t="str">
        <f>HYPERLINK("http://china-parts.in.ua/p304815096-podshipnik-samoustonavlivayuschijsya-promezhutochnogo.html","370309Y")</f>
        <v>370309Y</v>
      </c>
      <c r="C1038" s="16" t="s">
        <v>1147</v>
      </c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</row>
    <row r="1039" ht="11.25" customHeight="1">
      <c r="A1039" s="13"/>
      <c r="B1039" s="22" t="str">
        <f>HYPERLINK("http://china-parts.in.ua/p75032764-podshipnik-570304002-howo.html","570304002")</f>
        <v>570304002</v>
      </c>
      <c r="C1039" s="16" t="s">
        <v>1148</v>
      </c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</row>
    <row r="1040" ht="11.25" customHeight="1">
      <c r="A1040" s="13"/>
      <c r="B1040" s="22" t="str">
        <f>HYPERLINK("http://china-parts.in.ua/p304820952-podshipnik-6019-kpp.html","1990003310239")</f>
        <v>1990003310239</v>
      </c>
      <c r="C1040" s="16" t="s">
        <v>1149</v>
      </c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</row>
    <row r="1041" ht="11.25" customHeight="1">
      <c r="A1041" s="13"/>
      <c r="B1041" s="16" t="s">
        <v>1150</v>
      </c>
      <c r="C1041" s="16" t="s">
        <v>1151</v>
      </c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</row>
    <row r="1042" ht="11.25" customHeight="1">
      <c r="A1042" s="13"/>
      <c r="B1042" s="22" t="str">
        <f>HYPERLINK("http://china-parts.in.ua/p304820953-podshipnik-6312n-kpp.html","1990003311543")</f>
        <v>1990003311543</v>
      </c>
      <c r="C1042" s="16" t="s">
        <v>1152</v>
      </c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</row>
    <row r="1043" ht="11.25" customHeight="1">
      <c r="A1043" s="13"/>
      <c r="B1043" s="21" t="str">
        <f>HYPERLINK("http://china-parts.in.ua/p503894275-podshipnik-mahovika-wd615.html","90003311416/6305")</f>
        <v>90003311416/6305</v>
      </c>
      <c r="C1043" s="16" t="s">
        <v>1153</v>
      </c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</row>
    <row r="1044" ht="11.25" customHeight="1">
      <c r="A1044" s="13"/>
      <c r="B1044" s="21" t="str">
        <f>HYPERLINK("http://china-parts.in.ua/p304822074-podshipnik-329910-howo.html","WG880410049A")</f>
        <v>WG880410049A</v>
      </c>
      <c r="C1044" s="16" t="s">
        <v>1154</v>
      </c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</row>
    <row r="1045" ht="11.25" customHeight="1">
      <c r="A1045" s="13"/>
      <c r="B1045" s="27">
        <v>1.99E12</v>
      </c>
      <c r="C1045" s="16" t="s">
        <v>1155</v>
      </c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</row>
    <row r="1046" ht="11.25" customHeight="1">
      <c r="A1046" s="13"/>
      <c r="B1046" s="21" t="str">
        <f>HYPERLINK("http://china-parts.in.ua/p503895183-podshipnik-mod-6019.html","AZ190003310239/6019")</f>
        <v>AZ190003310239/6019</v>
      </c>
      <c r="C1046" s="16" t="s">
        <v>1156</v>
      </c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</row>
    <row r="1047" ht="11.25" customHeight="1">
      <c r="A1047" s="13"/>
      <c r="B1047" s="21" t="str">
        <f>HYPERLINK("http://china-parts.in.ua/p503895182-podshipnik-mod-6019.html","6019Z")</f>
        <v>6019Z</v>
      </c>
      <c r="C1047" s="16" t="s">
        <v>1157</v>
      </c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</row>
    <row r="1048" ht="11.25" customHeight="1">
      <c r="A1048" s="13"/>
      <c r="B1048" s="21" t="str">
        <f>HYPERLINK("http://china-parts.in.ua/p304822653-podshipnik-rolikovyj-howo.html","WG9014320257")</f>
        <v>WG9014320257</v>
      </c>
      <c r="C1048" s="16" t="s">
        <v>1158</v>
      </c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</row>
    <row r="1049" ht="11.25" customHeight="1">
      <c r="A1049" s="13"/>
      <c r="B1049" s="22" t="str">
        <f>HYPERLINK("http://china-parts.in.ua/p304822658-podshipnik-sharikovyj-pylezaschitnoj.html","190003310239")</f>
        <v>190003310239</v>
      </c>
      <c r="C1049" s="16" t="s">
        <v>1159</v>
      </c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</row>
    <row r="1050" ht="11.25" customHeight="1">
      <c r="A1050" s="13"/>
      <c r="B1050" s="16" t="s">
        <v>1160</v>
      </c>
      <c r="C1050" s="16" t="s">
        <v>1161</v>
      </c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</row>
    <row r="1051" ht="11.25" customHeight="1">
      <c r="A1051" s="13"/>
      <c r="B1051" s="21" t="str">
        <f>HYPERLINK("http://china-parts.in.ua/p304822742-podshipnik-igolchatyj-bortovoj.html","WG99-934-013")</f>
        <v>WG99-934-013</v>
      </c>
      <c r="C1051" s="16" t="s">
        <v>1162</v>
      </c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</row>
    <row r="1052" ht="11.25" customHeight="1">
      <c r="A1052" s="13"/>
      <c r="B1052" s="22" t="str">
        <f>HYPERLINK("http://china-parts.in.ua/p304853897-podshipnik-igolchatyj-bortovogo.html","99934013")</f>
        <v>99934013</v>
      </c>
      <c r="C1052" s="16" t="s">
        <v>1163</v>
      </c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</row>
    <row r="1053" ht="11.25" customHeight="1">
      <c r="A1053" s="13"/>
      <c r="B1053" s="22" t="str">
        <f>HYPERLINK("http://china-parts.in.ua/p304822743-podshipnik-rolikovyj-konicheskij.html","190003326067")</f>
        <v>190003326067</v>
      </c>
      <c r="C1053" s="16" t="s">
        <v>1164</v>
      </c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</row>
    <row r="1054" ht="11.25" customHeight="1">
      <c r="A1054" s="13"/>
      <c r="B1054" s="21" t="str">
        <f>HYPERLINK("http://china-parts.in.ua/p304820950-podshipnik-32222-kpp.html","32222 ( 7522 )")</f>
        <v>32222 ( 7522 )</v>
      </c>
      <c r="C1054" s="16" t="s">
        <v>1165</v>
      </c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</row>
    <row r="1055" ht="11.25" customHeight="1">
      <c r="A1055" s="13"/>
      <c r="B1055" s="22" t="str">
        <f>HYPERLINK("http://china-parts.in.ua/p304820950-podshipnik-32222-kpp.html","1990003326167")</f>
        <v>1990003326167</v>
      </c>
      <c r="C1055" s="16" t="s">
        <v>1166</v>
      </c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</row>
    <row r="1056" ht="11.25" customHeight="1">
      <c r="A1056" s="13"/>
      <c r="B1056" s="23">
        <v>1.90003326531E11</v>
      </c>
      <c r="C1056" s="16" t="s">
        <v>1167</v>
      </c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</row>
    <row r="1057" ht="11.25" customHeight="1">
      <c r="A1057" s="13"/>
      <c r="B1057" s="21" t="str">
        <f>HYPERLINK("http://china-parts.in.ua/p304815212-podshipnik-stupichnyj-naruzhnyj.html","7610(32310)")</f>
        <v>7610(32310)</v>
      </c>
      <c r="C1057" s="16" t="s">
        <v>1168</v>
      </c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</row>
    <row r="1058" ht="11.25" customHeight="1">
      <c r="A1058" s="13"/>
      <c r="B1058" s="22" t="str">
        <f>HYPERLINK("http://china-parts.in.ua/p304821873-podshipnik-stupitsy-perednej.html","190003326543")</f>
        <v>190003326543</v>
      </c>
      <c r="C1058" s="16" t="s">
        <v>1169</v>
      </c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</row>
    <row r="1059" ht="11.25" customHeight="1">
      <c r="A1059" s="13"/>
      <c r="B1059" s="21" t="str">
        <f>HYPERLINK("http://china-parts.in.ua/p304854018-podshipnik-vnutrennij-stupitsy.html","7614(32314)")</f>
        <v>7614(32314)</v>
      </c>
      <c r="C1059" s="16" t="s">
        <v>1170</v>
      </c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</row>
    <row r="1060" ht="11.25" customHeight="1">
      <c r="A1060" s="13"/>
      <c r="B1060" s="21" t="str">
        <f>HYPERLINK("http://china-parts.in.ua/p304822651-podshipnik-6212-howo.html","6212 ( зі стопором )")</f>
        <v>6212 ( зі стопором )</v>
      </c>
      <c r="C1060" s="16" t="s">
        <v>1171</v>
      </c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</row>
    <row r="1061" ht="11.25" customHeight="1">
      <c r="A1061" s="13"/>
      <c r="B1061" s="21" t="str">
        <f>HYPERLINK("http://china-parts.in.ua/p304820953-podshipnik-6312n-kpp.html","6312N")</f>
        <v>6312N</v>
      </c>
      <c r="C1061" s="16" t="s">
        <v>1172</v>
      </c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</row>
    <row r="1062" ht="11.25" customHeight="1">
      <c r="A1062" s="13"/>
      <c r="B1062" s="22" t="str">
        <f>HYPERLINK("http://china-parts.in.ua/p304822651-podshipnik-6212-howo.html","190003311036")</f>
        <v>190003311036</v>
      </c>
      <c r="C1062" s="16" t="s">
        <v>1173</v>
      </c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</row>
    <row r="1063" ht="11.25" customHeight="1">
      <c r="A1063" s="13"/>
      <c r="B1063" s="21" t="str">
        <f>HYPERLINK("http://china-parts.in.ua/p304822591-val-veduschij-poluos.html","AZ9231320261")</f>
        <v>AZ9231320261</v>
      </c>
      <c r="C1063" s="16" t="s">
        <v>1174</v>
      </c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</row>
    <row r="1064" ht="11.25" customHeight="1">
      <c r="A1064" s="13"/>
      <c r="B1064" s="21" t="str">
        <f>HYPERLINK("http://china-parts.in.ua/p304822661-poluos-zadnego-mosta.html","AZ9761341020")</f>
        <v>AZ9761341020</v>
      </c>
      <c r="C1064" s="16" t="s">
        <v>1175</v>
      </c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</row>
    <row r="1065" ht="11.25" customHeight="1">
      <c r="A1065" s="13"/>
      <c r="B1065" s="16" t="s">
        <v>1176</v>
      </c>
      <c r="C1065" s="16" t="s">
        <v>1177</v>
      </c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</row>
    <row r="1066" ht="11.25" customHeight="1">
      <c r="A1066" s="13"/>
      <c r="B1066" s="16" t="s">
        <v>1178</v>
      </c>
      <c r="C1066" s="16" t="s">
        <v>1179</v>
      </c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</row>
    <row r="1067" ht="11.25" customHeight="1">
      <c r="A1067" s="13"/>
      <c r="B1067" s="21" t="str">
        <f>HYPERLINK("http://china-parts.in.ua/p304822662-poluos-zadnego-mosta.html","AZ9761341010")</f>
        <v>AZ9761341010</v>
      </c>
      <c r="C1067" s="16" t="s">
        <v>1180</v>
      </c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</row>
    <row r="1068" ht="11.25" customHeight="1">
      <c r="A1068" s="13"/>
      <c r="B1068" s="22" t="str">
        <f>HYPERLINK("http://china-parts.in.ua/p304822077-probka-krana-howo.html","181500010163")</f>
        <v>181500010163</v>
      </c>
      <c r="C1068" s="16" t="s">
        <v>1181</v>
      </c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</row>
    <row r="1069" ht="11.25" customHeight="1">
      <c r="A1069" s="13"/>
      <c r="B1069" s="22" t="str">
        <f>HYPERLINK("http://china-parts.in.ua/p75032877-prokladka-satellita-24mm.html","199012320150")</f>
        <v>199012320150</v>
      </c>
      <c r="C1069" s="16" t="s">
        <v>1182</v>
      </c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</row>
    <row r="1070" ht="11.25" customHeight="1">
      <c r="A1070" s="13"/>
      <c r="B1070" s="21" t="str">
        <f>HYPERLINK("http://china-parts.in.ua/p75032877-prokladka-satellita-24mm.html","199012320150-24")</f>
        <v>199012320150-24</v>
      </c>
      <c r="C1070" s="16" t="s">
        <v>1183</v>
      </c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</row>
    <row r="1071" ht="11.25" customHeight="1">
      <c r="A1071" s="13"/>
      <c r="B1071" s="21" t="str">
        <f>HYPERLINK("http://china-parts.in.ua/p75032878-prokladka-satellita-199012320150.html","199012320150-1")</f>
        <v>199012320150-1</v>
      </c>
      <c r="C1071" s="16" t="s">
        <v>1184</v>
      </c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</row>
    <row r="1072" ht="11.25" customHeight="1">
      <c r="A1072" s="13"/>
      <c r="B1072" s="21" t="str">
        <f>HYPERLINK("http://china-parts.in.ua/p75032878-prokladka-satellita-199012320150.html","199012320150-27")</f>
        <v>199012320150-27</v>
      </c>
      <c r="C1072" s="16" t="s">
        <v>1185</v>
      </c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</row>
    <row r="1073" ht="11.25" customHeight="1">
      <c r="A1073" s="13"/>
      <c r="B1073" s="21" t="str">
        <f>HYPERLINK("http://china-parts.in.ua/p304822640-reduktor-zadnego-mosta.html","AZ9112320025")</f>
        <v>AZ9112320025</v>
      </c>
      <c r="C1073" s="16" t="s">
        <v>1186</v>
      </c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</row>
    <row r="1074" ht="11.25" customHeight="1">
      <c r="A1074" s="13"/>
      <c r="B1074" s="21" t="str">
        <f>HYPERLINK("http://china-parts.in.ua/p503897550-reduktor-srednego-mosta.html","AZ199112340029")</f>
        <v>AZ199112340029</v>
      </c>
      <c r="C1074" s="16" t="s">
        <v>1187</v>
      </c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</row>
    <row r="1075" ht="11.25" customHeight="1">
      <c r="A1075" s="13"/>
      <c r="B1075" s="21" t="str">
        <f>HYPERLINK("http://china-parts.in.ua/p304822668-reduktor-srednego-mosta.html","AZ9114320214")</f>
        <v>AZ9114320214</v>
      </c>
      <c r="C1075" s="16" t="s">
        <v>1188</v>
      </c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</row>
    <row r="1076" ht="11.25" customHeight="1">
      <c r="A1076" s="13"/>
      <c r="B1076" s="21" t="str">
        <f>HYPERLINK("http://china-parts.in.ua/p304822669-reduktor-srednego-mosta.html","AZ9631320211")</f>
        <v>AZ9631320211</v>
      </c>
      <c r="C1076" s="16" t="s">
        <v>1189</v>
      </c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</row>
    <row r="1077" ht="11.25" customHeight="1">
      <c r="A1077" s="13"/>
      <c r="B1077" s="21" t="str">
        <f>HYPERLINK("http://china-parts.in.ua/p503897550-reduktor-srednego-mosta.html","199112340029 ремк")</f>
        <v>199112340029 ремк</v>
      </c>
      <c r="C1077" s="16" t="s">
        <v>1190</v>
      </c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</row>
    <row r="1078" ht="11.25" customHeight="1">
      <c r="A1078" s="13"/>
      <c r="B1078" s="21" t="str">
        <f>HYPERLINK("http://china-parts.in.ua/p503895374-differentsial-mezhosevoj-21005.html","199014320166-XLB-CK")</f>
        <v>199014320166-XLB-CK</v>
      </c>
      <c r="C1078" s="16" t="s">
        <v>1191</v>
      </c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</row>
    <row r="1079" ht="11.25" customHeight="1">
      <c r="A1079" s="13"/>
      <c r="B1079" s="22" t="str">
        <f>HYPERLINK("http://china-parts.in.ua/p304822670-rychag-blokirovki-differentsiala.html","199014330125")</f>
        <v>199014330125</v>
      </c>
      <c r="C1079" s="16" t="s">
        <v>1192</v>
      </c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</row>
    <row r="1080" ht="11.25" customHeight="1">
      <c r="A1080" s="13"/>
      <c r="B1080" s="22" t="str">
        <f>HYPERLINK("http://china-parts.in.ua/p304822671-rychag-blokirovki-mod.html","199014320076")</f>
        <v>199014320076</v>
      </c>
      <c r="C1080" s="16" t="s">
        <v>1193</v>
      </c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</row>
    <row r="1081" ht="11.25" customHeight="1">
      <c r="A1081" s="13"/>
      <c r="B1081" s="22" t="str">
        <f>HYPERLINK("http://china-parts.in.ua/p304822672-rychag-upravlyayuschij-srednego.html","199014330126")</f>
        <v>199014330126</v>
      </c>
      <c r="C1081" s="16" t="s">
        <v>1194</v>
      </c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</row>
    <row r="1082" ht="11.25" customHeight="1">
      <c r="A1082" s="13"/>
      <c r="B1082" s="16" t="s">
        <v>1195</v>
      </c>
      <c r="C1082" s="16" t="s">
        <v>1196</v>
      </c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</row>
    <row r="1083" ht="11.25" customHeight="1">
      <c r="A1083" s="13"/>
      <c r="B1083" s="22" t="str">
        <f>HYPERLINK("http://china-parts.in.ua/p304822673-salnik-poluvala-howo.html","1990003074340")</f>
        <v>1990003074340</v>
      </c>
      <c r="C1083" s="16" t="s">
        <v>1197</v>
      </c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</row>
    <row r="1084" ht="11.25" customHeight="1">
      <c r="A1084" s="13"/>
      <c r="B1084" s="21" t="str">
        <f>HYPERLINK("http://china-parts.in.ua/p75032904-salnik-poluosi-az9112340067.html","AZ9112340067")</f>
        <v>AZ9112340067</v>
      </c>
      <c r="C1084" s="16" t="s">
        <v>1198</v>
      </c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</row>
    <row r="1085" ht="11.25" customHeight="1">
      <c r="A1085" s="13"/>
      <c r="B1085" s="21" t="str">
        <f>HYPERLINK("http://china-parts.in.ua/p503897580-salnik-hvostovika-reduktora.html","AK99012320030")</f>
        <v>AK99012320030</v>
      </c>
      <c r="C1085" s="16" t="s">
        <v>1199</v>
      </c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</row>
    <row r="1086" ht="11.25" customHeight="1">
      <c r="A1086" s="13"/>
      <c r="B1086" s="21" t="str">
        <f>HYPERLINK("http://china-parts.in.ua/p304822679-salnik-hvostovika-reduktora.html","AZ9112320030")</f>
        <v>AZ9112320030</v>
      </c>
      <c r="C1086" s="16" t="s">
        <v>1200</v>
      </c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</row>
    <row r="1087" ht="11.25" customHeight="1">
      <c r="A1087" s="13"/>
      <c r="B1087" s="21" t="str">
        <f>HYPERLINK("http://china-parts.in.ua/p503896357-salnik-zadnej-stupitsy.html","06.56289.0331")</f>
        <v>06.56289.0331</v>
      </c>
      <c r="C1087" s="16" t="s">
        <v>1201</v>
      </c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</row>
    <row r="1088" ht="11.25" customHeight="1">
      <c r="A1088" s="13"/>
      <c r="B1088" s="22" t="str">
        <f>HYPERLINK("http://china-parts.in.ua/p75032900-salnik-zadnej-stupitsy.html","199012340113")</f>
        <v>199012340113</v>
      </c>
      <c r="C1088" s="16" t="s">
        <v>1202</v>
      </c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</row>
    <row r="1089" ht="11.25" customHeight="1">
      <c r="A1089" s="13"/>
      <c r="B1089" s="22" t="str">
        <f>HYPERLINK("http://china-parts.in.ua/p75032901-salnik-zadnej-stupitsy.html","199012340114")</f>
        <v>199012340114</v>
      </c>
      <c r="C1089" s="16" t="s">
        <v>1203</v>
      </c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</row>
    <row r="1090" ht="11.25" customHeight="1">
      <c r="A1090" s="13"/>
      <c r="B1090" s="21" t="str">
        <f>HYPERLINK("http://china-parts.in.ua/p304821875-salnik-stupitsy-zadnej.html","WG9112340114")</f>
        <v>WG9112340114</v>
      </c>
      <c r="C1090" s="16" t="s">
        <v>1204</v>
      </c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</row>
    <row r="1091" ht="11.25" customHeight="1">
      <c r="A1091" s="13"/>
      <c r="B1091" s="21" t="str">
        <f>HYPERLINK("http://china-parts.in.ua/p304821874-salnik-stupitsy-zadnej.html","WG9112340113")</f>
        <v>WG9112340113</v>
      </c>
      <c r="C1091" s="16" t="s">
        <v>1205</v>
      </c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</row>
    <row r="1092" ht="11.25" customHeight="1">
      <c r="A1092" s="13"/>
      <c r="B1092" s="21" t="str">
        <f>HYPERLINK("http://china-parts.in.ua/p304821927-salnik-stupitsy-perednij.html","AZ9100410061")</f>
        <v>AZ9100410061</v>
      </c>
      <c r="C1092" s="16" t="s">
        <v>1206</v>
      </c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</row>
    <row r="1093" ht="11.25" customHeight="1">
      <c r="A1093" s="13"/>
      <c r="B1093" s="22" t="str">
        <f>HYPERLINK("http://china-parts.in.ua/p75032903-salnik-perednstupitsy-190003074387.html","190003074387")</f>
        <v>190003074387</v>
      </c>
      <c r="C1093" s="16" t="s">
        <v>1207</v>
      </c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</row>
    <row r="1094" ht="11.25" customHeight="1">
      <c r="A1094" s="13"/>
      <c r="B1094" s="21" t="str">
        <f>HYPERLINK("http://china-parts.in.ua/p75032903-salnik-perednstupitsy-190003074387.html","190003074387\AZ9100410061")</f>
        <v>190003074387\AZ9100410061</v>
      </c>
      <c r="C1094" s="16" t="s">
        <v>1208</v>
      </c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</row>
    <row r="1095" ht="11.25" customHeight="1">
      <c r="A1095" s="13"/>
      <c r="B1095" s="21" t="str">
        <f>HYPERLINK("http://china-parts.in.ua/p75032905-salnik-hvostovika-190003078772002.html","190003078772/002")</f>
        <v>190003078772/002</v>
      </c>
      <c r="C1095" s="16" t="s">
        <v>1209</v>
      </c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</row>
    <row r="1096" ht="11.25" customHeight="1">
      <c r="A1096" s="13"/>
      <c r="B1096" s="21" t="str">
        <f>HYPERLINK("http://china-parts.in.ua/p503895683-salnik-reduktorahvostovika-mosta.html","85*105*8")</f>
        <v>85*105*8</v>
      </c>
      <c r="C1096" s="16" t="s">
        <v>1210</v>
      </c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</row>
    <row r="1097" ht="11.25" customHeight="1">
      <c r="A1097" s="13"/>
      <c r="B1097" s="21" t="str">
        <f>HYPERLINK("http://china-parts.in.ua/p503895683-salnik-reduktorahvostovika-mosta.html","AZ9112320030/84")</f>
        <v>AZ9112320030/84</v>
      </c>
      <c r="C1097" s="16" t="s">
        <v>1211</v>
      </c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</row>
    <row r="1098" ht="11.25" customHeight="1">
      <c r="A1098" s="13"/>
      <c r="B1098" s="21" t="str">
        <f>HYPERLINK("http://china-parts.in.ua/p304822680-salnik-hvostovika-reduktora.html","AZ9112320184")</f>
        <v>AZ9112320184</v>
      </c>
      <c r="C1098" s="16" t="s">
        <v>1212</v>
      </c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</row>
    <row r="1099" ht="11.25" customHeight="1">
      <c r="A1099" s="13"/>
      <c r="B1099" s="22" t="str">
        <f>HYPERLINK("http://china-parts.in.ua/p75032907-satellit-19912320010-howo.html","19912320010")</f>
        <v>19912320010</v>
      </c>
      <c r="C1099" s="16" t="s">
        <v>1213</v>
      </c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</row>
    <row r="1100" ht="11.25" customHeight="1">
      <c r="A1100" s="13"/>
      <c r="B1100" s="21" t="str">
        <f>HYPERLINK("http://china-parts.in.ua/p75032907-satellit-19912320010-howo.html","19912320010-24")</f>
        <v>19912320010-24</v>
      </c>
      <c r="C1100" s="16" t="s">
        <v>1214</v>
      </c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</row>
    <row r="1101" ht="11.25" customHeight="1">
      <c r="A1101" s="13"/>
      <c r="B1101" s="21" t="str">
        <f>HYPERLINK("http://china-parts.in.ua/p75032908-satellit-27mm-19912320010.html","19912320010-27")</f>
        <v>19912320010-27</v>
      </c>
      <c r="C1101" s="16" t="s">
        <v>1215</v>
      </c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</row>
    <row r="1102" ht="11.25" customHeight="1">
      <c r="A1102" s="13"/>
      <c r="B1102" s="21" t="str">
        <f>HYPERLINK("http://china-parts.in.ua/p75032908-satellit-27mm-19912320010.html","19912320010-H20")</f>
        <v>19912320010-H20</v>
      </c>
      <c r="C1102" s="16" t="s">
        <v>1216</v>
      </c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</row>
    <row r="1103" ht="11.25" customHeight="1">
      <c r="A1103" s="13"/>
      <c r="B1103" s="22" t="str">
        <f>HYPERLINK("http://china-parts.in.ua/p304822683-satellit-krestoviny-d24.html","199012320010")</f>
        <v>199012320010</v>
      </c>
      <c r="C1103" s="16" t="s">
        <v>1217</v>
      </c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</row>
    <row r="1104" ht="11.25" customHeight="1">
      <c r="A1104" s="13"/>
      <c r="B1104" s="21" t="str">
        <f>HYPERLINK("http://china-parts.in.ua/p304822683-satellit-krestoviny-d24.html","199012320010-24")</f>
        <v>199012320010-24</v>
      </c>
      <c r="C1104" s="16" t="s">
        <v>1218</v>
      </c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</row>
    <row r="1105" ht="11.25" customHeight="1">
      <c r="A1105" s="13"/>
      <c r="B1105" s="22" t="str">
        <f>HYPERLINK("http://china-parts.in.ua/p304820987-satellity-kpp-howo.html","1286298902")</f>
        <v>1286298902</v>
      </c>
      <c r="C1105" s="16" t="s">
        <v>1219</v>
      </c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</row>
    <row r="1106" ht="11.25" customHeight="1">
      <c r="A1106" s="13"/>
      <c r="B1106" s="22" t="str">
        <f>HYPERLINK("http://china-parts.in.ua/p304821929-stupitsa-kolesa-zadnyaya.html","199112340009")</f>
        <v>199112340009</v>
      </c>
      <c r="C1106" s="16" t="s">
        <v>1220</v>
      </c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</row>
    <row r="1107" ht="11.25" customHeight="1">
      <c r="A1107" s="13"/>
      <c r="B1107" s="16" t="s">
        <v>1221</v>
      </c>
      <c r="C1107" s="16" t="s">
        <v>1222</v>
      </c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</row>
    <row r="1108" ht="11.25" customHeight="1">
      <c r="A1108" s="13"/>
      <c r="B1108" s="22" t="str">
        <f>HYPERLINK("http://china-parts.in.ua/p75032919-stupitsa-perednyaya-az199112410009.html","199112410009")</f>
        <v>199112410009</v>
      </c>
      <c r="C1108" s="16" t="s">
        <v>1223</v>
      </c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</row>
    <row r="1109" ht="11.25" customHeight="1">
      <c r="A1109" s="13"/>
      <c r="B1109" s="21" t="str">
        <f>HYPERLINK("http://china-parts.in.ua/p75032919-stupitsa-perednyaya-az199112410009.html","AZ199112410009")</f>
        <v>AZ199112410009</v>
      </c>
      <c r="C1109" s="16" t="s">
        <v>1224</v>
      </c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</row>
    <row r="1110" ht="11.25" customHeight="1">
      <c r="A1110" s="13"/>
      <c r="B1110" s="28" t="str">
        <f>HYPERLINK("http://china-parts.in.ua/p304822695-flanets-srednego-mosta.html","199014320205")</f>
        <v>199014320205</v>
      </c>
      <c r="C1110" s="16" t="s">
        <v>1225</v>
      </c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</row>
    <row r="1111" ht="11.25" customHeight="1">
      <c r="A1111" s="13"/>
      <c r="B1111" s="21" t="str">
        <f>HYPERLINK("http://china-parts.in.ua/p75032941-flyanets-most-f165.html","AZ9114320205")</f>
        <v>AZ9114320205</v>
      </c>
      <c r="C1111" s="16" t="s">
        <v>1226</v>
      </c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</row>
    <row r="1112" ht="11.25" customHeight="1">
      <c r="A1112" s="13"/>
      <c r="B1112" s="21" t="str">
        <f>HYPERLINK("http://china-parts.in.ua/p75032943-flyanets-most-f180.html","AZ9128320014")</f>
        <v>AZ9128320014</v>
      </c>
      <c r="C1112" s="16" t="s">
        <v>1227</v>
      </c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</row>
    <row r="1113" ht="11.25" customHeight="1">
      <c r="A1113" s="13"/>
      <c r="B1113" s="16" t="s">
        <v>1228</v>
      </c>
      <c r="C1113" s="16" t="s">
        <v>1229</v>
      </c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</row>
    <row r="1114" ht="11.25" customHeight="1">
      <c r="A1114" s="13"/>
      <c r="B1114" s="21" t="str">
        <f>HYPERLINK("http://china-parts.in.ua/p304822693-flanets-srednego-mosta.html","AZ9014320205")</f>
        <v>AZ9014320205</v>
      </c>
      <c r="C1114" s="16" t="s">
        <v>1230</v>
      </c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</row>
    <row r="1115" ht="11.25" customHeight="1">
      <c r="A1115" s="13"/>
      <c r="B1115" s="22" t="str">
        <f>HYPERLINK("http://china-parts.in.ua/p75032882-rabochij-tsilindr-differentsiala.html","179100360018")</f>
        <v>179100360018</v>
      </c>
      <c r="C1115" s="16" t="s">
        <v>1231</v>
      </c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</row>
    <row r="1116" ht="11.25" customHeight="1">
      <c r="A1116" s="13"/>
      <c r="B1116" s="22" t="str">
        <f>HYPERLINK("http://china-parts.in.ua/p304822699-shajba-differentsiala-perednyaya.html","11800320012")</f>
        <v>11800320012</v>
      </c>
      <c r="C1116" s="16" t="s">
        <v>1232</v>
      </c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</row>
    <row r="1117" ht="11.25" customHeight="1">
      <c r="A1117" s="13"/>
      <c r="B1117" s="22" t="str">
        <f>HYPERLINK("http://china-parts.in.ua/p304822663-prokladka-kartera-mezhosevogo.html","199014320061")</f>
        <v>199014320061</v>
      </c>
      <c r="C1117" s="16" t="s">
        <v>1233</v>
      </c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</row>
    <row r="1118" ht="11.25" customHeight="1">
      <c r="A1118" s="13"/>
      <c r="B1118" s="22" t="str">
        <f>HYPERLINK("http://china-parts.in.ua/p304822748-shajba-podshipnika-bortovogo.html","199012340077")</f>
        <v>199012340077</v>
      </c>
      <c r="C1118" s="16" t="s">
        <v>1234</v>
      </c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</row>
    <row r="1119" ht="11.25" customHeight="1">
      <c r="A1119" s="13"/>
      <c r="B1119" s="22" t="str">
        <f>HYPERLINK("http://china-parts.in.ua/p304822749-shajba-satellita-bortovogo.html","199012340075")</f>
        <v>199012340075</v>
      </c>
      <c r="C1119" s="16" t="s">
        <v>1235</v>
      </c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</row>
    <row r="1120" ht="11.25" customHeight="1">
      <c r="A1120" s="13"/>
      <c r="B1120" s="21" t="str">
        <f>HYPERLINK("http://china-parts.in.ua/p75032877-prokladka-satellita-24mm.html","199012320150 24")</f>
        <v>199012320150 24</v>
      </c>
      <c r="C1120" s="16" t="s">
        <v>1236</v>
      </c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</row>
    <row r="1121" ht="11.25" customHeight="1">
      <c r="A1121" s="13"/>
      <c r="B1121" s="21" t="str">
        <f>HYPERLINK("http://china-parts.in.ua/p75032878-prokladka-satellita-199012320150.html","199012320150 27")</f>
        <v>199012320150 27</v>
      </c>
      <c r="C1121" s="16" t="s">
        <v>1237</v>
      </c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</row>
    <row r="1122" ht="11.25" customHeight="1">
      <c r="A1122" s="13"/>
      <c r="B1122" s="23">
        <v>1.99012340076E11</v>
      </c>
      <c r="C1122" s="16" t="s">
        <v>1238</v>
      </c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</row>
    <row r="1123" ht="11.25" customHeight="1">
      <c r="A1123" s="13"/>
      <c r="B1123" s="21" t="str">
        <f>HYPERLINK("http://china-parts.in.ua/p304822745-prokladka-shesterni-solnenchnoj.html","AZ9100410062")</f>
        <v>AZ9100410062</v>
      </c>
      <c r="C1123" s="16" t="s">
        <v>1239</v>
      </c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</row>
    <row r="1124" ht="11.25" customHeight="1">
      <c r="A1124" s="13"/>
      <c r="B1124" s="23">
        <v>1.680340015E9</v>
      </c>
      <c r="C1124" s="16" t="s">
        <v>1240</v>
      </c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</row>
    <row r="1125" ht="11.25" customHeight="1">
      <c r="A1125" s="13"/>
      <c r="B1125" s="23">
        <v>7.8541236E7</v>
      </c>
      <c r="C1125" s="16" t="s">
        <v>1241</v>
      </c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</row>
    <row r="1126" ht="11.25" customHeight="1">
      <c r="A1126" s="13"/>
      <c r="B1126" s="22" t="str">
        <f>HYPERLINK("http://china-parts.in.ua/p304822697-shajba-differentsiala-perednyaya.html","199014320071")</f>
        <v>199014320071</v>
      </c>
      <c r="C1126" s="16" t="s">
        <v>1242</v>
      </c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</row>
    <row r="1127" ht="11.25" customHeight="1">
      <c r="A1127" s="13"/>
      <c r="B1127" s="22" t="str">
        <f>HYPERLINK("http://china-parts.in.ua/p304822698-shajba-differentsiala-perednyaya.html","199014320067")</f>
        <v>199014320067</v>
      </c>
      <c r="C1127" s="16" t="s">
        <v>1243</v>
      </c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</row>
    <row r="1128" ht="11.25" customHeight="1">
      <c r="A1128" s="13"/>
      <c r="B1128" s="22" t="str">
        <f>HYPERLINK("http://china-parts.in.ua/p304822751-shesternya-bortovogo-reduktora.html","199112340021")</f>
        <v>199112340021</v>
      </c>
      <c r="C1128" s="16" t="s">
        <v>1244</v>
      </c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</row>
    <row r="1129" ht="11.25" customHeight="1">
      <c r="A1129" s="13"/>
      <c r="B1129" s="22" t="str">
        <f>HYPERLINK("http://china-parts.in.ua/p75032947-shesternya-bortovogo-reduktora.html","199012340121")</f>
        <v>199012340121</v>
      </c>
      <c r="C1129" s="16" t="s">
        <v>1245</v>
      </c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</row>
    <row r="1130" ht="11.25" customHeight="1">
      <c r="A1130" s="13"/>
      <c r="B1130" s="21" t="str">
        <f>HYPERLINK("http://china-parts.in.ua/p304822746-satellit-bortovogo-reduktora.html","199012340122B")</f>
        <v>199012340122B</v>
      </c>
      <c r="C1130" s="16" t="s">
        <v>1246</v>
      </c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</row>
    <row r="1131" ht="11.25" customHeight="1">
      <c r="A1131" s="13"/>
      <c r="B1131" s="22" t="str">
        <f>HYPERLINK("http://china-parts.in.ua/p304822704-shesternya-vedomaya-howo.html","199014320208")</f>
        <v>199014320208</v>
      </c>
      <c r="C1131" s="16" t="s">
        <v>1247</v>
      </c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</row>
    <row r="1132" ht="11.25" customHeight="1">
      <c r="A1132" s="13"/>
      <c r="B1132" s="21" t="str">
        <f>HYPERLINK("http://china-parts.in.ua/p304822703-shesternya-vedomaya-howo.html","199014320137A")</f>
        <v>199014320137A</v>
      </c>
      <c r="C1132" s="29" t="s">
        <v>1248</v>
      </c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</row>
    <row r="1133" ht="11.25" customHeight="1">
      <c r="A1133" s="13"/>
      <c r="B1133" s="21" t="str">
        <f>HYPERLINK("http://china-parts.in.ua/p304822706-shesternya-veduschaya-howo.html","199014320136A")</f>
        <v>199014320136A</v>
      </c>
      <c r="C1133" s="16" t="s">
        <v>1249</v>
      </c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</row>
    <row r="1134" ht="11.25" customHeight="1">
      <c r="A1134" s="13"/>
      <c r="B1134" s="23">
        <v>1.99014320209E11</v>
      </c>
      <c r="C1134" s="16" t="s">
        <v>1250</v>
      </c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</row>
    <row r="1135" ht="11.25" customHeight="1">
      <c r="A1135" s="13"/>
      <c r="B1135" s="23">
        <v>785412.0</v>
      </c>
      <c r="C1135" s="16" t="s">
        <v>1251</v>
      </c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</row>
    <row r="1136" ht="11.25" customHeight="1">
      <c r="A1136" s="13"/>
      <c r="B1136" s="22" t="str">
        <f>HYPERLINK("http://china-parts.in.ua/p304822703-shesternya-vedomaya-howo.html","199014320137")</f>
        <v>199014320137</v>
      </c>
      <c r="C1136" s="16" t="s">
        <v>1252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</row>
    <row r="1137" ht="11.25" customHeight="1">
      <c r="A1137" s="13"/>
      <c r="B1137" s="22" t="str">
        <f>HYPERLINK("http://china-parts.in.ua/p304822709-shesternya-mezhosevogo-differentsiala.html","199012320009")</f>
        <v>199012320009</v>
      </c>
      <c r="C1137" s="16" t="s">
        <v>1253</v>
      </c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</row>
    <row r="1138" ht="11.25" customHeight="1">
      <c r="A1138" s="13"/>
      <c r="B1138" s="22" t="str">
        <f>HYPERLINK("http://china-parts.in.ua/p304822711-shesternya-mezhosevogo-differentsiala.html","199114320032")</f>
        <v>199114320032</v>
      </c>
      <c r="C1138" s="16" t="s">
        <v>1254</v>
      </c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</row>
    <row r="1139" ht="11.25" customHeight="1">
      <c r="A1139" s="13"/>
      <c r="B1139" s="22" t="str">
        <f>HYPERLINK("http://china-parts.in.ua/p304822710-shesternya-mezhosevogo-differentsiala.html","199014320059")</f>
        <v>199014320059</v>
      </c>
      <c r="C1139" s="16" t="s">
        <v>1255</v>
      </c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</row>
    <row r="1140" ht="11.25" customHeight="1">
      <c r="A1140" s="13"/>
      <c r="B1140" s="23">
        <v>1.99014320032E11</v>
      </c>
      <c r="C1140" s="16" t="s">
        <v>1256</v>
      </c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</row>
    <row r="1141" ht="11.25" customHeight="1">
      <c r="A1141" s="13"/>
      <c r="B1141" s="21" t="str">
        <f>HYPERLINK("http://china-parts.in.ua/p304822712-shesternya-poluvala-howo.html","199012320009A")</f>
        <v>199012320009A</v>
      </c>
      <c r="C1141" s="16" t="s">
        <v>1257</v>
      </c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</row>
    <row r="1142" ht="11.25" customHeight="1">
      <c r="A1142" s="13"/>
      <c r="B1142" s="22" t="str">
        <f>HYPERLINK("http://china-parts.in.ua/p304822713-shesternya-poluvala-howo.html","199114320059")</f>
        <v>199114320059</v>
      </c>
      <c r="C1142" s="16" t="s">
        <v>1258</v>
      </c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</row>
    <row r="1143" ht="11.25" customHeight="1">
      <c r="A1143" s="13"/>
      <c r="B1143" s="22" t="str">
        <f>HYPERLINK("http://china-parts.in.ua/p304822752-shesternya-bortovogo-reduktora.html","199012340005")</f>
        <v>199012340005</v>
      </c>
      <c r="C1143" s="16" t="s">
        <v>1259</v>
      </c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</row>
    <row r="1144" ht="11.25" customHeight="1">
      <c r="A1144" s="13"/>
      <c r="B1144" s="22" t="str">
        <f>HYPERLINK("http://china-parts.in.ua/p304822706-shesternya-veduschaya-howo.html","199014320136")</f>
        <v>199014320136</v>
      </c>
      <c r="C1144" s="16" t="s">
        <v>1260</v>
      </c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</row>
    <row r="1145" ht="11.25" customHeight="1">
      <c r="A1145" s="13"/>
      <c r="B1145" s="16" t="s">
        <v>1261</v>
      </c>
      <c r="C1145" s="16" t="s">
        <v>1262</v>
      </c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</row>
    <row r="1146" ht="11.25" customHeight="1">
      <c r="A1146" s="13"/>
      <c r="B1146" s="16" t="s">
        <v>1263</v>
      </c>
      <c r="C1146" s="16" t="s">
        <v>1264</v>
      </c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</row>
    <row r="1147" ht="11.25" customHeight="1">
      <c r="A1147" s="13"/>
      <c r="B1147" s="21" t="str">
        <f>HYPERLINK("http://china-parts.in.ua/p75032953-shpilka-kolesnaya-zadnyaya.html","AZ9112340123-H5")</f>
        <v>AZ9112340123-H5</v>
      </c>
      <c r="C1147" s="16" t="s">
        <v>1265</v>
      </c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</row>
    <row r="1148" ht="11.25" customHeight="1">
      <c r="A1148" s="13"/>
      <c r="B1148" s="21" t="str">
        <f>HYPERLINK("http://china-parts.in.ua/p75032954-shpilka-kolesnaya-perednyaya.html","AZ9112340123-H16")</f>
        <v>AZ9112340123-H16</v>
      </c>
      <c r="C1148" s="16" t="s">
        <v>1266</v>
      </c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</row>
    <row r="1149" ht="11.25" customHeight="1">
      <c r="A1149" s="13"/>
      <c r="B1149" s="22" t="str">
        <f>HYPERLINK("http://china-parts.in.ua/p304822753-shplint-tsilindricheskij-bortovoj.html","190003901704")</f>
        <v>190003901704</v>
      </c>
      <c r="C1149" s="16" t="s">
        <v>1267</v>
      </c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</row>
    <row r="1150" ht="11.25" customHeight="1">
      <c r="A1150" s="1"/>
      <c r="B1150" s="16"/>
      <c r="C1150" s="17" t="s">
        <v>1268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ht="11.25" customHeight="1">
      <c r="A1151" s="13"/>
      <c r="B1151" s="21" t="str">
        <f>HYPERLINK("http://china-parts.in.ua/p304821961-amortizator-perednego-mosta.html","WG910068004")</f>
        <v>WG910068004</v>
      </c>
      <c r="C1151" s="16" t="s">
        <v>1269</v>
      </c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</row>
    <row r="1152" ht="11.25" customHeight="1">
      <c r="A1152" s="13"/>
      <c r="B1152" s="21" t="str">
        <f>HYPERLINK("http://china-parts.in.ua/p304821962-amortizator-perednego-mosta.html","WG9100680001")</f>
        <v>WG9100680001</v>
      </c>
      <c r="C1152" s="16" t="s">
        <v>1270</v>
      </c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</row>
    <row r="1153" ht="11.25" customHeight="1">
      <c r="A1153" s="13"/>
      <c r="B1153" s="21" t="str">
        <f>HYPERLINK("http://china-parts.in.ua/p75032734-amortizator-perednej-podveski.html","WG9114680004")</f>
        <v>WG9114680004</v>
      </c>
      <c r="C1153" s="16" t="s">
        <v>1271</v>
      </c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</row>
    <row r="1154" ht="11.25" customHeight="1">
      <c r="A1154" s="13"/>
      <c r="B1154" s="21" t="str">
        <f>HYPERLINK("http://china-parts.in.ua/p75032734-amortizator-perednej-podveski.html","WG9114680004-CK")</f>
        <v>WG9114680004-CK</v>
      </c>
      <c r="C1154" s="16" t="s">
        <v>1272</v>
      </c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</row>
    <row r="1155" ht="11.25" customHeight="1">
      <c r="A1155" s="13"/>
      <c r="B1155" s="23">
        <v>9.910468004E9</v>
      </c>
      <c r="C1155" s="16" t="s">
        <v>1273</v>
      </c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</row>
    <row r="1156" ht="11.25" customHeight="1">
      <c r="A1156" s="13"/>
      <c r="B1156" s="21" t="str">
        <f>HYPERLINK("http://china-parts.in.ua/p75032734-amortizator-perednej-podveski.html","WG9114680004-LEO")</f>
        <v>WG9114680004-LEO</v>
      </c>
      <c r="C1156" s="16" t="s">
        <v>1274</v>
      </c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</row>
    <row r="1157" ht="11.25" customHeight="1">
      <c r="A1157" s="13"/>
      <c r="B1157" s="21" t="str">
        <f>HYPERLINK("http://china-parts.in.ua/p304821941-perednyaya-sbore-howo.html","AZ9719410103")</f>
        <v>AZ9719410103</v>
      </c>
      <c r="C1157" s="16" t="s">
        <v>1275</v>
      </c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</row>
    <row r="1158" ht="11.25" customHeight="1">
      <c r="A1158" s="13"/>
      <c r="B1158" s="21" t="str">
        <f>HYPERLINK("http://china-parts.in.ua/p304821969-balka-poperechnaya-podveski.html","WG9114510510")</f>
        <v>WG9114510510</v>
      </c>
      <c r="C1158" s="16" t="s">
        <v>1276</v>
      </c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</row>
    <row r="1159" ht="11.25" customHeight="1">
      <c r="A1159" s="13"/>
      <c r="B1159" s="22" t="str">
        <f>HYPERLINK("http://china-parts.in.ua/p304822588-bashmak-podshipnika-howo.html","1780320088")</f>
        <v>1780320088</v>
      </c>
      <c r="C1159" s="16" t="s">
        <v>1277</v>
      </c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</row>
    <row r="1160" ht="11.25" customHeight="1">
      <c r="A1160" s="13"/>
      <c r="B1160" s="22" t="str">
        <f>HYPERLINK("http://china-parts.in.ua/p304821972-bashmak-podshipnika-balansira.html","199014520188")</f>
        <v>199014520188</v>
      </c>
      <c r="C1160" s="16" t="s">
        <v>1278</v>
      </c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</row>
    <row r="1161" ht="11.25" customHeight="1">
      <c r="A1161" s="13"/>
      <c r="B1161" s="21" t="str">
        <f>HYPERLINK("http://china-parts.in.ua/p304821973-bashmak-ressory-howo.html","AZ99014520295")</f>
        <v>AZ99014520295</v>
      </c>
      <c r="C1161" s="16" t="s">
        <v>1279</v>
      </c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</row>
    <row r="1162" ht="11.25" customHeight="1">
      <c r="A1162" s="13"/>
      <c r="B1162" s="21" t="str">
        <f>HYPERLINK("http://china-parts.in.ua/p304821974-bashmak-ressory-perednej.html","WG80520002")</f>
        <v>WG80520002</v>
      </c>
      <c r="C1162" s="16" t="s">
        <v>1280</v>
      </c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</row>
    <row r="1163" ht="11.25" customHeight="1">
      <c r="A1163" s="13"/>
      <c r="B1163" s="22" t="str">
        <f>HYPERLINK("http://china-parts.in.ua/p304821976-bolt-amortizatora-verhnij.html","199100680036")</f>
        <v>199100680036</v>
      </c>
      <c r="C1163" s="16" t="s">
        <v>1281</v>
      </c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</row>
    <row r="1164" ht="11.25" customHeight="1">
      <c r="A1164" s="13"/>
      <c r="B1164" s="21" t="str">
        <f>HYPERLINK("http://china-parts.in.ua/p304821977-bolt-balansira-howo.html","WG9014520227")</f>
        <v>WG9014520227</v>
      </c>
      <c r="C1164" s="16" t="s">
        <v>1282</v>
      </c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</row>
    <row r="1165" ht="11.25" customHeight="1">
      <c r="A1165" s="13"/>
      <c r="B1165" s="21" t="str">
        <f>HYPERLINK("http://china-parts.in.ua/p304821975-bolt-howo-q151b22280.html","Q151B1865")</f>
        <v>Q151B1865</v>
      </c>
      <c r="C1165" s="16" t="s">
        <v>1283</v>
      </c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</row>
    <row r="1166" ht="11.25" customHeight="1">
      <c r="A1166" s="13"/>
      <c r="B1166" s="21" t="str">
        <f>HYPERLINK("http://china-parts.in.ua/p304822556-bolt-kardannogo-vala.html","Q171B1655TF2")</f>
        <v>Q171B1655TF2</v>
      </c>
      <c r="C1166" s="16" t="s">
        <v>1284</v>
      </c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</row>
    <row r="1167" ht="11.25" customHeight="1">
      <c r="A1167" s="13"/>
      <c r="B1167" s="21" t="str">
        <f>HYPERLINK("http://china-parts.in.ua/p503894071-bolt-balansira-howo.html","WG9114520041")</f>
        <v>WG9114520041</v>
      </c>
      <c r="C1167" s="16" t="s">
        <v>1285</v>
      </c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</row>
    <row r="1168" ht="11.25" customHeight="1">
      <c r="A1168" s="13"/>
      <c r="B1168" s="21" t="str">
        <f>HYPERLINK("http://china-parts.in.ua/p304821864-bolt-kolesa-howo.html","AZ9100410104")</f>
        <v>AZ9100410104</v>
      </c>
      <c r="C1168" s="16" t="s">
        <v>1286</v>
      </c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</row>
    <row r="1169" ht="11.25" customHeight="1">
      <c r="A1169" s="13"/>
      <c r="B1169" s="21" t="str">
        <f>HYPERLINK("http://china-parts.in.ua/p304821984-bolt-tyagi-obraznoj.html","AZ9725520360")</f>
        <v>AZ9725520360</v>
      </c>
      <c r="C1169" s="16" t="s">
        <v>1287</v>
      </c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</row>
    <row r="1170" ht="11.25" customHeight="1">
      <c r="A1170" s="13"/>
      <c r="B1170" s="21" t="str">
        <f>HYPERLINK("http://china-parts.in.ua/p304821975-bolt-howo-q151b22280.html","Q151B22280TF2")</f>
        <v>Q151B22280TF2</v>
      </c>
      <c r="C1170" s="16" t="s">
        <v>1288</v>
      </c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</row>
    <row r="1171" ht="11.25" customHeight="1">
      <c r="A1171" s="13"/>
      <c r="B1171" s="21" t="str">
        <f>HYPERLINK("http://china-parts.in.ua/p304822155-bolt-reaktivnoj-tyagi.html","Q151B2090")</f>
        <v>Q151B2090</v>
      </c>
      <c r="C1171" s="16" t="s">
        <v>1289</v>
      </c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</row>
    <row r="1172" ht="11.25" customHeight="1">
      <c r="A1172" s="13"/>
      <c r="B1172" s="22" t="str">
        <f>HYPERLINK("http://china-parts.in.ua/p304821979-bolt-krepleniya-tyagi.html","190003803974")</f>
        <v>190003803974</v>
      </c>
      <c r="C1172" s="16" t="s">
        <v>1290</v>
      </c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</row>
    <row r="1173" ht="11.25" customHeight="1">
      <c r="A1173" s="13"/>
      <c r="B1173" s="21" t="str">
        <f>HYPERLINK("http://china-parts.in.ua/p304822156-bolt-reaktivnoj-tyagi.html","Q151B20200")</f>
        <v>Q151B20200</v>
      </c>
      <c r="C1173" s="16" t="s">
        <v>1291</v>
      </c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</row>
    <row r="1174" ht="11.25" customHeight="1">
      <c r="A1174" s="13"/>
      <c r="B1174" s="23">
        <v>1.90003800008E11</v>
      </c>
      <c r="C1174" s="16" t="s">
        <v>1292</v>
      </c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</row>
    <row r="1175" ht="11.25" customHeight="1">
      <c r="A1175" s="13"/>
      <c r="B1175" s="21" t="str">
        <f>HYPERLINK("http://china-parts.in.ua/p304822155-bolt-reaktivnoj-tyagi.html","Q151B2-90")</f>
        <v>Q151B2-90</v>
      </c>
      <c r="C1175" s="16" t="s">
        <v>1293</v>
      </c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</row>
    <row r="1176" ht="11.25" customHeight="1">
      <c r="A1176" s="13"/>
      <c r="B1176" s="21" t="str">
        <f>HYPERLINK("http://china-parts.in.ua/p304821978-bolt-krepleniya-zadnej.html","Q151B22230")</f>
        <v>Q151B22230</v>
      </c>
      <c r="C1176" s="16" t="s">
        <v>1294</v>
      </c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</row>
    <row r="1177" ht="11.25" customHeight="1">
      <c r="A1177" s="13"/>
      <c r="B1177" s="21" t="str">
        <f>HYPERLINK("http://china-parts.in.ua/p304821981-bolt-ressory-zadnej.html","199014520800C")</f>
        <v>199014520800C</v>
      </c>
      <c r="C1177" s="16" t="s">
        <v>1295</v>
      </c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</row>
    <row r="1178" ht="11.25" customHeight="1">
      <c r="A1178" s="13"/>
      <c r="B1178" s="21" t="str">
        <f>HYPERLINK("http://china-parts.in.ua/p304822154-bolt-kronshtejna-pruzhiny.html","Q151B22260")</f>
        <v>Q151B22260</v>
      </c>
      <c r="C1178" s="16" t="s">
        <v>1296</v>
      </c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</row>
    <row r="1179" ht="11.25" customHeight="1">
      <c r="A1179" s="13"/>
      <c r="B1179" s="21" t="str">
        <f>HYPERLINK("http://china-parts.in.ua/p304821987-bolt-tsentralnyj-ressory.html","WG9725520283")</f>
        <v>WG9725520283</v>
      </c>
      <c r="C1179" s="16" t="s">
        <v>1297</v>
      </c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</row>
    <row r="1180" ht="11.25" customHeight="1">
      <c r="A1180" s="13"/>
      <c r="B1180" s="21" t="str">
        <f>HYPERLINK("http://china-parts.in.ua/p503896344-bolt-tsentralnyj-zadnej.html","WG9232520008-M14-330")</f>
        <v>WG9232520008-M14-330</v>
      </c>
      <c r="C1180" s="16" t="s">
        <v>1298</v>
      </c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</row>
    <row r="1181" ht="11.25" customHeight="1">
      <c r="A1181" s="13"/>
      <c r="B1181" s="21" t="str">
        <f>HYPERLINK("http://china-parts.in.ua/p304821982-bolt-ressory-perednej.html","199014520259A")</f>
        <v>199014520259A</v>
      </c>
      <c r="C1181" s="16" t="s">
        <v>1299</v>
      </c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</row>
    <row r="1182" ht="11.25" customHeight="1">
      <c r="A1182" s="13"/>
      <c r="B1182" s="22" t="str">
        <f>HYPERLINK("http://china-parts.in.ua/p503896585-bolt-tsentralnyj-perednej.html","99100520710")</f>
        <v>99100520710</v>
      </c>
      <c r="C1182" s="16" t="s">
        <v>1300</v>
      </c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</row>
    <row r="1183" ht="11.25" customHeight="1">
      <c r="A1183" s="13"/>
      <c r="B1183" s="22" t="str">
        <f>HYPERLINK("http://china-parts.in.ua/p304821983-bolt-stabilizatora-perednego.html","199100680069")</f>
        <v>199100680069</v>
      </c>
      <c r="C1183" s="16" t="s">
        <v>1301</v>
      </c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</row>
    <row r="1184" ht="11.25" customHeight="1">
      <c r="A1184" s="13"/>
      <c r="B1184" s="21" t="str">
        <f t="shared" ref="B1184:B1185" si="1">HYPERLINK("http://china-parts.in.ua/p503896344-bolt-tsentralnyj-zadnej.html","WG9232520008+013")</f>
        <v>WG9232520008+013</v>
      </c>
      <c r="C1184" s="16" t="s">
        <v>1302</v>
      </c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</row>
    <row r="1185" ht="11.25" customHeight="1">
      <c r="A1185" s="13"/>
      <c r="B1185" s="21" t="str">
        <f t="shared" si="1"/>
        <v>WG9232520008+013</v>
      </c>
      <c r="C1185" s="16" t="s">
        <v>1302</v>
      </c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</row>
    <row r="1186" ht="11.25" customHeight="1">
      <c r="A1186" s="13"/>
      <c r="B1186" s="21" t="str">
        <f>HYPERLINK("http://china-parts.in.ua/p20156596-balansir.html","AZ9232520004")</f>
        <v>AZ9232520004</v>
      </c>
      <c r="C1186" s="16" t="s">
        <v>1303</v>
      </c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</row>
    <row r="1187" ht="11.25" customHeight="1">
      <c r="A1187" s="13"/>
      <c r="B1187" s="22" t="str">
        <f>HYPERLINK("http://china-parts.in.ua/p503895965-kronshtejn-amortizatora-vilkoj.html","199012680025")</f>
        <v>199012680025</v>
      </c>
      <c r="C1187" s="16" t="s">
        <v>1304</v>
      </c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</row>
    <row r="1188" ht="11.25" customHeight="1">
      <c r="A1188" s="13"/>
      <c r="B1188" s="16" t="s">
        <v>1305</v>
      </c>
      <c r="C1188" s="16" t="s">
        <v>1306</v>
      </c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</row>
    <row r="1189" ht="11.25" customHeight="1">
      <c r="A1189" s="13"/>
      <c r="B1189" s="21" t="str">
        <f>HYPERLINK("http://china-parts.in.ua/p75032782-vtulka-balansira-az9725520238.html","AZ9725520238")</f>
        <v>AZ9725520238</v>
      </c>
      <c r="C1189" s="16" t="s">
        <v>1307</v>
      </c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</row>
    <row r="1190" ht="11.25" customHeight="1">
      <c r="A1190" s="13"/>
      <c r="B1190" s="22" t="str">
        <f>HYPERLINK("http://china-parts.in.ua/p304821995-vtulka-balansira-howo.html","199014520191")</f>
        <v>199014520191</v>
      </c>
      <c r="C1190" s="16" t="s">
        <v>1308</v>
      </c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</row>
    <row r="1191" ht="11.25" customHeight="1">
      <c r="A1191" s="13"/>
      <c r="B1191" s="21" t="str">
        <f>HYPERLINK("http://china-parts.in.ua/p304821997-vtulka-ressory-zadnej.html","WG9000520079")</f>
        <v>WG9000520079</v>
      </c>
      <c r="C1191" s="16" t="s">
        <v>1309</v>
      </c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</row>
    <row r="1192" ht="11.25" customHeight="1">
      <c r="A1192" s="13"/>
      <c r="B1192" s="21" t="str">
        <f>HYPERLINK("http://china-parts.in.ua/p304822194-vtulka-perednej-ressory.html","WG9000520078")</f>
        <v>WG9000520078</v>
      </c>
      <c r="C1192" s="16" t="s">
        <v>1310</v>
      </c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</row>
    <row r="1193" ht="11.25" customHeight="1">
      <c r="A1193" s="13"/>
      <c r="B1193" s="21" t="str">
        <f>HYPERLINK("http://china-parts.in.ua/p304822194-vtulka-perednej-ressory.html","WG9000520078-CK")</f>
        <v>WG9000520078-CK</v>
      </c>
      <c r="C1193" s="16" t="s">
        <v>1311</v>
      </c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</row>
    <row r="1194" ht="11.25" customHeight="1">
      <c r="A1194" s="13"/>
      <c r="B1194" s="22" t="str">
        <f>HYPERLINK("http://china-parts.in.ua/p75032783-vtulka-zadnego-stabilizatora.html","199100680037")</f>
        <v>199100680037</v>
      </c>
      <c r="C1194" s="16" t="s">
        <v>1312</v>
      </c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</row>
    <row r="1195" ht="11.25" customHeight="1">
      <c r="A1195" s="13"/>
      <c r="B1195" s="22" t="str">
        <f>HYPERLINK("http://china-parts.in.ua/p75032741-vtulka-zadnij-stabilizator.html","199100680067")</f>
        <v>199100680067</v>
      </c>
      <c r="C1195" s="16" t="s">
        <v>1313</v>
      </c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</row>
    <row r="1196" ht="11.25" customHeight="1">
      <c r="A1196" s="13"/>
      <c r="B1196" s="21" t="str">
        <f>HYPERLINK("http://china-parts.in.ua/p75032741-vtulka-zadnij-stabilizator.html","AZ199100680067")</f>
        <v>AZ199100680067</v>
      </c>
      <c r="C1196" s="16" t="s">
        <v>1314</v>
      </c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</row>
    <row r="1197" ht="11.25" customHeight="1">
      <c r="A1197" s="13"/>
      <c r="B1197" s="22" t="str">
        <f>HYPERLINK("http://china-parts.in.ua/p304821992-vtulka-sajlentblok-stabilizatora.html","199100680066")</f>
        <v>199100680066</v>
      </c>
      <c r="C1197" s="16" t="s">
        <v>1315</v>
      </c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</row>
    <row r="1198" ht="11.25" customHeight="1">
      <c r="A1198" s="13"/>
      <c r="B1198" s="22" t="str">
        <f>HYPERLINK("http://china-parts.in.ua/p304822002-vtulka-stabilizatora-perednego.html","199100680068")</f>
        <v>199100680068</v>
      </c>
      <c r="C1198" s="16" t="s">
        <v>1316</v>
      </c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</row>
    <row r="1199" ht="11.25" customHeight="1">
      <c r="A1199" s="13"/>
      <c r="B1199" s="21" t="str">
        <f>HYPERLINK("http://china-parts.in.ua/p75032784-vtulka-zadnego-stabilizatora.html","AZ199100680068")</f>
        <v>AZ199100680068</v>
      </c>
      <c r="C1199" s="16" t="s">
        <v>1317</v>
      </c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</row>
    <row r="1200" ht="11.25" customHeight="1">
      <c r="A1200" s="13"/>
      <c r="B1200" s="21" t="str">
        <f>HYPERLINK("http://china-parts.in.ua/p304821865-gajka-kolesa-howo.html","WG9003884160")</f>
        <v>WG9003884160</v>
      </c>
      <c r="C1200" s="16" t="s">
        <v>1318</v>
      </c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</row>
    <row r="1201" ht="11.25" customHeight="1">
      <c r="A1201" s="13"/>
      <c r="B1201" s="22" t="str">
        <f>HYPERLINK("http://china-parts.in.ua/p304822011-koltso-opornoe-balansira.html","199114520136")</f>
        <v>199114520136</v>
      </c>
      <c r="C1201" s="16" t="s">
        <v>1319</v>
      </c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</row>
    <row r="1202" ht="11.25" customHeight="1">
      <c r="A1202" s="13"/>
      <c r="B1202" s="22" t="str">
        <f>HYPERLINK("http://china-parts.in.ua/p304822006-korpus-balansira-howo.html","199114520035")</f>
        <v>199114520035</v>
      </c>
      <c r="C1202" s="16" t="s">
        <v>1320</v>
      </c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</row>
    <row r="1203" ht="11.25" customHeight="1">
      <c r="A1203" s="13"/>
      <c r="B1203" s="21" t="str">
        <f>HYPERLINK("http://china-parts.in.ua/p304822006-korpus-balansira-howo.html","199114520035-1")</f>
        <v>199114520035-1</v>
      </c>
      <c r="C1203" s="16" t="s">
        <v>1321</v>
      </c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</row>
    <row r="1204" ht="11.25" customHeight="1">
      <c r="A1204" s="13"/>
      <c r="B1204" s="21" t="str">
        <f>HYPERLINK("http://china-parts.in.ua/p304822007-korpus-balansira-howo.html","AZ9725520235-1")</f>
        <v>AZ9725520235-1</v>
      </c>
      <c r="C1204" s="16" t="s">
        <v>1322</v>
      </c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</row>
    <row r="1205" ht="11.25" customHeight="1">
      <c r="A1205" s="13"/>
      <c r="B1205" s="21" t="str">
        <f>HYPERLINK("http://china-parts.in.ua/p304822007-korpus-balansira-howo.html","AZ9725520235")</f>
        <v>AZ9725520235</v>
      </c>
      <c r="C1205" s="16" t="s">
        <v>1323</v>
      </c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</row>
    <row r="1206" ht="11.25" customHeight="1">
      <c r="A1206" s="13"/>
      <c r="B1206" s="22" t="str">
        <f>HYPERLINK("http://china-parts.in.ua/p304822008-kreplenie-stabilizatora-howo.html","1880680024")</f>
        <v>1880680024</v>
      </c>
      <c r="C1206" s="16" t="s">
        <v>1324</v>
      </c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</row>
    <row r="1207" ht="11.25" customHeight="1">
      <c r="A1207" s="13"/>
      <c r="B1207" s="21" t="str">
        <f>HYPERLINK("http://china-parts.in.ua/p503895966-kronshtejn-krepleniya-obraznoj.html","AZ9231340041")</f>
        <v>AZ9231340041</v>
      </c>
      <c r="C1207" s="16" t="s">
        <v>1325</v>
      </c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</row>
    <row r="1208" ht="11.25" customHeight="1">
      <c r="A1208" s="13"/>
      <c r="B1208" s="22" t="str">
        <f>HYPERLINK("http://china-parts.in.ua/p304822032-kroshntejn-amortizatora-howo.html","199100680065")</f>
        <v>199100680065</v>
      </c>
      <c r="C1208" s="16" t="s">
        <v>1326</v>
      </c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</row>
    <row r="1209" ht="11.25" customHeight="1">
      <c r="A1209" s="13"/>
      <c r="B1209" s="21" t="str">
        <f>HYPERLINK("http://china-parts.in.ua/p304822033-kroshntejn-amortizatora-perednego.html","WG9731680005")</f>
        <v>WG9731680005</v>
      </c>
      <c r="C1209" s="16" t="s">
        <v>1327</v>
      </c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</row>
    <row r="1210" ht="11.25" customHeight="1">
      <c r="A1210" s="13"/>
      <c r="B1210" s="21" t="str">
        <f>HYPERLINK("http://china-parts.in.ua/p304822015-kronshtejn-amortizatora-perednego.html","WG9731680008")</f>
        <v>WG9731680008</v>
      </c>
      <c r="C1210" s="16" t="s">
        <v>1328</v>
      </c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</row>
    <row r="1211" ht="11.25" customHeight="1">
      <c r="A1211" s="13"/>
      <c r="B1211" s="21" t="str">
        <f>HYPERLINK("http://china-parts.in.ua/p304822016-kronshtejn-otbojnika-str.html","AZ9232520003")</f>
        <v>AZ9232520003</v>
      </c>
      <c r="C1211" s="16" t="s">
        <v>1329</v>
      </c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</row>
    <row r="1212" ht="11.25" customHeight="1">
      <c r="A1212" s="13"/>
      <c r="B1212" s="21" t="str">
        <f>HYPERLINK("http://china-parts.in.ua/p304821813-kronshtejn-zadnej-kamery.html","AZ9231340042")</f>
        <v>AZ9231340042</v>
      </c>
      <c r="C1212" s="16" t="s">
        <v>1330</v>
      </c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</row>
    <row r="1213" ht="11.25" customHeight="1">
      <c r="A1213" s="13"/>
      <c r="B1213" s="21" t="str">
        <f>HYPERLINK("http://china-parts.in.ua/p304822018-kronshtejn-perednij-levyj.html","AZ9731520024")</f>
        <v>AZ9731520024</v>
      </c>
      <c r="C1213" s="16" t="s">
        <v>1331</v>
      </c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</row>
    <row r="1214" ht="11.25" customHeight="1">
      <c r="A1214" s="13"/>
      <c r="B1214" s="21" t="str">
        <f>HYPERLINK("http://china-parts.in.ua/p304822019-kronshtejn-perednij-pravyj.html","AZ9731520021")</f>
        <v>AZ9731520021</v>
      </c>
      <c r="C1214" s="16" t="s">
        <v>1332</v>
      </c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</row>
    <row r="1215" ht="11.25" customHeight="1">
      <c r="A1215" s="13"/>
      <c r="B1215" s="21" t="str">
        <f>HYPERLINK("http://china-parts.in.ua/p304822020-kronshtejn-ressory-levyj.html","AZ9725520277")</f>
        <v>AZ9725520277</v>
      </c>
      <c r="C1215" s="16" t="s">
        <v>1333</v>
      </c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</row>
    <row r="1216" ht="11.25" customHeight="1">
      <c r="A1216" s="13"/>
      <c r="B1216" s="21" t="str">
        <f>HYPERLINK("http://china-parts.in.ua/p75032827-kronshtejn-ressory-levyj.html","AZ9232520010")</f>
        <v>AZ9232520010</v>
      </c>
      <c r="C1216" s="16" t="s">
        <v>1334</v>
      </c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</row>
    <row r="1217" ht="11.25" customHeight="1">
      <c r="A1217" s="13"/>
      <c r="B1217" s="21" t="str">
        <f>HYPERLINK("http://china-parts.in.ua/p75032857-kronshtejn-ressory-perednej.html","AZ9719520005")</f>
        <v>AZ9719520005</v>
      </c>
      <c r="C1217" s="16" t="s">
        <v>1335</v>
      </c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</row>
    <row r="1218" ht="11.25" customHeight="1">
      <c r="A1218" s="13"/>
      <c r="B1218" s="21" t="str">
        <f>HYPERLINK("http://china-parts.in.ua/p304822023-kronshtejn-ressory-pravyj.html","AZ9725520279")</f>
        <v>AZ9725520279</v>
      </c>
      <c r="C1218" s="16" t="s">
        <v>1336</v>
      </c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</row>
    <row r="1219" ht="11.25" customHeight="1">
      <c r="A1219" s="13"/>
      <c r="B1219" s="21" t="str">
        <f>HYPERLINK("http://china-parts.in.ua/p75032828-kronshtejn-ressory-pravyj.html","AZ9232520011")</f>
        <v>AZ9232520011</v>
      </c>
      <c r="C1219" s="16" t="s">
        <v>1337</v>
      </c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</row>
    <row r="1220" ht="11.25" customHeight="1">
      <c r="A1220" s="13"/>
      <c r="B1220" s="21" t="str">
        <f>HYPERLINK("http://china-parts.in.ua/p304822004-zazhim-skoba-stabilizatora.html","WG780680032")</f>
        <v>WG780680032</v>
      </c>
      <c r="C1220" s="16" t="s">
        <v>1338</v>
      </c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</row>
    <row r="1221" ht="11.25" customHeight="1">
      <c r="A1221" s="13"/>
      <c r="B1221" s="21" t="str">
        <f>HYPERLINK("http://china-parts.in.ua/p304822120-stojka-stabilizatora-perednego.html","WG9100680055")</f>
        <v>WG9100680055</v>
      </c>
      <c r="C1221" s="16" t="s">
        <v>1339</v>
      </c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</row>
    <row r="1222" ht="11.25" customHeight="1">
      <c r="A1222" s="13"/>
      <c r="B1222" s="21" t="str">
        <f>HYPERLINK("http://china-parts.in.ua/p304822030-kronshtejn-tyagi-reaktivnoj.html","AZ9725520361")</f>
        <v>AZ9725520361</v>
      </c>
      <c r="C1222" s="16" t="s">
        <v>1340</v>
      </c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</row>
    <row r="1223" ht="11.25" customHeight="1">
      <c r="A1223" s="13"/>
      <c r="B1223" s="21" t="str">
        <f>HYPERLINK("http://china-parts.in.ua/p304822031-kronshtejn-tyagi-reaktivnoj.html","AZ9725520362")</f>
        <v>AZ9725520362</v>
      </c>
      <c r="C1223" s="16" t="s">
        <v>1341</v>
      </c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</row>
    <row r="1224" ht="11.25" customHeight="1">
      <c r="A1224" s="13"/>
      <c r="B1224" s="22" t="str">
        <f>HYPERLINK("http://china-parts.in.ua/p75032829-kryshka-balansira-199014520311.html","199014520311")</f>
        <v>199014520311</v>
      </c>
      <c r="C1224" s="16" t="s">
        <v>1342</v>
      </c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</row>
    <row r="1225" ht="11.25" customHeight="1">
      <c r="A1225" s="13"/>
      <c r="B1225" s="21" t="str">
        <f>HYPERLINK("http://china-parts.in.ua/p75032830-kryshka-bortovogo-reduktora.html","AZ9112340123-A++CK")</f>
        <v>AZ9112340123-A++CK</v>
      </c>
      <c r="C1225" s="16" t="s">
        <v>1343</v>
      </c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</row>
    <row r="1226" ht="11.25" customHeight="1">
      <c r="A1226" s="13"/>
      <c r="B1226" s="22" t="str">
        <f>HYPERLINK("http://china-parts.in.ua/p304821935-kolpak-kryshka-shkvornya.html","1880410100")</f>
        <v>1880410100</v>
      </c>
      <c r="C1226" s="16" t="s">
        <v>1344</v>
      </c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</row>
    <row r="1227" ht="11.25" customHeight="1">
      <c r="A1227" s="13"/>
      <c r="B1227" s="21" t="str">
        <f>HYPERLINK("http://china-parts.in.ua/p304822048-list-korennoj-ressory.html","WG9725520286-3")</f>
        <v>WG9725520286-3</v>
      </c>
      <c r="C1227" s="16" t="s">
        <v>1345</v>
      </c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</row>
    <row r="1228" ht="11.25" customHeight="1">
      <c r="A1228" s="13"/>
      <c r="B1228" s="21" t="str">
        <f>HYPERLINK("http://china-parts.in.ua/p304822043-list-korennoj-ressory.html","AZ199014520840")</f>
        <v>AZ199014520840</v>
      </c>
      <c r="C1228" s="16" t="s">
        <v>1346</v>
      </c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</row>
    <row r="1229" ht="11.25" customHeight="1">
      <c r="A1229" s="13"/>
      <c r="B1229" s="21" t="str">
        <f>HYPERLINK("http://china-parts.in.ua/p304822035-list-korennoj-ressory.html","WG9232520028-1")</f>
        <v>WG9232520028-1</v>
      </c>
      <c r="C1229" s="16" t="s">
        <v>1347</v>
      </c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</row>
    <row r="1230" ht="11.25" customHeight="1">
      <c r="A1230" s="13"/>
      <c r="B1230" s="21" t="str">
        <f>HYPERLINK("http://china-parts.in.ua/p304822040-list-korennoj-ressory.html","WG9638520008-1")</f>
        <v>WG9638520008-1</v>
      </c>
      <c r="C1230" s="16" t="s">
        <v>1348</v>
      </c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</row>
    <row r="1231" ht="11.25" customHeight="1">
      <c r="A1231" s="13"/>
      <c r="B1231" s="21" t="str">
        <f>HYPERLINK("http://china-parts.in.ua/p503896609-list-ressory-zadnej.html","WG9725520285")</f>
        <v>WG9725520285</v>
      </c>
      <c r="C1231" s="16" t="s">
        <v>1349</v>
      </c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</row>
    <row r="1232" ht="11.25" customHeight="1">
      <c r="A1232" s="13"/>
      <c r="B1232" s="21" t="str">
        <f>HYPERLINK("http://china-parts.in.ua/p503895997-list-korennoj-zadnej.html","AZ199014520841")</f>
        <v>AZ199014520841</v>
      </c>
      <c r="C1232" s="16" t="s">
        <v>1350</v>
      </c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</row>
    <row r="1233" ht="11.25" customHeight="1">
      <c r="A1233" s="13"/>
      <c r="B1233" s="21" t="str">
        <f>HYPERLINK("http://china-parts.in.ua/p304822047-list-korennoj-ressory.html","WG9725520284-2")</f>
        <v>WG9725520284-2</v>
      </c>
      <c r="C1233" s="16" t="s">
        <v>1351</v>
      </c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</row>
    <row r="1234" ht="11.25" customHeight="1">
      <c r="A1234" s="13"/>
      <c r="B1234" s="21" t="str">
        <f>HYPERLINK("http://china-parts.in.ua/p304822044-list-korennoj-ressory.html","WG9232520028-2")</f>
        <v>WG9232520028-2</v>
      </c>
      <c r="C1234" s="16" t="s">
        <v>1352</v>
      </c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</row>
    <row r="1235" ht="11.25" customHeight="1">
      <c r="A1235" s="13"/>
      <c r="B1235" s="21" t="str">
        <f>HYPERLINK("http://china-parts.in.ua/p304822060-list-ressory-zadnej.html","WG9638520008-2")</f>
        <v>WG9638520008-2</v>
      </c>
      <c r="C1235" s="16" t="s">
        <v>1353</v>
      </c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</row>
    <row r="1236" ht="11.25" customHeight="1">
      <c r="A1236" s="13"/>
      <c r="B1236" s="21" t="str">
        <f>HYPERLINK("http://china-parts.in.ua/p75032835-list-ressory-zadnej.html","WG9725520286")</f>
        <v>WG9725520286</v>
      </c>
      <c r="C1236" s="16" t="s">
        <v>1354</v>
      </c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</row>
    <row r="1237" ht="11.25" customHeight="1">
      <c r="A1237" s="13"/>
      <c r="B1237" s="21" t="str">
        <f>HYPERLINK("http://china-parts.in.ua/p304822061-list-ressory-zadnej.html","WG9725520283+002")</f>
        <v>WG9725520283+002</v>
      </c>
      <c r="C1237" s="16" t="s">
        <v>1355</v>
      </c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</row>
    <row r="1238" ht="11.25" customHeight="1">
      <c r="A1238" s="13"/>
      <c r="B1238" s="16" t="s">
        <v>1356</v>
      </c>
      <c r="C1238" s="16" t="s">
        <v>1357</v>
      </c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</row>
    <row r="1239" ht="11.25" customHeight="1">
      <c r="A1239" s="13"/>
      <c r="B1239" s="21" t="str">
        <f>HYPERLINK("http://china-parts.in.ua/p304822057-list-korennoj-ressory.html","WG9232520025/6-3")</f>
        <v>WG9232520025/6-3</v>
      </c>
      <c r="C1239" s="16" t="s">
        <v>1358</v>
      </c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</row>
    <row r="1240" ht="11.25" customHeight="1">
      <c r="A1240" s="13"/>
      <c r="B1240" s="21" t="str">
        <f>HYPERLINK("http://china-parts.in.ua/p304822058-list-korennoj-ressory.html","WG9725520072-3")</f>
        <v>WG9725520072-3</v>
      </c>
      <c r="C1240" s="16" t="s">
        <v>1359</v>
      </c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</row>
    <row r="1241" ht="11.25" customHeight="1">
      <c r="A1241" s="13"/>
      <c r="B1241" s="21" t="str">
        <f>HYPERLINK("http://china-parts.in.ua/p503893766-list-perednej-ressory.html","AZ199100520707")</f>
        <v>AZ199100520707</v>
      </c>
      <c r="C1241" s="16" t="s">
        <v>1360</v>
      </c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</row>
    <row r="1242" ht="11.25" customHeight="1">
      <c r="A1242" s="13"/>
      <c r="B1242" s="21" t="str">
        <f>HYPERLINK("http://china-parts.in.ua/p75032837-list-ressory-perednej.html","WG9725520072+1")</f>
        <v>WG9725520072+1</v>
      </c>
      <c r="C1242" s="16" t="s">
        <v>1361</v>
      </c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</row>
    <row r="1243" ht="11.25" customHeight="1">
      <c r="A1243" s="13"/>
      <c r="B1243" s="16" t="s">
        <v>1362</v>
      </c>
      <c r="C1243" s="16" t="s">
        <v>1363</v>
      </c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</row>
    <row r="1244" ht="11.25" customHeight="1">
      <c r="A1244" s="13"/>
      <c r="B1244" s="21" t="str">
        <f>HYPERLINK("http://china-parts.in.ua/p75032838-list-ressory-perednej.html","WG9731520011+1")</f>
        <v>WG9731520011+1</v>
      </c>
      <c r="C1244" s="16" t="s">
        <v>1364</v>
      </c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</row>
    <row r="1245" ht="11.25" customHeight="1">
      <c r="A1245" s="13"/>
      <c r="B1245" s="21" t="str">
        <f>HYPERLINK("http://china-parts.in.ua/p304822051-list-korennoj-ressory.html","WG9232520025/6-1")</f>
        <v>WG9232520025/6-1</v>
      </c>
      <c r="C1245" s="16" t="s">
        <v>1365</v>
      </c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</row>
    <row r="1246" ht="11.25" customHeight="1">
      <c r="A1246" s="13"/>
      <c r="B1246" s="21" t="str">
        <f>HYPERLINK("http://china-parts.in.ua/p304822052-list-korennoj-ressory.html","WG9731520041-1")</f>
        <v>WG9731520041-1</v>
      </c>
      <c r="C1246" s="16" t="s">
        <v>1366</v>
      </c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</row>
    <row r="1247" ht="11.25" customHeight="1">
      <c r="A1247" s="13"/>
      <c r="B1247" s="21" t="str">
        <f>HYPERLINK("http://china-parts.in.ua/p503894173-list-korennoj-perednej.html","AZ199100520708")</f>
        <v>AZ199100520708</v>
      </c>
      <c r="C1247" s="16" t="s">
        <v>1367</v>
      </c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</row>
    <row r="1248" ht="11.25" customHeight="1">
      <c r="A1248" s="13"/>
      <c r="B1248" s="21" t="str">
        <f>HYPERLINK("http://china-parts.in.ua/p304822055-list-korennoj-ressory.html","WG9232520025/6-2")</f>
        <v>WG9232520025/6-2</v>
      </c>
      <c r="C1248" s="16" t="s">
        <v>1368</v>
      </c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</row>
    <row r="1249" ht="11.25" customHeight="1">
      <c r="A1249" s="13"/>
      <c r="B1249" s="21" t="str">
        <f>HYPERLINK("http://china-parts.in.ua/p75032839-list-ressory-perednej.html","WG9725520072+2")</f>
        <v>WG9725520072+2</v>
      </c>
      <c r="C1249" s="16" t="s">
        <v>1369</v>
      </c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</row>
    <row r="1250" ht="11.25" customHeight="1">
      <c r="A1250" s="13"/>
      <c r="B1250" s="21" t="str">
        <f>HYPERLINK("http://china-parts.in.ua/p75032840-list-ressory-perednej.html","WG9731520011+2")</f>
        <v>WG9731520011+2</v>
      </c>
      <c r="C1250" s="16" t="s">
        <v>1370</v>
      </c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</row>
    <row r="1251" ht="11.25" customHeight="1">
      <c r="A1251" s="13"/>
      <c r="B1251" s="21" t="str">
        <f>HYPERLINK("http://china-parts.in.ua/p304822056-list-korennoj-ressory.html","WG9731520041-2")</f>
        <v>WG9731520041-2</v>
      </c>
      <c r="C1251" s="16" t="s">
        <v>1371</v>
      </c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</row>
    <row r="1252" ht="11.25" customHeight="1">
      <c r="A1252" s="13"/>
      <c r="B1252" s="21" t="str">
        <f>HYPERLINK("http://china-parts.in.ua/p304821966-balansir-sbore-howo.html","AZ9925520310")</f>
        <v>AZ9925520310</v>
      </c>
      <c r="C1252" s="16" t="s">
        <v>1372</v>
      </c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</row>
    <row r="1253" ht="11.25" customHeight="1">
      <c r="A1253" s="13"/>
      <c r="B1253" s="21" t="str">
        <f>HYPERLINK("http://china-parts.in.ua/p304821990-bufer-otbojnik-ressory.html","AZ9725521210")</f>
        <v>AZ9725521210</v>
      </c>
      <c r="C1253" s="16" t="s">
        <v>1373</v>
      </c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</row>
    <row r="1254" ht="11.25" customHeight="1">
      <c r="A1254" s="13"/>
      <c r="B1254" s="21" t="str">
        <f>HYPERLINK("http://china-parts.in.ua/p503896442-palets-perednej-ressory.html","DZ9100520007-CK")</f>
        <v>DZ9100520007-CK</v>
      </c>
      <c r="C1254" s="16" t="s">
        <v>1374</v>
      </c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</row>
    <row r="1255" ht="11.25" customHeight="1">
      <c r="A1255" s="13"/>
      <c r="B1255" s="22" t="str">
        <f>HYPERLINK("http://china-parts.in.ua/p75032761-palets-resori-189000520015.html","189000520015")</f>
        <v>189000520015</v>
      </c>
      <c r="C1255" s="16" t="s">
        <v>1375</v>
      </c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</row>
    <row r="1256" ht="11.25" customHeight="1">
      <c r="A1256" s="13"/>
      <c r="B1256" s="22" t="str">
        <f>HYPERLINK("http://china-parts.in.ua/p304822067-palets-ressory-zadnej.html","199100520006")</f>
        <v>199100520006</v>
      </c>
      <c r="C1256" s="16" t="s">
        <v>1376</v>
      </c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</row>
    <row r="1257" ht="11.25" customHeight="1">
      <c r="A1257" s="13"/>
      <c r="B1257" s="22" t="str">
        <f>HYPERLINK("http://china-parts.in.ua/p304822069-palets-ressory-perednej.html","199100520080")</f>
        <v>199100520080</v>
      </c>
      <c r="C1257" s="16" t="s">
        <v>1377</v>
      </c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</row>
    <row r="1258" ht="11.25" customHeight="1">
      <c r="A1258" s="13"/>
      <c r="B1258" s="21" t="str">
        <f>HYPERLINK("http://china-parts.in.ua/p75032853-palets-perednej-ressory.html","WG9100520065")</f>
        <v>WG9100520065</v>
      </c>
      <c r="C1258" s="16" t="s">
        <v>1378</v>
      </c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</row>
    <row r="1259" ht="11.25" customHeight="1">
      <c r="A1259" s="13"/>
      <c r="B1259" s="23">
        <v>22354.0</v>
      </c>
      <c r="C1259" s="16" t="s">
        <v>1379</v>
      </c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</row>
    <row r="1260" ht="11.25" customHeight="1">
      <c r="A1260" s="13"/>
      <c r="B1260" s="16" t="s">
        <v>1380</v>
      </c>
      <c r="C1260" s="16" t="s">
        <v>1381</v>
      </c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</row>
    <row r="1261" ht="11.25" customHeight="1">
      <c r="A1261" s="13"/>
      <c r="B1261" s="16" t="s">
        <v>1382</v>
      </c>
      <c r="C1261" s="16" t="s">
        <v>1383</v>
      </c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</row>
    <row r="1262" ht="11.25" customHeight="1">
      <c r="A1262" s="13"/>
      <c r="B1262" s="21" t="str">
        <f>HYPERLINK("http://china-parts.in.ua/p304822070-plastina-pod-zadnyuyu.html","AZ9725520265")</f>
        <v>AZ9725520265</v>
      </c>
      <c r="C1262" s="16" t="s">
        <v>1384</v>
      </c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</row>
    <row r="1263" ht="11.25" customHeight="1">
      <c r="A1263" s="13"/>
      <c r="B1263" s="21" t="str">
        <f>HYPERLINK("http://china-parts.in.ua/p75032861-podushka-zadnej-ressory.html","AZ9114520091")</f>
        <v>AZ9114520091</v>
      </c>
      <c r="C1263" s="16" t="s">
        <v>1385</v>
      </c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</row>
    <row r="1264" ht="11.25" customHeight="1">
      <c r="A1264" s="13"/>
      <c r="B1264" s="21" t="str">
        <f>HYPERLINK("http://china-parts.in.ua/p75032866-podushka-howo-ressory.html","AZ9725520269")</f>
        <v>AZ9725520269</v>
      </c>
      <c r="C1264" s="16" t="s">
        <v>1386</v>
      </c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</row>
    <row r="1265" ht="11.25" customHeight="1">
      <c r="A1265" s="13"/>
      <c r="B1265" s="21" t="str">
        <f>HYPERLINK("http://china-parts.in.ua/p75032866-podushka-howo-ressory.html","AZ9725520269createk")</f>
        <v>AZ9725520269createk</v>
      </c>
      <c r="C1265" s="16" t="s">
        <v>1387</v>
      </c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</row>
    <row r="1266" ht="11.25" customHeight="1">
      <c r="A1266" s="13"/>
      <c r="B1266" s="21" t="str">
        <f>HYPERLINK("http://china-parts.in.ua/p75032862-podushka-howo-ressory.html","AZ9725520276")</f>
        <v>AZ9725520276</v>
      </c>
      <c r="C1266" s="16" t="s">
        <v>1388</v>
      </c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</row>
    <row r="1267" ht="11.25" customHeight="1">
      <c r="A1267" s="13"/>
      <c r="B1267" s="21" t="str">
        <f>HYPERLINK("http://china-parts.in.ua/p75032867-podushka-howo-ressory.html","AZ9725520278")</f>
        <v>AZ9725520278</v>
      </c>
      <c r="C1267" s="16" t="s">
        <v>1389</v>
      </c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</row>
    <row r="1268" ht="11.25" customHeight="1">
      <c r="A1268" s="13"/>
      <c r="B1268" s="21" t="str">
        <f>HYPERLINK("http://china-parts.in.ua/p503895610-podushka-ressory-zadnyaya.html","AZ9725520276/78")</f>
        <v>AZ9725520276/78</v>
      </c>
      <c r="C1268" s="16" t="s">
        <v>1390</v>
      </c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</row>
    <row r="1269" ht="11.25" customHeight="1">
      <c r="A1269" s="13"/>
      <c r="B1269" s="21" t="str">
        <f>HYPERLINK("http://china-parts.in.ua/p304822071-podushka-bashmak-zadnej.html","AZ9638520005")</f>
        <v>AZ9638520005</v>
      </c>
      <c r="C1269" s="16" t="s">
        <v>1391</v>
      </c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</row>
    <row r="1270" ht="11.25" customHeight="1">
      <c r="A1270" s="13"/>
      <c r="B1270" s="21" t="str">
        <f>HYPERLINK("http://china-parts.in.ua/p304822065-otbojnik-bufer-podushka.html","WG9323520010")</f>
        <v>WG9323520010</v>
      </c>
      <c r="C1270" s="16" t="s">
        <v>1392</v>
      </c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</row>
    <row r="1271" ht="11.25" customHeight="1">
      <c r="A1271" s="13"/>
      <c r="B1271" s="22" t="str">
        <f>HYPERLINK("http://china-parts.in.ua/p75032868-podshipnik-balansira-99014520310.html","99014520310")</f>
        <v>99014520310</v>
      </c>
      <c r="C1271" s="16" t="s">
        <v>1393</v>
      </c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</row>
    <row r="1272" ht="11.25" customHeight="1">
      <c r="A1272" s="13"/>
      <c r="B1272" s="21" t="str">
        <f>HYPERLINK("http://china-parts.in.ua/p503895184-podshipnik-osi-balansira.html","WG9114520042")</f>
        <v>WG9114520042</v>
      </c>
      <c r="C1272" s="16" t="s">
        <v>1394</v>
      </c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</row>
    <row r="1273" ht="11.25" customHeight="1">
      <c r="A1273" s="13"/>
      <c r="B1273" s="21" t="str">
        <f>HYPERLINK("http://china-parts.in.ua/p503895184-podshipnik-osi-balansira.html","WG9114520042-CK")</f>
        <v>WG9114520042-CK</v>
      </c>
      <c r="C1273" s="16" t="s">
        <v>1395</v>
      </c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</row>
    <row r="1274" ht="11.25" customHeight="1">
      <c r="A1274" s="13"/>
      <c r="B1274" s="21" t="str">
        <f>HYPERLINK("http://china-parts.in.ua/p503895184-podshipnik-osi-balansira.html","WG9114520042-LEO")</f>
        <v>WG9114520042-LEO</v>
      </c>
      <c r="C1274" s="16" t="s">
        <v>1396</v>
      </c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</row>
    <row r="1275" ht="11.25" customHeight="1">
      <c r="A1275" s="13"/>
      <c r="B1275" s="22" t="str">
        <f>HYPERLINK("http://china-parts.in.ua/p304822005-zazhim-stabilizatora-howo.html","1880680027")</f>
        <v>1880680027</v>
      </c>
      <c r="C1275" s="16" t="s">
        <v>1397</v>
      </c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</row>
    <row r="1276" ht="11.25" customHeight="1">
      <c r="A1276" s="13"/>
      <c r="B1276" s="16" t="s">
        <v>1398</v>
      </c>
      <c r="C1276" s="16" t="s">
        <v>1399</v>
      </c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</row>
    <row r="1277" ht="11.25" customHeight="1">
      <c r="A1277" s="13"/>
      <c r="B1277" s="21" t="str">
        <f>HYPERLINK("http://china-parts.in.ua/p304822009-koltso-balansira-howo.html","AZ9114520222\99114520222")</f>
        <v>AZ9114520222\99114520222</v>
      </c>
      <c r="C1277" s="16" t="s">
        <v>1399</v>
      </c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</row>
    <row r="1278" ht="11.25" customHeight="1">
      <c r="A1278" s="13"/>
      <c r="B1278" s="23">
        <v>9.9114520222E10</v>
      </c>
      <c r="C1278" s="16" t="s">
        <v>1400</v>
      </c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</row>
    <row r="1279" ht="11.25" customHeight="1">
      <c r="A1279" s="13"/>
      <c r="B1279" s="16" t="s">
        <v>1401</v>
      </c>
      <c r="C1279" s="16" t="s">
        <v>1402</v>
      </c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</row>
    <row r="1280" ht="11.25" customHeight="1">
      <c r="A1280" s="13"/>
      <c r="B1280" s="16" t="s">
        <v>1403</v>
      </c>
      <c r="C1280" s="16" t="s">
        <v>1404</v>
      </c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</row>
    <row r="1281" ht="11.25" customHeight="1">
      <c r="A1281" s="13"/>
      <c r="B1281" s="16" t="s">
        <v>1405</v>
      </c>
      <c r="C1281" s="16" t="s">
        <v>1406</v>
      </c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</row>
    <row r="1282" ht="11.25" customHeight="1">
      <c r="A1282" s="13"/>
      <c r="B1282" s="21" t="str">
        <f>HYPERLINK("http://china-parts.in.ua/p75032883-reaktivnaya-obraznaya-tyaga.html","AZ9725523272-1")</f>
        <v>AZ9725523272-1</v>
      </c>
      <c r="C1282" s="16" t="s">
        <v>1407</v>
      </c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</row>
    <row r="1283" ht="11.25" customHeight="1">
      <c r="A1283" s="13"/>
      <c r="B1283" s="21" t="str">
        <f>HYPERLINK("http://china-parts.in.ua/p75032888-remkomplekt-balansira-199100360736.html","199100360736-H9")</f>
        <v>199100360736-H9</v>
      </c>
      <c r="C1283" s="16" t="s">
        <v>1408</v>
      </c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</row>
    <row r="1284" ht="11.25" customHeight="1">
      <c r="A1284" s="13"/>
      <c r="B1284" s="22" t="str">
        <f>HYPERLINK("http://china-parts.in.ua/p304822108-sajlentblok-howo-99014520865.html","99014520865")</f>
        <v>99014520865</v>
      </c>
      <c r="C1284" s="16" t="s">
        <v>1409</v>
      </c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</row>
    <row r="1285" ht="11.25" customHeight="1">
      <c r="A1285" s="13"/>
      <c r="B1285" s="21" t="str">
        <f>HYPERLINK("http://china-parts.in.ua/p75032887-remkomplekt-obraznoj-tyagi.html","199100360736-H8")</f>
        <v>199100360736-H8</v>
      </c>
      <c r="C1285" s="16" t="s">
        <v>1410</v>
      </c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</row>
    <row r="1286" ht="11.25" customHeight="1">
      <c r="A1286" s="13"/>
      <c r="B1286" s="21" t="str">
        <f>HYPERLINK("http://china-parts.in.ua/p304822080-remkompekt-tyagi-reaktivnoj.html","AZ9725521272-1")</f>
        <v>AZ9725521272-1</v>
      </c>
      <c r="C1286" s="16" t="s">
        <v>1411</v>
      </c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</row>
    <row r="1287" ht="11.25" customHeight="1">
      <c r="A1287" s="13"/>
      <c r="B1287" s="21" t="str">
        <f>HYPERLINK("http://china-parts.in.ua/p304822081-remkompekt-tyagi-reaktivnoj.html","AZ9725529272-3")</f>
        <v>AZ9725529272-3</v>
      </c>
      <c r="C1287" s="16" t="s">
        <v>1412</v>
      </c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</row>
    <row r="1288" ht="11.25" customHeight="1">
      <c r="A1288" s="13"/>
      <c r="B1288" s="21" t="str">
        <f>HYPERLINK("http://china-parts.in.ua/p304822038-list-korennoj-ressory.html","WG9725520284")</f>
        <v>WG9725520284</v>
      </c>
      <c r="C1288" s="16" t="s">
        <v>1413</v>
      </c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</row>
    <row r="1289" ht="11.25" customHeight="1">
      <c r="A1289" s="13"/>
      <c r="B1289" s="21" t="str">
        <f>HYPERLINK("http://china-parts.in.ua/p304822035-list-korennoj-ressory.html","WG9232520028")</f>
        <v>WG9232520028</v>
      </c>
      <c r="C1289" s="16" t="s">
        <v>1414</v>
      </c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</row>
    <row r="1290" ht="11.25" customHeight="1">
      <c r="A1290" s="13"/>
      <c r="B1290" s="21" t="str">
        <f>HYPERLINK("http://china-parts.in.ua/p304822040-list-korennoj-ressory.html","WG9638520008")</f>
        <v>WG9638520008</v>
      </c>
      <c r="C1290" s="16" t="s">
        <v>1415</v>
      </c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</row>
    <row r="1291" ht="11.25" customHeight="1">
      <c r="A1291" s="13"/>
      <c r="B1291" s="21" t="str">
        <f>HYPERLINK("http://china-parts.in.ua/p75032837-list-ressory-perednej.html","WG9725520072/73")</f>
        <v>WG9725520072/73</v>
      </c>
      <c r="C1291" s="16" t="s">
        <v>1416</v>
      </c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</row>
    <row r="1292" ht="11.25" customHeight="1">
      <c r="A1292" s="13"/>
      <c r="B1292" s="16" t="s">
        <v>1417</v>
      </c>
      <c r="C1292" s="16" t="s">
        <v>1418</v>
      </c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</row>
    <row r="1293" ht="11.25" customHeight="1">
      <c r="A1293" s="13"/>
      <c r="B1293" s="21" t="str">
        <f>HYPERLINK("http://china-parts.in.ua/p75032837-list-ressory-perednej.html","WG9725520072")</f>
        <v>WG9725520072</v>
      </c>
      <c r="C1293" s="16" t="s">
        <v>1419</v>
      </c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</row>
    <row r="1294" ht="11.25" customHeight="1">
      <c r="A1294" s="13"/>
      <c r="B1294" s="21" t="str">
        <f>HYPERLINK("http://china-parts.in.ua/p304822051-list-korennoj-ressory.html","WG9232520025/6")</f>
        <v>WG9232520025/6</v>
      </c>
      <c r="C1294" s="16" t="s">
        <v>1420</v>
      </c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</row>
    <row r="1295" ht="11.25" customHeight="1">
      <c r="A1295" s="13"/>
      <c r="B1295" s="21" t="str">
        <f>HYPERLINK("http://china-parts.in.ua/p304822091-ressora-perednyaya-sbore.html","WG9725522007/4")</f>
        <v>WG9725522007/4</v>
      </c>
      <c r="C1295" s="16" t="s">
        <v>1421</v>
      </c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</row>
    <row r="1296" ht="11.25" customHeight="1">
      <c r="A1296" s="13"/>
      <c r="B1296" s="21" t="str">
        <f>HYPERLINK("http://china-parts.in.ua/p75032897-sajlenblok-uzkij-az9631523175.html","AZ9631523175-JX")</f>
        <v>AZ9631523175-JX</v>
      </c>
      <c r="C1296" s="16" t="s">
        <v>1422</v>
      </c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</row>
    <row r="1297" ht="11.25" customHeight="1">
      <c r="A1297" s="13"/>
      <c r="B1297" s="21" t="str">
        <f>HYPERLINK("http://china-parts.in.ua/p503896167-sajlenblok-tyagu-zadnej.html","AZ9631523175-JX-1")</f>
        <v>AZ9631523175-JX-1</v>
      </c>
      <c r="C1297" s="16" t="s">
        <v>1423</v>
      </c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</row>
    <row r="1298" ht="11.25" customHeight="1">
      <c r="A1298" s="13"/>
      <c r="B1298" s="21" t="str">
        <f>HYPERLINK("http://china-parts.in.ua/p304822105-sajlentblok-howo-az9631523175001.html","AZ9631523175+001")</f>
        <v>AZ9631523175+001</v>
      </c>
      <c r="C1298" s="16" t="s">
        <v>1424</v>
      </c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</row>
    <row r="1299" ht="11.25" customHeight="1">
      <c r="A1299" s="13"/>
      <c r="B1299" s="21" t="str">
        <f>HYPERLINK("http://china-parts.in.ua/p304822107-sajlentblok-howo-az9725529272.html","AZ9725529272-2")</f>
        <v>AZ9725529272-2</v>
      </c>
      <c r="C1299" s="16" t="s">
        <v>1425</v>
      </c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</row>
    <row r="1300" ht="11.25" customHeight="1">
      <c r="A1300" s="13"/>
      <c r="B1300" s="21" t="str">
        <f>HYPERLINK("http://china-parts.in.ua/p75032897-sajlenblok-uzkij-az9631523175.html","AZ9725521272-jx")</f>
        <v>AZ9725521272-jx</v>
      </c>
      <c r="C1300" s="16" t="s">
        <v>1426</v>
      </c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</row>
    <row r="1301" ht="11.25" customHeight="1">
      <c r="A1301" s="13"/>
      <c r="B1301" s="21" t="str">
        <f>HYPERLINK("http://china-parts.in.ua/p304822080-remkompekt-tyagi-reaktivnoj.html","AZ9725521272-н")</f>
        <v>AZ9725521272-н</v>
      </c>
      <c r="C1301" s="16" t="s">
        <v>1427</v>
      </c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</row>
    <row r="1302" ht="11.25" customHeight="1">
      <c r="A1302" s="13"/>
      <c r="B1302" s="21" t="str">
        <f>HYPERLINK("http://china-parts.in.ua/p304822080-remkompekt-tyagi-reaktivnoj.html","AZ9725521272")</f>
        <v>AZ9725521272</v>
      </c>
      <c r="C1302" s="16" t="s">
        <v>1428</v>
      </c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</row>
    <row r="1303" ht="11.25" customHeight="1">
      <c r="A1303" s="13"/>
      <c r="B1303" s="21" t="str">
        <f>HYPERLINK("http://china-parts.in.ua/p304822113-sajlentblok-tyagi-reaktivnoj.html","AZ9631521175-JX")</f>
        <v>AZ9631521175-JX</v>
      </c>
      <c r="C1303" s="16" t="s">
        <v>1429</v>
      </c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</row>
    <row r="1304" ht="11.25" customHeight="1">
      <c r="A1304" s="13"/>
      <c r="B1304" s="21" t="str">
        <f>HYPERLINK("http://china-parts.in.ua/p503897556-salenblok-obraznoj-tyagi.html","AZ9725521272-jx-CK")</f>
        <v>AZ9725521272-jx-CK</v>
      </c>
      <c r="C1304" s="16" t="s">
        <v>1430</v>
      </c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</row>
    <row r="1305" ht="11.25" customHeight="1">
      <c r="A1305" s="13"/>
      <c r="B1305" s="16" t="s">
        <v>1431</v>
      </c>
      <c r="C1305" s="16" t="s">
        <v>1432</v>
      </c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</row>
    <row r="1306" ht="11.25" customHeight="1">
      <c r="A1306" s="13"/>
      <c r="B1306" s="16" t="s">
        <v>1433</v>
      </c>
      <c r="C1306" s="16" t="s">
        <v>1434</v>
      </c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</row>
    <row r="1307" ht="11.25" customHeight="1">
      <c r="A1307" s="13"/>
      <c r="B1307" s="21" t="str">
        <f>HYPERLINK("http://china-parts.in.ua/p75032884-reaktivnaya-tyaga-verhnyaya.html","AZ9631523175-LEO")</f>
        <v>AZ9631523175-LEO</v>
      </c>
      <c r="C1307" s="16" t="s">
        <v>1435</v>
      </c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</row>
    <row r="1308" ht="11.25" customHeight="1">
      <c r="A1308" s="13"/>
      <c r="B1308" s="21" t="str">
        <f>HYPERLINK("http://china-parts.in.ua/p304822132-tyaga-reaktivnaya-verhnyaya.html","AZ9114521175-CK")</f>
        <v>AZ9114521175-CK</v>
      </c>
      <c r="C1308" s="16" t="s">
        <v>1436</v>
      </c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</row>
    <row r="1309" ht="11.25" customHeight="1">
      <c r="A1309" s="13"/>
      <c r="B1309" s="21" t="str">
        <f>HYPERLINK("http://china-parts.in.ua/p75032897-sajlenblok-uzkij-az9631523175.html","AZ9631523175-jx-CK")</f>
        <v>AZ9631523175-jx-CK</v>
      </c>
      <c r="C1309" s="16" t="s">
        <v>1437</v>
      </c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</row>
    <row r="1310" ht="11.25" customHeight="1">
      <c r="A1310" s="13"/>
      <c r="B1310" s="21" t="str">
        <f>HYPERLINK("http://china-parts.in.ua/p304822110-sajlentblok-tyagi-reaktivnoj.html","AZ9114521175-80-1")</f>
        <v>AZ9114521175-80-1</v>
      </c>
      <c r="C1310" s="16" t="s">
        <v>1438</v>
      </c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</row>
    <row r="1311" ht="11.25" customHeight="1">
      <c r="A1311" s="13"/>
      <c r="B1311" s="22" t="str">
        <f>HYPERLINK("http://china-parts.in.ua/p75032898-sajlenblok-stabilzatora-zadnij.html","1780680035")</f>
        <v>1780680035</v>
      </c>
      <c r="C1311" s="16" t="s">
        <v>1439</v>
      </c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</row>
    <row r="1312" ht="11.25" customHeight="1">
      <c r="A1312" s="13"/>
      <c r="B1312" s="21" t="str">
        <f>HYPERLINK("http://china-parts.in.ua/p75032898-sajlenblok-stabilzatora-zadnij.html","1780680035-CK")</f>
        <v>1780680035-CK</v>
      </c>
      <c r="C1312" s="16" t="s">
        <v>1440</v>
      </c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</row>
    <row r="1313" ht="11.25" customHeight="1">
      <c r="A1313" s="13"/>
      <c r="B1313" s="22" t="str">
        <f>HYPERLINK("http://china-parts.in.ua/p75032899-sajlenblok-stabilizatora-perednij.html","99100680052")</f>
        <v>99100680052</v>
      </c>
      <c r="C1313" s="16" t="s">
        <v>1441</v>
      </c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</row>
    <row r="1314" ht="11.25" customHeight="1">
      <c r="A1314" s="13"/>
      <c r="B1314" s="21" t="str">
        <f>HYPERLINK("http://china-parts.in.ua/p503896541-vtulka-rychaga-torsiona.html","81.96210.0437A-1-CK")</f>
        <v>81.96210.0437A-1-CK</v>
      </c>
      <c r="C1314" s="16" t="s">
        <v>1442</v>
      </c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</row>
    <row r="1315" ht="11.25" customHeight="1">
      <c r="A1315" s="13"/>
      <c r="B1315" s="21" t="str">
        <f>HYPERLINK("http://china-parts.in.ua/p75032902-salnik-osi-balansira.html","AZ9114520223")</f>
        <v>AZ9114520223</v>
      </c>
      <c r="C1315" s="16" t="s">
        <v>1443</v>
      </c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</row>
    <row r="1316" ht="11.25" customHeight="1">
      <c r="A1316" s="13"/>
      <c r="B1316" s="21" t="str">
        <f>HYPERLINK("http://china-parts.in.ua/p75032902-salnik-osi-balansira.html","WG9114520223-CK")</f>
        <v>WG9114520223-CK</v>
      </c>
      <c r="C1316" s="16" t="s">
        <v>1444</v>
      </c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</row>
    <row r="1317" ht="11.25" customHeight="1">
      <c r="A1317" s="13"/>
      <c r="B1317" s="21" t="str">
        <f>HYPERLINK("http://china-parts.in.ua/p75032902-salnik-osi-balansira.html","AZ9114520223\SX99114520223")</f>
        <v>AZ9114520223\SX99114520223</v>
      </c>
      <c r="C1317" s="16" t="s">
        <v>1445</v>
      </c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</row>
    <row r="1318" ht="11.25" customHeight="1">
      <c r="A1318" s="13"/>
      <c r="B1318" s="21" t="str">
        <f>HYPERLINK("http://china-parts.in.ua/p75032902-salnik-osi-balansira.html","SX99114520223\AZ9114520223")</f>
        <v>SX99114520223\AZ9114520223</v>
      </c>
      <c r="C1318" s="16" t="s">
        <v>1446</v>
      </c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</row>
    <row r="1319" ht="11.25" customHeight="1">
      <c r="A1319" s="13"/>
      <c r="B1319" s="21" t="str">
        <f>HYPERLINK("http://china-parts.in.ua/p304822117-serga-ressory-perednej.html","WG9100520034")</f>
        <v>WG9100520034</v>
      </c>
      <c r="C1319" s="16" t="s">
        <v>1447</v>
      </c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</row>
    <row r="1320" ht="11.25" customHeight="1">
      <c r="A1320" s="13"/>
      <c r="B1320" s="21" t="str">
        <f>HYPERLINK("http://china-parts.in.ua/p304822116-serga-ressory-zadnej.html","WG9100520018")</f>
        <v>WG9100520018</v>
      </c>
      <c r="C1320" s="16" t="s">
        <v>1448</v>
      </c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</row>
    <row r="1321" ht="11.25" customHeight="1">
      <c r="A1321" s="13"/>
      <c r="B1321" s="21" t="str">
        <f>HYPERLINK("http://china-parts.in.ua/p304822014-kreplenie-stabilizatora-poperechnoj.html","WG9719680011")</f>
        <v>WG9719680011</v>
      </c>
      <c r="C1321" s="16" t="s">
        <v>1449</v>
      </c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</row>
    <row r="1322" ht="11.25" customHeight="1">
      <c r="A1322" s="13"/>
      <c r="B1322" s="21" t="str">
        <f>HYPERLINK("http://china-parts.in.ua/p304822118-stabilizator-zadnij-sbore.html","AZ9719680006")</f>
        <v>AZ9719680006</v>
      </c>
      <c r="C1322" s="16" t="s">
        <v>1450</v>
      </c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</row>
    <row r="1323" ht="11.25" customHeight="1">
      <c r="A1323" s="13"/>
      <c r="B1323" s="21" t="str">
        <f>HYPERLINK("http://china-parts.in.ua/p503897560-stabilizator-poperechnoj-ustojchivosti.html","WG9719680006")</f>
        <v>WG9719680006</v>
      </c>
      <c r="C1323" s="16" t="s">
        <v>1451</v>
      </c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</row>
    <row r="1324" ht="11.25" customHeight="1">
      <c r="A1324" s="13"/>
      <c r="B1324" s="21" t="str">
        <f>HYPERLINK("http://china-parts.in.ua/p304822119-stabilizator-poperechnoj-ustojchivosti.html","AZ9719680003")</f>
        <v>AZ9719680003</v>
      </c>
      <c r="C1324" s="16" t="s">
        <v>1452</v>
      </c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</row>
    <row r="1325" ht="11.25" customHeight="1">
      <c r="A1325" s="13"/>
      <c r="B1325" s="21" t="str">
        <f>HYPERLINK("http://china-parts.in.ua/p503897584-stremyanka-zadnej-ressory.html","AZ9725520055-500mm")</f>
        <v>AZ9725520055-500mm</v>
      </c>
      <c r="C1325" s="16" t="s">
        <v>1453</v>
      </c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</row>
    <row r="1326" ht="11.25" customHeight="1">
      <c r="A1326" s="13"/>
      <c r="B1326" s="21" t="str">
        <f>HYPERLINK("http://china-parts.in.ua/p75032915-stremyanka-zadnyaya-500mm.html","AZ9112520312")</f>
        <v>AZ9112520312</v>
      </c>
      <c r="C1326" s="16" t="s">
        <v>1454</v>
      </c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</row>
    <row r="1327" ht="11.25" customHeight="1">
      <c r="A1327" s="13"/>
      <c r="B1327" s="21" t="str">
        <f>HYPERLINK("http://china-parts.in.ua/p304822122-stremyanka-ressory-zadnej.html","AZ9925520268")</f>
        <v>AZ9925520268</v>
      </c>
      <c r="C1327" s="16" t="s">
        <v>1455</v>
      </c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</row>
    <row r="1328" ht="11.25" customHeight="1">
      <c r="A1328" s="13"/>
      <c r="B1328" s="21" t="str">
        <f>HYPERLINK("http://china-parts.in.ua/p304822121-stremyanka-ressory-zadnej.html","AZ9725520037")</f>
        <v>AZ9725520037</v>
      </c>
      <c r="C1328" s="16" t="s">
        <v>1456</v>
      </c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</row>
    <row r="1329" ht="11.25" customHeight="1">
      <c r="A1329" s="13"/>
      <c r="B1329" s="21" t="str">
        <f>HYPERLINK("http://china-parts.in.ua/p503897584-stremyanka-zadnej-ressory.html","AZ9725520055-550mm")</f>
        <v>AZ9725520055-550mm</v>
      </c>
      <c r="C1329" s="16" t="s">
        <v>1457</v>
      </c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</row>
    <row r="1330" ht="11.25" customHeight="1">
      <c r="A1330" s="13"/>
      <c r="B1330" s="21" t="str">
        <f>HYPERLINK("http://china-parts.in.ua/p75032916-stremyanka-zadnyaya-520mm.html","AZ9725520055")</f>
        <v>AZ9725520055</v>
      </c>
      <c r="C1330" s="16" t="s">
        <v>1458</v>
      </c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</row>
    <row r="1331" ht="11.25" customHeight="1">
      <c r="A1331" s="13"/>
      <c r="B1331" s="16" t="s">
        <v>1459</v>
      </c>
      <c r="C1331" s="16" t="s">
        <v>1460</v>
      </c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</row>
    <row r="1332" ht="11.25" customHeight="1">
      <c r="A1332" s="13"/>
      <c r="B1332" s="22" t="str">
        <f>HYPERLINK("http://china-parts.in.ua/p75032917-stremyanka-perednyaya-199000520086.html","199000520086")</f>
        <v>199000520086</v>
      </c>
      <c r="C1332" s="16" t="s">
        <v>1461</v>
      </c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</row>
    <row r="1333" ht="11.25" customHeight="1">
      <c r="A1333" s="13"/>
      <c r="B1333" s="21" t="str">
        <f>HYPERLINK("http://china-parts.in.ua/p75032897-sajlenblok-uzkij-az9631523175.html","AZ9631523175")</f>
        <v>AZ9631523175</v>
      </c>
      <c r="C1333" s="16" t="s">
        <v>1462</v>
      </c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</row>
    <row r="1334" ht="11.25" customHeight="1">
      <c r="A1334" s="13"/>
      <c r="B1334" s="22" t="str">
        <f>HYPERLINK("http://china-parts.in.ua/p75032885-reaktivnaya-tyaga-kosymi.html","99014520175")</f>
        <v>99014520175</v>
      </c>
      <c r="C1334" s="16" t="s">
        <v>1463</v>
      </c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</row>
    <row r="1335" ht="11.25" customHeight="1">
      <c r="A1335" s="13"/>
      <c r="B1335" s="21" t="str">
        <f>HYPERLINK("http://china-parts.in.ua/p75032883-reaktivnaya-obraznaya-tyaga.html","AZ9725523272")</f>
        <v>AZ9725523272</v>
      </c>
      <c r="C1335" s="16" t="s">
        <v>1464</v>
      </c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</row>
    <row r="1336" ht="11.25" customHeight="1">
      <c r="A1336" s="13"/>
      <c r="B1336" s="21" t="str">
        <f>HYPERLINK("http://china-parts.in.ua/p304822081-remkompekt-tyagi-reaktivnoj.html","AZ9725529272")</f>
        <v>AZ9725529272</v>
      </c>
      <c r="C1336" s="16" t="s">
        <v>1465</v>
      </c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</row>
    <row r="1337" ht="11.25" customHeight="1">
      <c r="A1337" s="13"/>
      <c r="B1337" s="21" t="str">
        <f>HYPERLINK("http://china-parts.in.ua/p304822106-sajlentblok-howo-az9631521175.html","AZ9631521175")</f>
        <v>AZ9631521175</v>
      </c>
      <c r="C1337" s="16" t="s">
        <v>1466</v>
      </c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</row>
    <row r="1338" ht="11.25" customHeight="1">
      <c r="A1338" s="13"/>
      <c r="B1338" s="21" t="str">
        <f>HYPERLINK("http://china-parts.in.ua/p304822130-tyaga-reaktivnaya-verhnyaya.html","WG9114521175")</f>
        <v>WG9114521175</v>
      </c>
      <c r="C1338" s="16" t="s">
        <v>1467</v>
      </c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</row>
    <row r="1339" ht="11.25" customHeight="1">
      <c r="A1339" s="13"/>
      <c r="B1339" s="16" t="s">
        <v>1468</v>
      </c>
      <c r="C1339" s="16" t="s">
        <v>1469</v>
      </c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</row>
    <row r="1340" ht="11.25" customHeight="1">
      <c r="A1340" s="13"/>
      <c r="B1340" s="21" t="str">
        <f>HYPERLINK("http://china-parts.in.ua/p304822134-tyaga-reaktivnaya-nizhnyaya.html","WG9114521174")</f>
        <v>WG9114521174</v>
      </c>
      <c r="C1340" s="16" t="s">
        <v>1470</v>
      </c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</row>
    <row r="1341" ht="11.25" customHeight="1">
      <c r="A1341" s="13"/>
      <c r="B1341" s="22" t="str">
        <f t="shared" ref="B1341:B1342" si="2">HYPERLINK("http://china-parts.in.ua/p75032940-flyanets-most-f165.html","199012320110")</f>
        <v>199012320110</v>
      </c>
      <c r="C1341" s="16" t="s">
        <v>1471</v>
      </c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</row>
    <row r="1342" ht="11.25" customHeight="1">
      <c r="A1342" s="13"/>
      <c r="B1342" s="22" t="str">
        <f t="shared" si="2"/>
        <v>199012320110</v>
      </c>
      <c r="C1342" s="16" t="s">
        <v>1471</v>
      </c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</row>
    <row r="1343" ht="11.25" customHeight="1">
      <c r="A1343" s="13"/>
      <c r="B1343" s="22" t="str">
        <f t="shared" ref="B1343:B1344" si="3">HYPERLINK("http://china-parts.in.ua/p75032942-flyanets-most-f180.html","190014320261")</f>
        <v>190014320261</v>
      </c>
      <c r="C1343" s="16" t="s">
        <v>1472</v>
      </c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</row>
    <row r="1344" ht="11.25" customHeight="1">
      <c r="A1344" s="13"/>
      <c r="B1344" s="22" t="str">
        <f t="shared" si="3"/>
        <v>190014320261</v>
      </c>
      <c r="C1344" s="16" t="s">
        <v>1472</v>
      </c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</row>
    <row r="1345" ht="11.25" customHeight="1">
      <c r="A1345" s="13"/>
      <c r="B1345" s="22" t="str">
        <f>HYPERLINK("http://china-parts.in.ua/p304822138-shajba-stopornaya-podshipnika.html","199014520265")</f>
        <v>199014520265</v>
      </c>
      <c r="C1345" s="16" t="s">
        <v>1473</v>
      </c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</row>
    <row r="1346" ht="11.25" customHeight="1">
      <c r="A1346" s="13"/>
      <c r="B1346" s="16" t="s">
        <v>1474</v>
      </c>
      <c r="C1346" s="16" t="s">
        <v>1475</v>
      </c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</row>
    <row r="1347" ht="11.25" customHeight="1">
      <c r="A1347" s="13"/>
      <c r="B1347" s="21" t="str">
        <f>HYPERLINK("http://china-parts.in.ua/p503895433-shkvoren-remkomplekt-howo.html","AZ9100413045-KIT")</f>
        <v>AZ9100413045-KIT</v>
      </c>
      <c r="C1347" s="16" t="s">
        <v>1476</v>
      </c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</row>
    <row r="1348" ht="11.25" customHeight="1">
      <c r="A1348" s="13"/>
      <c r="B1348" s="23">
        <v>5487.0</v>
      </c>
      <c r="C1348" s="16" t="s">
        <v>1477</v>
      </c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</row>
    <row r="1349" ht="11.25" customHeight="1">
      <c r="A1349" s="13"/>
      <c r="B1349" s="22" t="str">
        <f>HYPERLINK("http://china-parts.in.ua/p304822139-shpilka-krepleniya-tyagi.html","199014520227")</f>
        <v>199014520227</v>
      </c>
      <c r="C1349" s="16" t="s">
        <v>1478</v>
      </c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</row>
    <row r="1350" ht="11.25" customHeight="1">
      <c r="A1350" s="13"/>
      <c r="B1350" s="21" t="str">
        <f>HYPERLINK("http://china-parts.in.ua/p304822125-tyaga-reaktivnaya-obraznaya.html","AZ9725526272")</f>
        <v>AZ9725526272</v>
      </c>
      <c r="C1350" s="16" t="s">
        <v>1479</v>
      </c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</row>
    <row r="1351" ht="11.25" customHeight="1">
      <c r="A1351" s="1"/>
      <c r="B1351" s="16"/>
      <c r="C1351" s="17" t="s">
        <v>1480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ht="11.25" customHeight="1">
      <c r="A1352" s="13"/>
      <c r="B1352" s="21" t="str">
        <f>HYPERLINK("http://china-parts.in.ua/p304821963-amortizator-poperechnyj-howo.html","WG9114470106")</f>
        <v>WG9114470106</v>
      </c>
      <c r="C1352" s="16" t="s">
        <v>1481</v>
      </c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</row>
    <row r="1353" ht="11.25" customHeight="1">
      <c r="A1353" s="13"/>
      <c r="B1353" s="21" t="str">
        <f>HYPERLINK("http://china-parts.in.ua/p304821715-bachok-rulevogo-mehanizma.html","WG9100470252/1")</f>
        <v>WG9100470252/1</v>
      </c>
      <c r="C1353" s="16" t="s">
        <v>1482</v>
      </c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</row>
    <row r="1354" ht="11.25" customHeight="1">
      <c r="A1354" s="13"/>
      <c r="B1354" s="21" t="str">
        <f>HYPERLINK("http://china-parts.in.ua/p304821714-bachok-rulevogo-mehanizma.html","WG9719470033")</f>
        <v>WG9719470033</v>
      </c>
      <c r="C1354" s="16" t="s">
        <v>1483</v>
      </c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</row>
    <row r="1355" ht="11.25" customHeight="1">
      <c r="A1355" s="13"/>
      <c r="B1355" s="21" t="str">
        <f>HYPERLINK("http://china-parts.in.ua/p304821716-bachok-rulevogo-mehanizma.html","WG9725470060/1")</f>
        <v>WG9725470060/1</v>
      </c>
      <c r="C1355" s="16" t="s">
        <v>1484</v>
      </c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</row>
    <row r="1356" ht="11.25" customHeight="1">
      <c r="A1356" s="13"/>
      <c r="B1356" s="22" t="str">
        <f>HYPERLINK("http://china-parts.in.ua/p75032790-vtulka-shkvornya-verhnyaya.html","1880410035")</f>
        <v>1880410035</v>
      </c>
      <c r="C1356" s="16" t="s">
        <v>1485</v>
      </c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</row>
    <row r="1357" ht="11.25" customHeight="1">
      <c r="A1357" s="13"/>
      <c r="B1357" s="21" t="str">
        <f>HYPERLINK("http://china-parts.in.ua/p75032790-vtulka-shkvornya-verhnyaya.html","1880410035-CK")</f>
        <v>1880410035-CK</v>
      </c>
      <c r="C1357" s="16" t="s">
        <v>1486</v>
      </c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</row>
    <row r="1358" ht="11.25" customHeight="1">
      <c r="A1358" s="13"/>
      <c r="B1358" s="22" t="str">
        <f>HYPERLINK("http://china-parts.in.ua/p75032791-vtulka-shkvornya-nizhnyaya.html","1880410029")</f>
        <v>1880410029</v>
      </c>
      <c r="C1358" s="16" t="s">
        <v>1487</v>
      </c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</row>
    <row r="1359" ht="11.25" customHeight="1">
      <c r="A1359" s="13"/>
      <c r="B1359" s="21" t="str">
        <f>HYPERLINK("http://china-parts.in.ua/p75032791-vtulka-shkvornya-nizhnyaya.html","1880410029-CK")</f>
        <v>1880410029-CK</v>
      </c>
      <c r="C1359" s="16" t="s">
        <v>1488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</row>
    <row r="1360" ht="11.25" customHeight="1">
      <c r="A1360" s="13"/>
      <c r="B1360" s="21" t="str">
        <f>HYPERLINK("http://china-parts.in.ua/p304821729-az9100470225zf8095gidrousilitel-rulya-mehanizm.html","AZ9100470225")</f>
        <v>AZ9100470225</v>
      </c>
      <c r="C1360" s="16" t="s">
        <v>1489</v>
      </c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</row>
    <row r="1361" ht="11.25" customHeight="1">
      <c r="A1361" s="13"/>
      <c r="B1361" s="21" t="str">
        <f>HYPERLINK("http://china-parts.in.ua/p304821730-az9719470228zf8098gidrousilitel-rulya-mehanizm.html","AZ9719470228")</f>
        <v>AZ9719470228</v>
      </c>
      <c r="C1361" s="16" t="s">
        <v>1490</v>
      </c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</row>
    <row r="1362" ht="11.25" customHeight="1">
      <c r="A1362" s="13"/>
      <c r="B1362" s="21" t="str">
        <f>HYPERLINK("http://china-parts.in.ua/p75032795-gidrotsilindr-povorota-osi.html","WG9731470070")</f>
        <v>WG9731470070</v>
      </c>
      <c r="C1362" s="16" t="s">
        <v>1491</v>
      </c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</row>
    <row r="1363" ht="11.25" customHeight="1">
      <c r="A1363" s="13"/>
      <c r="B1363" s="21" t="str">
        <f>HYPERLINK("http://china-parts.in.ua/p304821720-gidrotsilindr-povorota-kolesa.html","WG9014470070")</f>
        <v>WG9014470070</v>
      </c>
      <c r="C1363" s="16" t="s">
        <v>1492</v>
      </c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</row>
    <row r="1364" ht="11.25" customHeight="1">
      <c r="A1364" s="13"/>
      <c r="B1364" s="21" t="str">
        <f>HYPERLINK("http://china-parts.in.ua/p304821722-koltso-rulevogo-mehanizma.html","WG9130593018")</f>
        <v>WG9130593018</v>
      </c>
      <c r="C1364" s="16" t="s">
        <v>1493</v>
      </c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</row>
    <row r="1365" ht="11.25" customHeight="1">
      <c r="A1365" s="13"/>
      <c r="B1365" s="22" t="str">
        <f>HYPERLINK("http://china-parts.in.ua/p304822012-koltso-uplotnitelnoe-howo.html","1880410052")</f>
        <v>1880410052</v>
      </c>
      <c r="C1365" s="16" t="s">
        <v>1494</v>
      </c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</row>
    <row r="1366" ht="11.25" customHeight="1">
      <c r="A1366" s="13"/>
      <c r="B1366" s="21" t="str">
        <f>HYPERLINK("http://china-parts.in.ua/p304821726-kronshtejn-rulevogo-mehanizma.html","AZ9725470295")</f>
        <v>AZ9725470295</v>
      </c>
      <c r="C1366" s="16" t="s">
        <v>1495</v>
      </c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</row>
    <row r="1367" ht="11.25" customHeight="1">
      <c r="A1367" s="13"/>
      <c r="B1367" s="21" t="str">
        <f>HYPERLINK("http://china-parts.in.ua/p304821725-kronshtejn-rulevogo-mehanizma.html","AZ9731470020")</f>
        <v>AZ9731470020</v>
      </c>
      <c r="C1367" s="16" t="s">
        <v>1496</v>
      </c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</row>
    <row r="1368" ht="11.25" customHeight="1">
      <c r="A1368" s="13"/>
      <c r="B1368" s="21" t="str">
        <f>HYPERLINK("http://china-parts.in.ua/p304821937-kronshtejn-shkvornya-levyj.html","AZ9100410032")</f>
        <v>AZ9100410032</v>
      </c>
      <c r="C1368" s="16" t="s">
        <v>1497</v>
      </c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</row>
    <row r="1369" ht="11.25" customHeight="1">
      <c r="A1369" s="13"/>
      <c r="B1369" s="21" t="str">
        <f>HYPERLINK("http://china-parts.in.ua/p304821938-kronshtejn-shkvornya-pravyj.html","AZ9100410036")</f>
        <v>AZ9100410036</v>
      </c>
      <c r="C1369" s="16" t="s">
        <v>1498</v>
      </c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</row>
    <row r="1370" ht="11.25" customHeight="1">
      <c r="A1370" s="13"/>
      <c r="B1370" s="21" t="str">
        <f>HYPERLINK("http://china-parts.in.ua/p304821727-kryshka-rulevoj-rejki.html","AZ9719470041")</f>
        <v>AZ9719470041</v>
      </c>
      <c r="C1370" s="16" t="s">
        <v>1499</v>
      </c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</row>
    <row r="1371" ht="11.25" customHeight="1">
      <c r="A1371" s="13"/>
      <c r="B1371" s="21" t="str">
        <f>HYPERLINK("http://china-parts.in.ua/p304821728-kryshka-rulevoj-rejki.html","AZ9719470042")</f>
        <v>AZ9719470042</v>
      </c>
      <c r="C1371" s="16" t="s">
        <v>1500</v>
      </c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</row>
    <row r="1372" ht="11.25" customHeight="1">
      <c r="A1372" s="13"/>
      <c r="B1372" s="21" t="str">
        <f>HYPERLINK("http://china-parts.in.ua/p304822287-kryshka-zaschitnaya-nizhnyaya.html","WG1642160218")</f>
        <v>WG1642160218</v>
      </c>
      <c r="C1372" s="16" t="s">
        <v>1501</v>
      </c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</row>
    <row r="1373" ht="11.25" customHeight="1">
      <c r="A1373" s="13"/>
      <c r="B1373" s="16" t="s">
        <v>1502</v>
      </c>
      <c r="C1373" s="16" t="s">
        <v>1503</v>
      </c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</row>
    <row r="1374" ht="11.25" customHeight="1">
      <c r="A1374" s="13"/>
      <c r="B1374" s="21" t="str">
        <f>HYPERLINK("http://china-parts.in.ua/p304821732-nakonechnik-gidrotsilindra-povorota.html","AZ9118470024")</f>
        <v>AZ9118470024</v>
      </c>
      <c r="C1374" s="16" t="s">
        <v>1504</v>
      </c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</row>
    <row r="1375" ht="11.25" customHeight="1">
      <c r="A1375" s="13"/>
      <c r="B1375" s="21" t="str">
        <f>HYPERLINK("http://china-parts.in.ua/p304821732-nakonechnik-gidrotsilindra-povorota.html","AZ9118470024-CK")</f>
        <v>AZ9118470024-CK</v>
      </c>
      <c r="C1375" s="16" t="s">
        <v>1505</v>
      </c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</row>
    <row r="1376" ht="11.25" customHeight="1">
      <c r="A1376" s="13"/>
      <c r="B1376" s="21" t="str">
        <f>HYPERLINK("http://china-parts.in.ua/p503893982-nakonechnik-poperechnoj-rulevoj.html","TZ3303050TSLA-R-CK")</f>
        <v>TZ3303050TSLA-R-CK</v>
      </c>
      <c r="C1376" s="16" t="s">
        <v>1506</v>
      </c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</row>
    <row r="1377" ht="11.25" customHeight="1">
      <c r="A1377" s="13"/>
      <c r="B1377" s="21" t="str">
        <f>HYPERLINK("http://china-parts.in.ua/p503893967-nakonechnik-poperechnoj-rulevoj.html","TZ3303050TSLA-L-CK")</f>
        <v>TZ3303050TSLA-L-CK</v>
      </c>
      <c r="C1377" s="16" t="s">
        <v>1507</v>
      </c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</row>
    <row r="1378" ht="11.25" customHeight="1">
      <c r="A1378" s="13"/>
      <c r="B1378" s="21" t="str">
        <f>HYPERLINK("http://china-parts.in.ua/p75032846-nakonechnik-rulevoj-tyagi.html","AZ9100430218-4")</f>
        <v>AZ9100430218-4</v>
      </c>
      <c r="C1378" s="16" t="s">
        <v>1508</v>
      </c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</row>
    <row r="1379" ht="11.25" customHeight="1">
      <c r="A1379" s="13"/>
      <c r="B1379" s="23">
        <v>9.631470075E9</v>
      </c>
      <c r="C1379" s="16" t="s">
        <v>1509</v>
      </c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</row>
    <row r="1380" ht="11.25" customHeight="1">
      <c r="A1380" s="13"/>
      <c r="B1380" s="21" t="str">
        <f>HYPERLINK("http://china-parts.in.ua/p75032846-nakonechnik-rulevoj-tyagi.html","AZ9100430218-002")</f>
        <v>AZ9100430218-002</v>
      </c>
      <c r="C1380" s="16" t="s">
        <v>1510</v>
      </c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</row>
    <row r="1381" ht="11.25" customHeight="1">
      <c r="A1381" s="13"/>
      <c r="B1381" s="21" t="str">
        <f>HYPERLINK("http://china-parts.in.ua/p75032846-nakonechnik-rulevoj-tyagi.html","AZ9100430218-002 24")</f>
        <v>AZ9100430218-002 24</v>
      </c>
      <c r="C1381" s="16" t="s">
        <v>1511</v>
      </c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</row>
    <row r="1382" ht="11.25" customHeight="1">
      <c r="A1382" s="13"/>
      <c r="B1382" s="16" t="s">
        <v>1512</v>
      </c>
      <c r="C1382" s="16" t="s">
        <v>1513</v>
      </c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</row>
    <row r="1383" ht="11.25" customHeight="1">
      <c r="A1383" s="13"/>
      <c r="B1383" s="16" t="s">
        <v>1514</v>
      </c>
      <c r="C1383" s="16" t="s">
        <v>1515</v>
      </c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</row>
    <row r="1384" ht="11.25" customHeight="1">
      <c r="A1384" s="13"/>
      <c r="B1384" s="22" t="str">
        <f>HYPERLINK("http://china-parts.in.ua/p304821736-nakonechnik-tyagi-rulevoj.html","199100430701")</f>
        <v>199100430701</v>
      </c>
      <c r="C1384" s="16" t="s">
        <v>1516</v>
      </c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</row>
    <row r="1385" ht="11.25" customHeight="1">
      <c r="A1385" s="13"/>
      <c r="B1385" s="21" t="str">
        <f>HYPERLINK("http://china-parts.in.ua/p75032847-nakonechnik-rulevoj-tyagi.html","AZ9100430218-11-CK")</f>
        <v>AZ9100430218-11-CK</v>
      </c>
      <c r="C1385" s="16" t="s">
        <v>1517</v>
      </c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</row>
    <row r="1386" ht="11.25" customHeight="1">
      <c r="A1386" s="13"/>
      <c r="B1386" s="21" t="str">
        <f>HYPERLINK("http://china-parts.in.ua/p75032846-nakonechnik-rulevoj-tyagi.html","AZ9100430218-001")</f>
        <v>AZ9100430218-001</v>
      </c>
      <c r="C1386" s="16" t="s">
        <v>1518</v>
      </c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</row>
    <row r="1387" ht="11.25" customHeight="1">
      <c r="A1387" s="13"/>
      <c r="B1387" s="21" t="str">
        <f>HYPERLINK("http://china-parts.in.ua/p304813392-nakonechnik-poperechnoj-rulevoj.html","3003055-1H-CK")</f>
        <v>3003055-1H-CK</v>
      </c>
      <c r="C1387" s="16" t="s">
        <v>1519</v>
      </c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</row>
    <row r="1388" ht="11.25" customHeight="1">
      <c r="A1388" s="13"/>
      <c r="B1388" s="30" t="str">
        <f>HYPERLINK("http://china-parts.in.ua/p503895019-nakonechnik-rulevoj-tyagi.html","3303N-059-CK")</f>
        <v>3303N-059-CK</v>
      </c>
      <c r="C1388" s="16" t="s">
        <v>1520</v>
      </c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</row>
    <row r="1389" ht="11.25" customHeight="1">
      <c r="A1389" s="13"/>
      <c r="B1389" s="21" t="str">
        <f>HYPERLINK("http://china-parts.in.ua/p75032845-nakonechnik-rulevoj-tyagi.html","99100430704-CK")</f>
        <v>99100430704-CK</v>
      </c>
      <c r="C1389" s="16" t="s">
        <v>1521</v>
      </c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</row>
    <row r="1390" ht="11.25" customHeight="1">
      <c r="A1390" s="13"/>
      <c r="B1390" s="16" t="s">
        <v>1522</v>
      </c>
      <c r="C1390" s="16" t="s">
        <v>1523</v>
      </c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</row>
    <row r="1391" ht="11.25" customHeight="1">
      <c r="A1391" s="13"/>
      <c r="B1391" s="21" t="str">
        <f>HYPERLINK("http://china-parts.in.ua/p75032846-nakonechnik-rulevoj-tyagi.html","AZ9100430218-4-CK")</f>
        <v>AZ9100430218-4-CK</v>
      </c>
      <c r="C1391" s="16" t="s">
        <v>1524</v>
      </c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</row>
    <row r="1392" ht="11.25" customHeight="1">
      <c r="A1392" s="13"/>
      <c r="B1392" s="21" t="str">
        <f>HYPERLINK("http://china-parts.in.ua/p75032847-nakonechnik-rulevoj-tyagi.html","AZ9100430218-11")</f>
        <v>AZ9100430218-11</v>
      </c>
      <c r="C1392" s="16" t="s">
        <v>1525</v>
      </c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</row>
    <row r="1393" ht="11.25" customHeight="1">
      <c r="A1393" s="13"/>
      <c r="B1393" s="16" t="s">
        <v>1526</v>
      </c>
      <c r="C1393" s="16" t="s">
        <v>1527</v>
      </c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</row>
    <row r="1394" ht="11.25" customHeight="1">
      <c r="A1394" s="13"/>
      <c r="B1394" s="21" t="str">
        <f>HYPERLINK("http://china-parts.in.ua/p304813394-nakonechnik-poperechnoj-rulevoj.html","3003060-1H-CK")</f>
        <v>3003060-1H-CK</v>
      </c>
      <c r="C1394" s="16" t="s">
        <v>1528</v>
      </c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</row>
    <row r="1395" ht="11.25" customHeight="1">
      <c r="A1395" s="13"/>
      <c r="B1395" s="21" t="str">
        <f>HYPERLINK("http://china-parts.in.ua/p503895020-nakonechnik-rulevoj-tyagi.html","3303N-060-CK")</f>
        <v>3303N-060-CK</v>
      </c>
      <c r="C1395" s="16" t="s">
        <v>1529</v>
      </c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</row>
    <row r="1396" ht="11.25" customHeight="1">
      <c r="A1396" s="13"/>
      <c r="B1396" s="16" t="s">
        <v>1530</v>
      </c>
      <c r="C1396" s="16" t="s">
        <v>1531</v>
      </c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</row>
    <row r="1397" ht="11.25" customHeight="1">
      <c r="A1397" s="13"/>
      <c r="B1397" s="22" t="str">
        <f>HYPERLINK("http://china-parts.in.ua/p75032844-nakonechnik-rulevoj-tyagi.html","99100430701")</f>
        <v>99100430701</v>
      </c>
      <c r="C1397" s="16" t="s">
        <v>1532</v>
      </c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</row>
    <row r="1398" ht="11.25" customHeight="1">
      <c r="A1398" s="13"/>
      <c r="B1398" s="22" t="str">
        <f>HYPERLINK("http://china-parts.in.ua/p75032845-nakonechnik-rulevoj-tyagi.html","99100430704")</f>
        <v>99100430704</v>
      </c>
      <c r="C1398" s="16" t="s">
        <v>1533</v>
      </c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</row>
    <row r="1399" ht="11.25" customHeight="1">
      <c r="A1399" s="13"/>
      <c r="B1399" s="21" t="str">
        <f>HYPERLINK("http://china-parts.in.ua/p75032847-nakonechnik-rulevoj-tyagi.html","AZ9100430218-L")</f>
        <v>AZ9100430218-L</v>
      </c>
      <c r="C1399" s="16" t="s">
        <v>1534</v>
      </c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</row>
    <row r="1400" ht="11.25" customHeight="1">
      <c r="A1400" s="13"/>
      <c r="B1400" s="21" t="str">
        <f>HYPERLINK("http://china-parts.in.ua/p75032846-nakonechnik-rulevoj-tyagi.html","AZ9100430218-R")</f>
        <v>AZ9100430218-R</v>
      </c>
      <c r="C1400" s="16" t="s">
        <v>1535</v>
      </c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</row>
    <row r="1401" ht="11.25" customHeight="1">
      <c r="A1401" s="13"/>
      <c r="B1401" s="21" t="str">
        <f>HYPERLINK("http://china-parts.in.ua/p304821733-nakonechnik-rulevogo-gidrotsilindra.html","WG9631470050")</f>
        <v>WG9631470050</v>
      </c>
      <c r="C1401" s="16" t="s">
        <v>1536</v>
      </c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</row>
    <row r="1402" ht="11.25" customHeight="1">
      <c r="A1402" s="13"/>
      <c r="B1402" s="21" t="str">
        <f>HYPERLINK("http://china-parts.in.ua/p304821731-nakonechnik-gidrotsilindra-povorota.html","AZ9118470025")</f>
        <v>AZ9118470025</v>
      </c>
      <c r="C1402" s="16" t="s">
        <v>1537</v>
      </c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</row>
    <row r="1403" ht="11.25" customHeight="1">
      <c r="A1403" s="13"/>
      <c r="B1403" s="21" t="str">
        <f>HYPERLINK("http://china-parts.in.ua/p304821731-nakonechnik-gidrotsilindra-povorota.html","AZ9118470025-CK")</f>
        <v>AZ9118470025-CK</v>
      </c>
      <c r="C1403" s="16" t="s">
        <v>1538</v>
      </c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</row>
    <row r="1404" ht="11.25" customHeight="1">
      <c r="A1404" s="13"/>
      <c r="B1404" s="21" t="str">
        <f>HYPERLINK("http://china-parts.in.ua/p75032758-nasos-gur-wg9719470037.html","WG9719470037")</f>
        <v>WG9719470037</v>
      </c>
      <c r="C1404" s="16" t="s">
        <v>1539</v>
      </c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</row>
    <row r="1405" ht="11.25" customHeight="1">
      <c r="A1405" s="13"/>
      <c r="B1405" s="21" t="str">
        <f>HYPERLINK("http://china-parts.in.ua/p304821738-nasos-gur-gidrousilitelya.html","WG9619470080")</f>
        <v>WG9619470080</v>
      </c>
      <c r="C1405" s="16" t="s">
        <v>1540</v>
      </c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</row>
    <row r="1406" ht="11.25" customHeight="1">
      <c r="A1406" s="13"/>
      <c r="B1406" s="22" t="str">
        <f>HYPERLINK("http://china-parts.in.ua/p304821939-kulak-povorotnyj-levyj.html","199112410057")</f>
        <v>199112410057</v>
      </c>
      <c r="C1406" s="16" t="s">
        <v>1541</v>
      </c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</row>
    <row r="1407" ht="11.25" customHeight="1">
      <c r="A1407" s="13"/>
      <c r="B1407" s="22" t="str">
        <f>HYPERLINK("http://china-parts.in.ua/p304821940-kulak-povorotnyj-pravyj.html","199112410058")</f>
        <v>199112410058</v>
      </c>
      <c r="C1407" s="16" t="s">
        <v>1542</v>
      </c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</row>
    <row r="1408" ht="11.25" customHeight="1">
      <c r="A1408" s="13"/>
      <c r="B1408" s="21" t="str">
        <f>HYPERLINK("http://china-parts.in.ua/p75032874-podshipnik-shkvornya-wg880410049.html","WG880410049")</f>
        <v>WG880410049</v>
      </c>
      <c r="C1408" s="16" t="s">
        <v>1543</v>
      </c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</row>
    <row r="1409" ht="11.25" customHeight="1">
      <c r="A1409" s="13"/>
      <c r="B1409" s="21" t="str">
        <f>HYPERLINK("http://china-parts.in.ua/p75032874-podshipnik-shkvornya-wg880410049.html","WG880410049-CK")</f>
        <v>WG880410049-CK</v>
      </c>
      <c r="C1409" s="16" t="s">
        <v>1544</v>
      </c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</row>
    <row r="1410" ht="11.25" customHeight="1">
      <c r="A1410" s="13"/>
      <c r="B1410" s="21" t="str">
        <f>HYPERLINK("http://china-parts.in.ua/p304821742-rejka-rulevaya-kardanchikom.html","AZ971970050")</f>
        <v>AZ971970050</v>
      </c>
      <c r="C1410" s="29" t="s">
        <v>1545</v>
      </c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</row>
    <row r="1411" ht="11.25" customHeight="1">
      <c r="A1411" s="13"/>
      <c r="B1411" s="21" t="str">
        <f>HYPERLINK("http://china-parts.in.ua/p304821717-val-kardannyj-rulevoj.html","AZ9719470044")</f>
        <v>AZ9719470044</v>
      </c>
      <c r="C1411" s="16" t="s">
        <v>1546</v>
      </c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</row>
    <row r="1412" ht="11.25" customHeight="1">
      <c r="A1412" s="13"/>
      <c r="B1412" s="21" t="str">
        <f>HYPERLINK("http://china-parts.in.ua/p304821721-koleso-rulevoe-howo.html","AZ9719470100")</f>
        <v>AZ9719470100</v>
      </c>
      <c r="C1412" s="16" t="s">
        <v>1547</v>
      </c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</row>
    <row r="1413" ht="11.25" customHeight="1">
      <c r="A1413" s="13"/>
      <c r="B1413" s="22" t="str">
        <f>HYPERLINK("http://china-parts.in.ua/p304821947-rychag-povorotnogo-kulaka.html","199000410045")</f>
        <v>199000410045</v>
      </c>
      <c r="C1413" s="16" t="s">
        <v>1548</v>
      </c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</row>
    <row r="1414" ht="11.25" customHeight="1">
      <c r="A1414" s="13"/>
      <c r="B1414" s="21" t="str">
        <f>HYPERLINK("http://china-parts.in.ua/p304821948-soshka-poperechnoj-rulevoj.html","AZ9160410121 (1880410040)")</f>
        <v>AZ9160410121 (1880410040)</v>
      </c>
      <c r="C1414" s="16" t="s">
        <v>1549</v>
      </c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</row>
    <row r="1415" ht="11.25" customHeight="1">
      <c r="A1415" s="13"/>
      <c r="B1415" s="21" t="str">
        <f>HYPERLINK("http://china-parts.in.ua/p304821948-soshka-poperechnoj-rulevoj.html","AZ9160410121")</f>
        <v>AZ9160410121</v>
      </c>
      <c r="C1415" s="16" t="s">
        <v>1550</v>
      </c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</row>
    <row r="1416" ht="11.25" customHeight="1">
      <c r="A1416" s="13"/>
      <c r="B1416" s="21" t="str">
        <f>HYPERLINK("http://china-parts.in.ua/p304821949-soshka-poperechnoj-rulevoj.html","AZ9160410120")</f>
        <v>AZ9160410120</v>
      </c>
      <c r="C1416" s="16" t="s">
        <v>1551</v>
      </c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</row>
    <row r="1417" ht="11.25" customHeight="1">
      <c r="A1417" s="13"/>
      <c r="B1417" s="22" t="str">
        <f>HYPERLINK("http://china-parts.in.ua/p304821951-soshka-poperechnoj-rulevoj.html","1880410040")</f>
        <v>1880410040</v>
      </c>
      <c r="C1417" s="16" t="s">
        <v>1552</v>
      </c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</row>
    <row r="1418" ht="11.25" customHeight="1">
      <c r="A1418" s="13"/>
      <c r="B1418" s="22" t="str">
        <f>HYPERLINK("http://china-parts.in.ua/p304821950-soshka-poperechnoj-rulevoj.html","1880410041")</f>
        <v>1880410041</v>
      </c>
      <c r="C1418" s="16" t="s">
        <v>1553</v>
      </c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</row>
    <row r="1419" ht="11.25" customHeight="1">
      <c r="A1419" s="13"/>
      <c r="B1419" s="21" t="str">
        <f>HYPERLINK("http://china-parts.in.ua/p304821741-podlokotnik-rulevoj-howo.html","WG979470020")</f>
        <v>WG979470020</v>
      </c>
      <c r="C1419" s="16" t="s">
        <v>1554</v>
      </c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</row>
    <row r="1420" ht="11.25" customHeight="1">
      <c r="A1420" s="13"/>
      <c r="B1420" s="21" t="str">
        <f>HYPERLINK("http://china-parts.in.ua/p304821748-soshka-rulevaya-howo.html","WG9725470298")</f>
        <v>WG9725470298</v>
      </c>
      <c r="C1420" s="16" t="s">
        <v>1555</v>
      </c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</row>
    <row r="1421" ht="11.25" customHeight="1">
      <c r="A1421" s="13"/>
      <c r="B1421" s="21" t="str">
        <f>HYPERLINK("http://china-parts.in.ua/p304821760-tyaga-rulevaya-prodolnaya.html","AZ9731430010")</f>
        <v>AZ9731430010</v>
      </c>
      <c r="C1421" s="16" t="s">
        <v>1556</v>
      </c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</row>
    <row r="1422" ht="11.25" customHeight="1">
      <c r="A1422" s="13"/>
      <c r="B1422" s="21" t="str">
        <f>HYPERLINK("http://china-parts.in.ua/p304821761-tyaga-rulevaya-prodolnaya.html","AZ9731430020")</f>
        <v>AZ9731430020</v>
      </c>
      <c r="C1422" s="16" t="s">
        <v>1557</v>
      </c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</row>
    <row r="1423" ht="11.25" customHeight="1">
      <c r="A1423" s="13"/>
      <c r="B1423" s="21" t="str">
        <f>HYPERLINK("http://china-parts.in.ua/p75032895-rulevaya-tyaga-poperechnaya.html","AZ9112430003")</f>
        <v>AZ9112430003</v>
      </c>
      <c r="C1423" s="16" t="s">
        <v>1558</v>
      </c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</row>
    <row r="1424" ht="11.25" customHeight="1">
      <c r="A1424" s="13"/>
      <c r="B1424" s="21" t="str">
        <f>HYPERLINK("http://china-parts.in.ua/p304821758-tyaga-rulevaya-poperechnaya.html","AZ9731430002//AZ9731430018")</f>
        <v>AZ9731430002//AZ9731430018</v>
      </c>
      <c r="C1424" s="16" t="s">
        <v>1559</v>
      </c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</row>
    <row r="1425" ht="11.25" customHeight="1">
      <c r="A1425" s="13"/>
      <c r="B1425" s="21" t="str">
        <f>HYPERLINK("AZ9731430018/AZ9731430002","AZ9731430018/AZ9731430002")</f>
        <v>AZ9731430018/AZ9731430002</v>
      </c>
      <c r="C1425" s="16" t="s">
        <v>1560</v>
      </c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</row>
    <row r="1426" ht="11.25" customHeight="1">
      <c r="A1426" s="13"/>
      <c r="B1426" s="21" t="str">
        <f>HYPERLINK("http://china-parts.in.ua/p304821762-tyaga-rulevaya-prodolnaya.html","AZ9731430030")</f>
        <v>AZ9731430030</v>
      </c>
      <c r="C1426" s="16" t="s">
        <v>1561</v>
      </c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</row>
    <row r="1427" ht="11.25" customHeight="1">
      <c r="A1427" s="13"/>
      <c r="B1427" s="21" t="str">
        <f>HYPERLINK("http://china-parts.in.ua/p75032896-rulevaya-tyaga-prodolnaya.html","AZ9731430040")</f>
        <v>AZ9731430040</v>
      </c>
      <c r="C1427" s="16" t="s">
        <v>1562</v>
      </c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</row>
    <row r="1428" ht="11.25" customHeight="1">
      <c r="A1428" s="13"/>
      <c r="B1428" s="21" t="str">
        <f>HYPERLINK("http://china-parts.in.ua/p304821719-gidrotsilindr-povorota-kolesa.html","WG9014470008")</f>
        <v>WG9014470008</v>
      </c>
      <c r="C1428" s="16" t="s">
        <v>1563</v>
      </c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</row>
    <row r="1429" ht="11.25" customHeight="1">
      <c r="A1429" s="13"/>
      <c r="B1429" s="22" t="str">
        <f>HYPERLINK("http://china-parts.in.ua/p304821952-shajba-shkvornya-regulirovochnaya.html","1880410104")</f>
        <v>1880410104</v>
      </c>
      <c r="C1429" s="16" t="s">
        <v>1564</v>
      </c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</row>
    <row r="1430" ht="11.25" customHeight="1">
      <c r="A1430" s="13"/>
      <c r="B1430" s="22" t="str">
        <f>HYPERLINK("http://china-parts.in.ua/p304821943-palets-shkvornya-howo.html","1880410031")</f>
        <v>1880410031</v>
      </c>
      <c r="C1430" s="16" t="s">
        <v>1565</v>
      </c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</row>
    <row r="1431" ht="11.25" customHeight="1">
      <c r="A1431" s="13"/>
      <c r="B1431" s="16" t="s">
        <v>1566</v>
      </c>
      <c r="C1431" s="16" t="s">
        <v>1567</v>
      </c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</row>
    <row r="1432" ht="11.25" customHeight="1">
      <c r="A1432" s="13"/>
      <c r="B1432" s="16" t="s">
        <v>1568</v>
      </c>
      <c r="C1432" s="16" t="s">
        <v>1569</v>
      </c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</row>
    <row r="1433" ht="11.25" customHeight="1">
      <c r="A1433" s="13"/>
      <c r="B1433" s="21" t="str">
        <f>HYPERLINK("http://china-parts.in.ua/p80618855-shkvoren-komplekt-3001044.html","3001044-4Е-XLB-CK")</f>
        <v>3001044-4Е-XLB-CK</v>
      </c>
      <c r="C1433" s="16" t="s">
        <v>1570</v>
      </c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</row>
    <row r="1434" ht="11.25" customHeight="1">
      <c r="A1434" s="13"/>
      <c r="B1434" s="21" t="str">
        <f>HYPERLINK("http://china-parts.in.ua/p503898011-shkvoren-remkomplekt-shaanxi.html","81.44205.0057XLB-CK")</f>
        <v>81.44205.0057XLB-CK</v>
      </c>
      <c r="C1434" s="16" t="s">
        <v>1571</v>
      </c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</row>
    <row r="1435" ht="11.25" customHeight="1">
      <c r="A1435" s="13"/>
      <c r="B1435" s="16" t="s">
        <v>1572</v>
      </c>
      <c r="C1435" s="16" t="s">
        <v>1573</v>
      </c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</row>
    <row r="1436" ht="11.25" customHeight="1">
      <c r="A1436" s="13"/>
      <c r="B1436" s="21" t="str">
        <f>HYPERLINK("http://china-parts.in.ua/p503896388-shkvoren-remkomplekt-fotn.html","1880410031KIT")</f>
        <v>1880410031KIT</v>
      </c>
      <c r="C1436" s="16" t="s">
        <v>1574</v>
      </c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</row>
    <row r="1437" ht="11.25" customHeight="1">
      <c r="A1437" s="13"/>
      <c r="B1437" s="21" t="str">
        <f>HYPERLINK("http://china-parts.in.ua/p304821769-shlang-vysokogo-davleniya.html","WG9100470107")</f>
        <v>WG9100470107</v>
      </c>
      <c r="C1437" s="16" t="s">
        <v>1575</v>
      </c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</row>
    <row r="1438" ht="11.25" customHeight="1">
      <c r="A1438" s="1"/>
      <c r="B1438" s="16"/>
      <c r="C1438" s="17" t="s">
        <v>1576</v>
      </c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ht="11.25" customHeight="1">
      <c r="A1439" s="13"/>
      <c r="B1439" s="21" t="str">
        <f>HYPERLINK("http://china-parts.in.ua/p503894063-bendiks-startera-howo.html","BEND10-ISKRA-MP")</f>
        <v>BEND10-ISKRA-MP</v>
      </c>
      <c r="C1439" s="16" t="s">
        <v>1577</v>
      </c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</row>
    <row r="1440" ht="11.25" customHeight="1">
      <c r="A1440" s="13"/>
      <c r="B1440" s="21" t="str">
        <f>HYPERLINK("http://china-parts.in.ua/p503894063-bendiks-startera-howo.html","BEND11-ISKRA-MP")</f>
        <v>BEND11-ISKRA-MP</v>
      </c>
      <c r="C1440" s="16" t="s">
        <v>1578</v>
      </c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</row>
    <row r="1441" ht="11.25" customHeight="1">
      <c r="A1441" s="13"/>
      <c r="B1441" s="22" t="str">
        <f>HYPERLINK("http://china-parts.in.ua/p503894062-bendiks-startera-howo.html","2006382019")</f>
        <v>2006382019</v>
      </c>
      <c r="C1441" s="16" t="s">
        <v>1579</v>
      </c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</row>
    <row r="1442" ht="11.25" customHeight="1">
      <c r="A1442" s="13"/>
      <c r="B1442" s="31" t="str">
        <f>HYPERLINK("http://china-parts.in.ua/p304820802-starter-zamedleniya-bosch.html","612600090293-DXQ")</f>
        <v>612600090293-DXQ</v>
      </c>
      <c r="C1442" s="16" t="s">
        <v>1580</v>
      </c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</row>
    <row r="1443" ht="11.25" customHeight="1">
      <c r="A1443" s="13"/>
      <c r="B1443" s="21" t="str">
        <f>HYPERLINK("http://china-parts.in.ua/p304820774-krepyozh-bolt-natyazhitel.html","VG1500090026")</f>
        <v>VG1500090026</v>
      </c>
      <c r="C1443" s="16" t="s">
        <v>1581</v>
      </c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</row>
    <row r="1444" ht="11.25" customHeight="1">
      <c r="A1444" s="13"/>
      <c r="B1444" s="21" t="str">
        <f>HYPERLINK("http://china-parts.in.ua/p304820775-krepyozh-bolt-natyazhitel.html","VG1500090039")</f>
        <v>VG1500090039</v>
      </c>
      <c r="C1444" s="16" t="s">
        <v>1582</v>
      </c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</row>
    <row r="1445" ht="11.25" customHeight="1">
      <c r="A1445" s="13"/>
      <c r="B1445" s="21" t="str">
        <f>HYPERLINK("http://china-parts.in.ua/p304820736-generator-howo-vg1500090010.html","VG1500090010")</f>
        <v>VG1500090010</v>
      </c>
      <c r="C1445" s="16" t="s">
        <v>1583</v>
      </c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</row>
    <row r="1446" ht="11.25" customHeight="1">
      <c r="A1446" s="13"/>
      <c r="B1446" s="21" t="str">
        <f>HYPERLINK("http://china-parts.in.ua/p304820734-generator-1540w-175185155.html","VG1500090019")</f>
        <v>VG1500090019</v>
      </c>
      <c r="C1446" s="16" t="s">
        <v>1584</v>
      </c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</row>
    <row r="1447" ht="11.25" customHeight="1">
      <c r="A1447" s="13"/>
      <c r="B1447" s="21" t="str">
        <f>HYPERLINK("http://china-parts.in.ua/p75032794-generator-pod-klinovoj.html","VG1560090010")</f>
        <v>VG1560090010</v>
      </c>
      <c r="C1447" s="16" t="s">
        <v>1585</v>
      </c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</row>
    <row r="1448" ht="11.25" customHeight="1">
      <c r="A1448" s="13"/>
      <c r="B1448" s="21" t="str">
        <f>HYPERLINK("http://china-parts.in.ua/p503894805-generator-pod-ruchejkovyj.html","VG1560090012")</f>
        <v>VG1560090012</v>
      </c>
      <c r="C1448" s="16" t="s">
        <v>1586</v>
      </c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</row>
    <row r="1449" ht="11.25" customHeight="1">
      <c r="A1449" s="13"/>
      <c r="B1449" s="16" t="s">
        <v>1587</v>
      </c>
      <c r="C1449" s="16" t="s">
        <v>1588</v>
      </c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</row>
    <row r="1450" ht="11.25" customHeight="1">
      <c r="A1450" s="13"/>
      <c r="B1450" s="21" t="str">
        <f>HYPERLINK("http://china-parts.in.ua/p503895577-rele-vtyagivayuschee-shaanxi.html","612600090293-DCKG-CK")</f>
        <v>612600090293-DCKG-CK</v>
      </c>
      <c r="C1450" s="16" t="s">
        <v>1589</v>
      </c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</row>
    <row r="1451" ht="11.25" customHeight="1">
      <c r="A1451" s="13"/>
      <c r="B1451" s="21" t="str">
        <f>HYPERLINK("http://china-parts.in.ua/p503895577-rele-vtyagivayuschee-shaanxi.html","612600090293-JDQ")</f>
        <v>612600090293-JDQ</v>
      </c>
      <c r="C1451" s="16" t="s">
        <v>1590</v>
      </c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</row>
    <row r="1452" ht="11.25" customHeight="1">
      <c r="A1452" s="13"/>
      <c r="B1452" s="16" t="s">
        <v>1591</v>
      </c>
      <c r="C1452" s="16" t="s">
        <v>1592</v>
      </c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</row>
    <row r="1453" ht="11.25" customHeight="1">
      <c r="A1453" s="13"/>
      <c r="B1453" s="21" t="str">
        <f>HYPERLINK("http://china-parts.in.ua/p75032914-starter-howo-vg1560090001.html","VG1560090001")</f>
        <v>VG1560090001</v>
      </c>
      <c r="C1453" s="16" t="s">
        <v>1593</v>
      </c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</row>
    <row r="1454" ht="11.25" customHeight="1">
      <c r="A1454" s="13"/>
      <c r="B1454" s="21" t="str">
        <f>HYPERLINK("http://china-parts.in.ua/p75032914-starter-howo-vg1560090001.html","VG1560090001-DXQ")</f>
        <v>VG1560090001-DXQ</v>
      </c>
      <c r="C1454" s="16" t="s">
        <v>1594</v>
      </c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</row>
    <row r="1455" ht="11.25" customHeight="1">
      <c r="A1455" s="13"/>
      <c r="B1455" s="21" t="str">
        <f>HYPERLINK("http://china-parts.in.ua/p503895921-starter-21001-vg1560090001.html","612600090210  QDJ287B")</f>
        <v>612600090210  QDJ287B</v>
      </c>
      <c r="C1455" s="16" t="s">
        <v>1595</v>
      </c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</row>
    <row r="1456" ht="11.25" customHeight="1">
      <c r="A1456" s="13"/>
      <c r="B1456" s="21" t="str">
        <f>HYPERLINK("http://china-parts.in.ua/p19816437-starter-zub-iskl.html","VG2600090210")</f>
        <v>VG2600090210</v>
      </c>
      <c r="C1456" s="16" t="s">
        <v>1596</v>
      </c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</row>
    <row r="1457" ht="11.25" customHeight="1">
      <c r="A1457" s="13"/>
      <c r="B1457" s="21" t="str">
        <f>HYPERLINK("http://china-parts.in.ua/p74282978-starter-61509qd2745i-612600090287.html","QD2745-61500090029")</f>
        <v>QD2745-61500090029</v>
      </c>
      <c r="C1457" s="16" t="s">
        <v>1597</v>
      </c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</row>
    <row r="1458" ht="11.25" customHeight="1">
      <c r="A1458" s="13"/>
      <c r="B1458" s="21" t="str">
        <f>HYPERLINK("http://china-parts.in.ua/p75032914-starter-howo-vg1560090001.html","VG1560090001 11")</f>
        <v>VG1560090001 11</v>
      </c>
      <c r="C1458" s="16" t="s">
        <v>1598</v>
      </c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</row>
    <row r="1459" ht="11.25" customHeight="1">
      <c r="A1459" s="13"/>
      <c r="B1459" s="21" t="str">
        <f>HYPERLINK("http://china-parts.in.ua/p304820798-starter-zub-howo.html","VG2600090029")</f>
        <v>VG2600090029</v>
      </c>
      <c r="C1459" s="16" t="s">
        <v>1599</v>
      </c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</row>
    <row r="1460" ht="11.25" customHeight="1">
      <c r="A1460" s="13"/>
      <c r="B1460" s="21" t="str">
        <f>HYPERLINK("http://china-parts.in.ua/p75032914-starter-howo-vg1560090001.html","VG1560090001 10Z")</f>
        <v>VG1560090001 10Z</v>
      </c>
      <c r="C1460" s="16" t="s">
        <v>1600</v>
      </c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</row>
    <row r="1461" ht="11.25" customHeight="1">
      <c r="A1461" s="13"/>
      <c r="B1461" s="21" t="str">
        <f>HYPERLINK("http://china-parts.in.ua/p75032914-starter-howo-vg1560090001.html","VG1560090001 11Z")</f>
        <v>VG1560090001 11Z</v>
      </c>
      <c r="C1461" s="16" t="s">
        <v>1601</v>
      </c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</row>
    <row r="1462" ht="11.25" customHeight="1">
      <c r="A1462" s="13"/>
      <c r="B1462" s="21" t="str">
        <f>HYPERLINK("http://china-parts.in.ua/p304820841-shesternya-startera-howo.html","VG2600090210-1")</f>
        <v>VG2600090210-1</v>
      </c>
      <c r="C1462" s="16" t="s">
        <v>1602</v>
      </c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</row>
    <row r="1463" ht="11.25" customHeight="1">
      <c r="A1463" s="1"/>
      <c r="B1463" s="16"/>
      <c r="C1463" s="17" t="s">
        <v>1603</v>
      </c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ht="11.25" customHeight="1">
      <c r="A1464" s="13"/>
      <c r="B1464" s="21" t="str">
        <f>HYPERLINK("http://china-parts.in.ua/p304822322-obtekatel-stojki-kabiny.html","WG1642110020")</f>
        <v>WG1642110020</v>
      </c>
      <c r="C1464" s="16" t="s">
        <v>1604</v>
      </c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</row>
    <row r="1465" ht="11.25" customHeight="1">
      <c r="A1465" s="13"/>
      <c r="B1465" s="21" t="str">
        <f>HYPERLINK("http://china-parts.in.ua/p503896061-povodok-stekloochistitelya-howo.html","WG1642740010/1")</f>
        <v>WG1642740010/1</v>
      </c>
      <c r="C1465" s="16" t="s">
        <v>1605</v>
      </c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</row>
    <row r="1466" ht="11.25" customHeight="1">
      <c r="A1466" s="13"/>
      <c r="B1466" s="21" t="str">
        <f>HYPERLINK("http://china-parts.in.ua/p304822415-steklo-zadnego-okna.html","WG1642710005")</f>
        <v>WG1642710005</v>
      </c>
      <c r="C1466" s="16" t="s">
        <v>1606</v>
      </c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</row>
    <row r="1467" ht="11.25" customHeight="1">
      <c r="A1467" s="13"/>
      <c r="B1467" s="21" t="str">
        <f>HYPERLINK("http://china-parts.in.ua/p304822437-steklo-dveri-levoe.html","WG1642350003")</f>
        <v>WG1642350003</v>
      </c>
      <c r="C1467" s="16" t="s">
        <v>1607</v>
      </c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</row>
    <row r="1468" ht="11.25" customHeight="1">
      <c r="A1468" s="13"/>
      <c r="B1468" s="21" t="str">
        <f>HYPERLINK("http://china-parts.in.ua/p304822413-steklo-dveri-levoj.html","AZ1642330060")</f>
        <v>AZ1642330060</v>
      </c>
      <c r="C1468" s="16" t="s">
        <v>1608</v>
      </c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</row>
    <row r="1469" ht="11.25" customHeight="1">
      <c r="A1469" s="13"/>
      <c r="B1469" s="21" t="str">
        <f>HYPERLINK("http://china-parts.in.ua/p304822412-steklo-vetrovoe-lobovoe.html","WG1642710001")</f>
        <v>WG1642710001</v>
      </c>
      <c r="C1469" s="16" t="s">
        <v>1609</v>
      </c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</row>
    <row r="1470" ht="11.25" customHeight="1">
      <c r="A1470" s="13"/>
      <c r="B1470" s="21" t="str">
        <f>HYPERLINK("http://china-parts.in.ua/p304822439-steklo-dveri-pravoe.html","WG1642350004")</f>
        <v>WG1642350004</v>
      </c>
      <c r="C1470" s="16" t="s">
        <v>1610</v>
      </c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</row>
    <row r="1471" ht="11.25" customHeight="1">
      <c r="A1471" s="13"/>
      <c r="B1471" s="21" t="str">
        <f>HYPERLINK("http://china-parts.in.ua/p304822414-steklo-dveri-pravoj.html","AZ1642330061")</f>
        <v>AZ1642330061</v>
      </c>
      <c r="C1471" s="16" t="s">
        <v>1611</v>
      </c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</row>
    <row r="1472" ht="11.25" customHeight="1">
      <c r="A1472" s="13"/>
      <c r="B1472" s="21" t="str">
        <f>HYPERLINK("http://china-parts.in.ua/p304820772-kolpak-fary-levoj.html","WG9719720001-1")</f>
        <v>WG9719720001-1</v>
      </c>
      <c r="C1472" s="16" t="s">
        <v>1612</v>
      </c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</row>
    <row r="1473" ht="11.25" customHeight="1">
      <c r="A1473" s="13"/>
      <c r="B1473" s="21" t="str">
        <f>HYPERLINK("http://china-parts.in.ua/p304820773-kolpak-fary-pravoj.html","WG9719720002-1")</f>
        <v>WG9719720002-1</v>
      </c>
      <c r="C1473" s="16" t="s">
        <v>1613</v>
      </c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</row>
    <row r="1474" ht="11.25" customHeight="1">
      <c r="A1474" s="13"/>
      <c r="B1474" s="21" t="str">
        <f>HYPERLINK("http://china-parts.in.ua/p304822436-uplotnitel-fortochki-povorotnoj.html","WG1642350001")</f>
        <v>WG1642350001</v>
      </c>
      <c r="C1474" s="16" t="s">
        <v>1614</v>
      </c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</row>
    <row r="1475" ht="11.25" customHeight="1">
      <c r="A1475" s="13"/>
      <c r="B1475" s="21" t="str">
        <f>HYPERLINK("http://china-parts.in.ua/p304822438-uplotnitel-fortochki-povorotnoj.html","WG1642350002")</f>
        <v>WG1642350002</v>
      </c>
      <c r="C1475" s="16" t="s">
        <v>1615</v>
      </c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</row>
    <row r="1476" ht="11.25" customHeight="1">
      <c r="A1476" s="13"/>
      <c r="B1476" s="21" t="str">
        <f>HYPERLINK("http://china-parts.in.ua/p304822434-uplotnitel-okna-zadnego.html","WG1642710006")</f>
        <v>WG1642710006</v>
      </c>
      <c r="C1476" s="16" t="s">
        <v>1616</v>
      </c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</row>
    <row r="1477" ht="11.25" customHeight="1">
      <c r="A1477" s="13"/>
      <c r="B1477" s="21" t="str">
        <f>HYPERLINK("http://china-parts.in.ua/p304822435-uplotnitel-stekla-vetrovogo.html","WG1642710002")</f>
        <v>WG1642710002</v>
      </c>
      <c r="C1477" s="16" t="s">
        <v>1617</v>
      </c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</row>
    <row r="1478" ht="11.25" customHeight="1">
      <c r="A1478" s="1"/>
      <c r="B1478" s="16"/>
      <c r="C1478" s="17" t="s">
        <v>1618</v>
      </c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ht="11.25" customHeight="1">
      <c r="A1479" s="13"/>
      <c r="B1479" s="21" t="str">
        <f>HYPERLINK("http://china-parts.in.ua/p304822499-bachok-stsepleniya-howo.html","WG9719230014")</f>
        <v>WG9719230014</v>
      </c>
      <c r="C1479" s="16" t="s">
        <v>1619</v>
      </c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</row>
    <row r="1480" ht="11.25" customHeight="1">
      <c r="A1480" s="13"/>
      <c r="B1480" s="21" t="str">
        <f>HYPERLINK("http://china-parts.in.ua/p503894065-val-vilki-vyklyucheniya.html","99112230033-CK")</f>
        <v>99112230033-CK</v>
      </c>
      <c r="C1480" s="16" t="s">
        <v>1620</v>
      </c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</row>
    <row r="1481" ht="11.25" customHeight="1">
      <c r="A1481" s="13"/>
      <c r="B1481" s="21" t="str">
        <f>HYPERLINK("http://china-parts.in.ua/p304822500-val-vilki-vyzhimnogo.html","JS180-1601023-1")</f>
        <v>JS180-1601023-1</v>
      </c>
      <c r="C1481" s="16" t="s">
        <v>1621</v>
      </c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</row>
    <row r="1482" ht="11.25" customHeight="1">
      <c r="A1482" s="13"/>
      <c r="B1482" s="22" t="str">
        <f>HYPERLINK("http://china-parts.in.ua/p304822501-val-vilki-vyklyucheniya.html","199112230033")</f>
        <v>199112230033</v>
      </c>
      <c r="C1482" s="16" t="s">
        <v>1622</v>
      </c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</row>
    <row r="1483" ht="11.25" customHeight="1">
      <c r="A1483" s="13"/>
      <c r="B1483" s="22" t="str">
        <f>HYPERLINK("http://china-parts.in.ua/p304822503-vilka-stsepleniya-howo.html","2159302009")</f>
        <v>2159302009</v>
      </c>
      <c r="C1483" s="16" t="s">
        <v>1623</v>
      </c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</row>
    <row r="1484" ht="11.25" customHeight="1">
      <c r="A1484" s="13"/>
      <c r="B1484" s="21" t="str">
        <f>HYPERLINK("http://china-parts.in.ua/p304822504-vilka-stsepleniya-howo.html","JS180-1601021-2")</f>
        <v>JS180-1601021-2</v>
      </c>
      <c r="C1484" s="16" t="s">
        <v>1624</v>
      </c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</row>
    <row r="1485" ht="11.25" customHeight="1">
      <c r="A1485" s="13"/>
      <c r="B1485" s="21" t="str">
        <f>HYPERLINK("http://china-parts.in.ua/p75032802-disk-stsepleniya-420.html","WG1560161130")</f>
        <v>WG1560161130</v>
      </c>
      <c r="C1485" s="16" t="s">
        <v>1625</v>
      </c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</row>
    <row r="1486" ht="11.25" customHeight="1">
      <c r="A1486" s="13"/>
      <c r="B1486" s="21" t="str">
        <f>HYPERLINK("http://china-parts.in.ua/p75032802-disk-stsepleniya-420.html","WG1560161130-CK")</f>
        <v>WG1560161130-CK</v>
      </c>
      <c r="C1486" s="16" t="s">
        <v>1626</v>
      </c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</row>
    <row r="1487" ht="11.25" customHeight="1">
      <c r="A1487" s="13"/>
      <c r="B1487" s="21" t="str">
        <f>HYPERLINK("http://china-parts.in.ua/p75032802-disk-stsepleniya-420.html","WG1560161130\1")</f>
        <v>WG1560161130\1</v>
      </c>
      <c r="C1487" s="16" t="s">
        <v>1627</v>
      </c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</row>
    <row r="1488" ht="11.25" customHeight="1">
      <c r="A1488" s="13"/>
      <c r="B1488" s="21" t="str">
        <f>HYPERLINK("http://china-parts.in.ua/p304822508-disk-stsepleniya-430.html","WG9114160020")</f>
        <v>WG9114160020</v>
      </c>
      <c r="C1488" s="16" t="s">
        <v>1628</v>
      </c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</row>
    <row r="1489" ht="11.25" customHeight="1">
      <c r="A1489" s="13"/>
      <c r="B1489" s="23">
        <v>9.11416002E9</v>
      </c>
      <c r="C1489" s="16" t="s">
        <v>1629</v>
      </c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</row>
    <row r="1490" ht="11.25" customHeight="1">
      <c r="A1490" s="13"/>
      <c r="B1490" s="21" t="str">
        <f>HYPERLINK("http://china-parts.in.ua/p503894998-disk-stsepleniya-shaanxi.html","DZ1560160014-CK")</f>
        <v>DZ1560160014-CK</v>
      </c>
      <c r="C1490" s="16" t="s">
        <v>1630</v>
      </c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</row>
    <row r="1491" ht="11.25" customHeight="1">
      <c r="A1491" s="13"/>
      <c r="B1491" s="21" t="str">
        <f>HYPERLINK("http://china-parts.in.ua/p503895000-disk-stsepleniya-shaanxi.html","DZ1560160020-CK")</f>
        <v>DZ1560160020-CK</v>
      </c>
      <c r="C1491" s="16" t="s">
        <v>1631</v>
      </c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</row>
    <row r="1492" ht="11.25" customHeight="1">
      <c r="A1492" s="13"/>
      <c r="B1492" s="21" t="str">
        <f>HYPERLINK("http://china-parts.in.ua/p304821795-klapan-predohranitelnyj-konturnyj.html","WG9000360366/2")</f>
        <v>WG9000360366/2</v>
      </c>
      <c r="C1492" s="16" t="s">
        <v>1632</v>
      </c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</row>
    <row r="1493" ht="11.25" customHeight="1">
      <c r="A1493" s="13"/>
      <c r="B1493" s="21" t="str">
        <f>HYPERLINK("http://china-parts.in.ua/p304822513-koltso-vyzhimnogo-podshipnika.html","BZ1560161212")</f>
        <v>BZ1560161212</v>
      </c>
      <c r="C1493" s="16" t="s">
        <v>1633</v>
      </c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</row>
    <row r="1494" ht="11.25" customHeight="1">
      <c r="A1494" s="13"/>
      <c r="B1494" s="21" t="str">
        <f>HYPERLINK("http://china-parts.in.ua/p296008654-korzina-stsepleniya-howo.html","WG9114160011")</f>
        <v>WG9114160011</v>
      </c>
      <c r="C1494" s="16" t="s">
        <v>1634</v>
      </c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</row>
    <row r="1495" ht="11.25" customHeight="1">
      <c r="A1495" s="13"/>
      <c r="B1495" s="21" t="str">
        <f>HYPERLINK("http://china-parts.in.ua/p304822515-korzina-stsepleniya-howo.html","WG9114160010")</f>
        <v>WG9114160010</v>
      </c>
      <c r="C1495" s="16" t="s">
        <v>1635</v>
      </c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</row>
    <row r="1496" ht="11.25" customHeight="1">
      <c r="A1496" s="13"/>
      <c r="B1496" s="21" t="str">
        <f>HYPERLINK("http://china-parts.in.ua/p304822514-korzina-stsepleniya-howo.html","BZ1560161090")</f>
        <v>BZ1560161090</v>
      </c>
      <c r="C1496" s="16" t="s">
        <v>1636</v>
      </c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</row>
    <row r="1497" ht="11.25" customHeight="1">
      <c r="A1497" s="13"/>
      <c r="B1497" s="21" t="str">
        <f>HYPERLINK("http://china-parts.in.ua/p412742497-korzina-stsepleniya-shaanxi.html","DZ9114160028")</f>
        <v>DZ9114160028</v>
      </c>
      <c r="C1497" s="16" t="s">
        <v>1637</v>
      </c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</row>
    <row r="1498" ht="11.25" customHeight="1">
      <c r="A1498" s="13"/>
      <c r="B1498" s="21" t="str">
        <f>HYPERLINK("http://china-parts.in.ua/p412742496-korzina-stsepleniya-shaanxi.html","DZ9114160026")</f>
        <v>DZ9114160026</v>
      </c>
      <c r="C1498" s="16" t="s">
        <v>1638</v>
      </c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</row>
    <row r="1499" ht="11.25" customHeight="1">
      <c r="A1499" s="13"/>
      <c r="B1499" s="21" t="str">
        <f>HYPERLINK("http://china-parts.in.ua/p304813096-karter-stsepleniya-faw.html","15410-17")</f>
        <v>15410-17</v>
      </c>
      <c r="C1499" s="16" t="s">
        <v>1639</v>
      </c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</row>
    <row r="1500" ht="11.25" customHeight="1">
      <c r="A1500" s="13"/>
      <c r="B1500" s="22" t="str">
        <f>HYPERLINK("http://china-parts.in.ua/p304822511-karter-stsepleniya-howo.html","2159302008")</f>
        <v>2159302008</v>
      </c>
      <c r="C1500" s="16" t="s">
        <v>1640</v>
      </c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</row>
    <row r="1501" ht="11.25" customHeight="1">
      <c r="A1501" s="13"/>
      <c r="B1501" s="21" t="str">
        <f>HYPERLINK("http://china-parts.in.ua/p304822518-korpus-stsepleniya-howo.html","JS180-1601015-5")</f>
        <v>JS180-1601015-5</v>
      </c>
      <c r="C1501" s="16" t="s">
        <v>1641</v>
      </c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</row>
    <row r="1502" ht="11.25" customHeight="1">
      <c r="A1502" s="13"/>
      <c r="B1502" s="21" t="str">
        <f>HYPERLINK("http://china-parts.in.ua/p304822522-kronshtejn-tsilindra-stsepleniya.html","AZ9114230016")</f>
        <v>AZ9114230016</v>
      </c>
      <c r="C1502" s="16" t="s">
        <v>1642</v>
      </c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</row>
    <row r="1503" ht="11.25" customHeight="1">
      <c r="A1503" s="13"/>
      <c r="B1503" s="21" t="str">
        <f>HYPERLINK("http://china-parts.in.ua/p304822519-kronshtejn-krepleniya-glavnogo.html","AZ9719360072")</f>
        <v>AZ9719360072</v>
      </c>
      <c r="C1503" s="16" t="s">
        <v>1643</v>
      </c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</row>
    <row r="1504" ht="11.25" customHeight="1">
      <c r="A1504" s="13"/>
      <c r="B1504" s="21" t="str">
        <f>HYPERLINK("http://china-parts.in.ua/p304822520-kronshtejn-pedali-stsepleniya.html","AZ9719360050")</f>
        <v>AZ9719360050</v>
      </c>
      <c r="C1504" s="16" t="s">
        <v>1644</v>
      </c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</row>
    <row r="1505" ht="11.25" customHeight="1">
      <c r="A1505" s="13"/>
      <c r="B1505" s="22" t="str">
        <f>HYPERLINK("http://china-parts.in.ua/p75032842-mufta-vyzhimnogo-podshipnika.html","11203")</f>
        <v>11203</v>
      </c>
      <c r="C1505" s="16" t="s">
        <v>1645</v>
      </c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</row>
    <row r="1506" ht="11.25" customHeight="1">
      <c r="A1506" s="13"/>
      <c r="B1506" s="21" t="str">
        <f>HYPERLINK("http://china-parts.in.ua/p75032762-pnevmogidrousilitel-stsepleniya-pgu.html","WG9719230025")</f>
        <v>WG9719230025</v>
      </c>
      <c r="C1506" s="16" t="s">
        <v>1646</v>
      </c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</row>
    <row r="1507" ht="11.25" customHeight="1">
      <c r="A1507" s="13"/>
      <c r="B1507" s="21" t="str">
        <f>HYPERLINK("http://china-parts.in.ua/p75032860-pnevmogidrousilitel-stsepleniya-pgu.html","WG9114230023")</f>
        <v>WG9114230023</v>
      </c>
      <c r="C1507" s="16" t="s">
        <v>1647</v>
      </c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</row>
    <row r="1508" ht="11.25" customHeight="1">
      <c r="A1508" s="13"/>
      <c r="B1508" s="21" t="str">
        <f>HYPERLINK("http://china-parts.in.ua/p75032855-pnevmogidrousilitel-stsepleniya-pgu.html","WG9114230018")</f>
        <v>WG9114230018</v>
      </c>
      <c r="C1508" s="16" t="s">
        <v>1648</v>
      </c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</row>
    <row r="1509" ht="11.25" customHeight="1">
      <c r="A1509" s="13"/>
      <c r="B1509" s="21" t="str">
        <f>HYPERLINK("http://china-parts.in.ua/p503895897-pgu-pnevmogidrousilitel-stsepleniya.html","WG9114230029")</f>
        <v>WG9114230029</v>
      </c>
      <c r="C1509" s="16" t="s">
        <v>1649</v>
      </c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</row>
    <row r="1510" ht="11.25" customHeight="1">
      <c r="A1510" s="13"/>
      <c r="B1510" s="21" t="str">
        <f>HYPERLINK("http://china-parts.in.ua/p503895209-pgu-pnevmo-gidro.html","DZ9112230166-CK")</f>
        <v>DZ9112230166-CK</v>
      </c>
      <c r="C1510" s="16" t="s">
        <v>1650</v>
      </c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</row>
    <row r="1511" ht="11.25" customHeight="1">
      <c r="A1511" s="13"/>
      <c r="B1511" s="16" t="s">
        <v>1651</v>
      </c>
      <c r="C1511" s="16" t="s">
        <v>1652</v>
      </c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</row>
    <row r="1512" ht="11.25" customHeight="1">
      <c r="A1512" s="13"/>
      <c r="B1512" s="21" t="str">
        <f>HYPERLINK("http://china-parts.in.ua/p304822524-pedal-stsepleniya-sbore.html","AZ9725360002")</f>
        <v>AZ9725360002</v>
      </c>
      <c r="C1512" s="16" t="s">
        <v>1653</v>
      </c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</row>
    <row r="1513" ht="11.25" customHeight="1">
      <c r="A1513" s="13"/>
      <c r="B1513" s="21" t="str">
        <f>HYPERLINK("http://china-parts.in.ua/p304822525-plastina-howo-js180.html","JS180-1601024-2")</f>
        <v>JS180-1601024-2</v>
      </c>
      <c r="C1513" s="16" t="s">
        <v>1654</v>
      </c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</row>
    <row r="1514" ht="11.25" customHeight="1">
      <c r="A1514" s="13"/>
      <c r="B1514" s="21" t="str">
        <f>HYPERLINK("http://china-parts.in.ua/p304813101-podshipnik-vilki-stsepleniya.html","GB304-64UC25")</f>
        <v>GB304-64UC25</v>
      </c>
      <c r="C1514" s="16" t="s">
        <v>1655</v>
      </c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</row>
    <row r="1515" ht="11.25" customHeight="1">
      <c r="A1515" s="13"/>
      <c r="B1515" s="22" t="str">
        <f>HYPERLINK("http://china-parts.in.ua/p503895891-podshipnik-vyzhimnoj-420mm.html","996914")</f>
        <v>996914</v>
      </c>
      <c r="C1515" s="16" t="s">
        <v>1656</v>
      </c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</row>
    <row r="1516" ht="11.25" customHeight="1">
      <c r="A1516" s="13"/>
      <c r="B1516" s="21" t="str">
        <f>HYPERLINK("http://china-parts.in.ua/p304822536-podshipnik-vyzhimnoj-11203996914.html","996914+11203")</f>
        <v>996914+11203</v>
      </c>
      <c r="C1516" s="16" t="s">
        <v>1657</v>
      </c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</row>
    <row r="1517" ht="11.25" customHeight="1">
      <c r="A1517" s="13"/>
      <c r="B1517" s="21" t="str">
        <f>HYPERLINK("http://china-parts.in.ua/p503893898-podshipnik-vyzhimnoj-shaanxi.html","85CT5787F2-CK")</f>
        <v>85CT5787F2-CK</v>
      </c>
      <c r="C1517" s="16" t="s">
        <v>1658</v>
      </c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</row>
    <row r="1518" ht="11.25" customHeight="1">
      <c r="A1518" s="13"/>
      <c r="B1518" s="22" t="str">
        <f>HYPERLINK("http://china-parts.in.ua/p304822537-podshipnik-stsepleniya-howo.html","5787")</f>
        <v>5787</v>
      </c>
      <c r="C1518" s="16" t="s">
        <v>1659</v>
      </c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</row>
    <row r="1519" ht="11.25" customHeight="1">
      <c r="A1519" s="13"/>
      <c r="B1519" s="21" t="str">
        <f>HYPERLINK("http://china-parts.in.ua/p503895584-podshipnik-vyzhimnoj-camc.html","DZ9114160035\6395")</f>
        <v>DZ9114160035\6395</v>
      </c>
      <c r="C1519" s="16" t="s">
        <v>1660</v>
      </c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</row>
    <row r="1520" ht="11.25" customHeight="1">
      <c r="A1520" s="13"/>
      <c r="B1520" s="21" t="str">
        <f>HYPERLINK("http://china-parts.in.ua/p304822535-podshipnik-vyzhimnoj-az9114160030.html","AZ9114160030")</f>
        <v>AZ9114160030</v>
      </c>
      <c r="C1520" s="16" t="s">
        <v>1661</v>
      </c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</row>
    <row r="1521" ht="11.25" customHeight="1">
      <c r="A1521" s="13"/>
      <c r="B1521" s="21" t="str">
        <f>HYPERLINK("http://china-parts.in.ua/p304822539-podshipnik-stsepleniya-996714.html","WG9012210078")</f>
        <v>WG9012210078</v>
      </c>
      <c r="C1521" s="16" t="s">
        <v>1662</v>
      </c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</row>
    <row r="1522" ht="11.25" customHeight="1">
      <c r="A1522" s="13"/>
      <c r="B1522" s="21" t="str">
        <f>HYPERLINK("http://china-parts.in.ua/p304815080-pruzhina-vyzhimnogo-podshipnika.html","4425 (4424)")</f>
        <v>4425 (4424)</v>
      </c>
      <c r="C1522" s="16" t="s">
        <v>1663</v>
      </c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</row>
    <row r="1523" ht="11.25" customHeight="1">
      <c r="A1523" s="13"/>
      <c r="B1523" s="22" t="str">
        <f>HYPERLINK("http://china-parts.in.ua/p304822544-pruzhina-stsepleniya-howo.html","12054230100")</f>
        <v>12054230100</v>
      </c>
      <c r="C1523" s="16" t="s">
        <v>1664</v>
      </c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</row>
    <row r="1524" ht="11.25" customHeight="1">
      <c r="A1524" s="13"/>
      <c r="B1524" s="21" t="str">
        <f>HYPERLINK("http://china-parts.in.ua/p304822545-pruzhina-stsepleniya-howo.html","AZ9719230009")</f>
        <v>AZ9719230009</v>
      </c>
      <c r="C1524" s="16" t="s">
        <v>1665</v>
      </c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</row>
    <row r="1525" ht="11.25" customHeight="1">
      <c r="A1525" s="13"/>
      <c r="B1525" s="21" t="str">
        <f>HYPERLINK("http://china-parts.in.ua/p304822541-pruzhina-vyzhimnogo-rychaga.html","BZ1560161084")</f>
        <v>BZ1560161084</v>
      </c>
      <c r="C1525" s="16" t="s">
        <v>1666</v>
      </c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</row>
    <row r="1526" ht="11.25" customHeight="1">
      <c r="A1526" s="13"/>
      <c r="B1526" s="21" t="str">
        <f>HYPERLINK("http://china-parts.in.ua/p75032893-remkomplekt-energoakkumulyatora-199100360736.html","199100360736-H10")</f>
        <v>199100360736-H10</v>
      </c>
      <c r="C1526" s="16" t="s">
        <v>1667</v>
      </c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</row>
    <row r="1527" ht="11.25" customHeight="1">
      <c r="A1527" s="13"/>
      <c r="B1527" s="21" t="str">
        <f>HYPERLINK("http://china-parts.in.ua/p304822546-remkomplekt-tsilindra-stsepleniya.html","WG9719230015-1")</f>
        <v>WG9719230015-1</v>
      </c>
      <c r="C1527" s="16" t="s">
        <v>1668</v>
      </c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</row>
    <row r="1528" ht="11.25" customHeight="1">
      <c r="A1528" s="13"/>
      <c r="B1528" s="21" t="str">
        <f>HYPERLINK("http://china-parts.in.ua/p75032893-remkomplekt-energoakkumulyatora-199100360736.html","199100360736-H11")</f>
        <v>199100360736-H11</v>
      </c>
      <c r="C1528" s="16" t="s">
        <v>1669</v>
      </c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</row>
    <row r="1529" ht="11.25" customHeight="1">
      <c r="A1529" s="13"/>
      <c r="B1529" s="21" t="str">
        <f>HYPERLINK("http://china-parts.in.ua/p75032893-remkomplekt-energoakkumulyatora-199100360736.html","199100360736-H12")</f>
        <v>199100360736-H12</v>
      </c>
      <c r="C1529" s="16" t="s">
        <v>1670</v>
      </c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</row>
    <row r="1530" ht="11.25" customHeight="1">
      <c r="A1530" s="13"/>
      <c r="B1530" s="21" t="str">
        <f>HYPERLINK("http://china-parts.in.ua/p304822550-rychag-stsepleniya-sbore.html","AZ9114230004")</f>
        <v>AZ9114230004</v>
      </c>
      <c r="C1530" s="16" t="s">
        <v>1671</v>
      </c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</row>
    <row r="1531" ht="11.25" customHeight="1">
      <c r="A1531" s="13"/>
      <c r="B1531" s="21" t="str">
        <f>HYPERLINK("http://china-parts.in.ua/p304822551-tyaga-tsilindra-glavnogo.html","AZ9719230016")</f>
        <v>AZ9719230016</v>
      </c>
      <c r="C1531" s="16" t="s">
        <v>1672</v>
      </c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</row>
    <row r="1532" ht="11.25" customHeight="1">
      <c r="A1532" s="13"/>
      <c r="B1532" s="21" t="str">
        <f>HYPERLINK("http://china-parts.in.ua/p503895814-tsilindr-stsepleniya-glavnyj.html","WG9719230013")</f>
        <v>WG9719230013</v>
      </c>
      <c r="C1532" s="16" t="s">
        <v>1673</v>
      </c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</row>
    <row r="1533" ht="11.25" customHeight="1">
      <c r="A1533" s="13"/>
      <c r="B1533" s="21" t="str">
        <f>HYPERLINK("http://china-parts.in.ua/p503895814-tsilindr-stsepleniya-glavnyj.html","WG9719230013-CK")</f>
        <v>WG9719230013-CK</v>
      </c>
      <c r="C1533" s="16" t="s">
        <v>1674</v>
      </c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</row>
    <row r="1534" ht="11.25" customHeight="1">
      <c r="A1534" s="13"/>
      <c r="B1534" s="21" t="str">
        <f>HYPERLINK("http://china-parts.in.ua/p75032797-tsilindr-stsepleniya-glavnyj.html","WG9719230015")</f>
        <v>WG9719230015</v>
      </c>
      <c r="C1534" s="16" t="s">
        <v>1675</v>
      </c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</row>
    <row r="1535" ht="11.25" customHeight="1">
      <c r="A1535" s="13"/>
      <c r="B1535" s="16" t="s">
        <v>1676</v>
      </c>
      <c r="C1535" s="16" t="s">
        <v>1677</v>
      </c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</row>
    <row r="1536" ht="11.25" customHeight="1">
      <c r="A1536" s="13"/>
      <c r="B1536" s="21" t="str">
        <f>HYPERLINK("http://china-parts.in.ua/p75032815-klapan-upravlyayuschij-tormoznoj.html","WG9719230011")</f>
        <v>WG9719230011</v>
      </c>
      <c r="C1536" s="16" t="s">
        <v>1678</v>
      </c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</row>
    <row r="1537" ht="11.25" customHeight="1">
      <c r="A1537" s="13"/>
      <c r="B1537" s="22" t="str">
        <f>HYPERLINK("http://china-parts.in.ua/p304821251-shlang-smazki-mufty.html","51016")</f>
        <v>51016</v>
      </c>
      <c r="C1537" s="16" t="s">
        <v>1679</v>
      </c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</row>
    <row r="1538" ht="11.25" customHeight="1">
      <c r="A1538" s="13"/>
      <c r="B1538" s="22" t="str">
        <f>HYPERLINK("http://china-parts.in.ua/p75032951-shlang-smazki-vyzhimnogo.html","200614")</f>
        <v>200614</v>
      </c>
      <c r="C1538" s="16" t="s">
        <v>1680</v>
      </c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</row>
    <row r="1539" ht="11.25" customHeight="1">
      <c r="A1539" s="13"/>
      <c r="B1539" s="21" t="str">
        <f>HYPERLINK("http://china-parts.in.ua/p304822555-shlang-stsepleniya-maslyanyj.html","WG9719230027")</f>
        <v>WG9719230027</v>
      </c>
      <c r="C1539" s="16" t="s">
        <v>1681</v>
      </c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</row>
    <row r="1540" ht="11.25" customHeight="1">
      <c r="A1540" s="1"/>
      <c r="B1540" s="16"/>
      <c r="C1540" s="17" t="s">
        <v>1682</v>
      </c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ht="11.25" customHeight="1">
      <c r="A1541" s="13"/>
      <c r="B1541" s="22" t="str">
        <f>HYPERLINK("http://china-parts.in.ua/p304820394-bolt-polyj-wd615.html","190003962621")</f>
        <v>190003962621</v>
      </c>
      <c r="C1541" s="16" t="s">
        <v>1683</v>
      </c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</row>
    <row r="1542" ht="11.25" customHeight="1">
      <c r="A1542" s="13"/>
      <c r="B1542" s="21" t="str">
        <f>HYPERLINK("http://china-parts.in.ua/p304820759-datchik-temperatury-dizel.html","R615400090005")</f>
        <v>R615400090005</v>
      </c>
      <c r="C1542" s="16" t="s">
        <v>1684</v>
      </c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</row>
    <row r="1543" ht="11.25" customHeight="1">
      <c r="A1543" s="13"/>
      <c r="B1543" s="16" t="s">
        <v>1685</v>
      </c>
      <c r="C1543" s="16" t="s">
        <v>1686</v>
      </c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</row>
    <row r="1544" ht="11.25" customHeight="1">
      <c r="A1544" s="13"/>
      <c r="B1544" s="21" t="str">
        <f>HYPERLINK("http://china-parts.in.ua/p304820401-datchik-toplivnyj-wd615.html","WG992555002")</f>
        <v>WG992555002</v>
      </c>
      <c r="C1544" s="16" t="s">
        <v>1687</v>
      </c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</row>
    <row r="1545" ht="11.25" customHeight="1">
      <c r="A1545" s="13"/>
      <c r="B1545" s="16" t="s">
        <v>1688</v>
      </c>
      <c r="C1545" s="16" t="s">
        <v>1689</v>
      </c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</row>
    <row r="1546" ht="11.25" customHeight="1">
      <c r="A1546" s="13"/>
      <c r="B1546" s="16" t="s">
        <v>1690</v>
      </c>
      <c r="C1546" s="16" t="s">
        <v>1691</v>
      </c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</row>
    <row r="1547" ht="11.25" customHeight="1">
      <c r="A1547" s="13"/>
      <c r="B1547" s="21" t="str">
        <f>HYPERLINK("http://china-parts.in.ua/p304820402-zazhim-inzhektora-wd615.html","VG15400080094A")</f>
        <v>VG15400080094A</v>
      </c>
      <c r="C1547" s="16" t="s">
        <v>1692</v>
      </c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</row>
    <row r="1548" ht="11.25" customHeight="1">
      <c r="A1548" s="13"/>
      <c r="B1548" s="21" t="str">
        <f>HYPERLINK("http://china-parts.in.ua/p304820409-komplekt-tnvd-evro.html","R611540080016")</f>
        <v>R611540080016</v>
      </c>
      <c r="C1548" s="16" t="s">
        <v>1693</v>
      </c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</row>
    <row r="1549" ht="11.25" customHeight="1">
      <c r="A1549" s="13"/>
      <c r="B1549" s="21" t="str">
        <f>HYPERLINK("http://china-parts.in.ua/p74282897-klapan-tnvd-vg2600080213.html","VG2600080213-CK")</f>
        <v>VG2600080213-CK</v>
      </c>
      <c r="C1549" s="16" t="s">
        <v>1694</v>
      </c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</row>
    <row r="1550" ht="11.25" customHeight="1">
      <c r="A1550" s="13"/>
      <c r="B1550" s="21" t="str">
        <f>HYPERLINK("http://china-parts.in.ua/p304820410-kran-toplivnyj-wd615.html","VG1540080022")</f>
        <v>VG1540080022</v>
      </c>
      <c r="C1550" s="16" t="s">
        <v>1695</v>
      </c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</row>
    <row r="1551" ht="11.25" customHeight="1">
      <c r="A1551" s="13"/>
      <c r="B1551" s="21" t="str">
        <f>HYPERLINK("http://china-parts.in.ua/p304820213-salnik-klapana-maslosyomnyj.html","VG2600040114-CK")</f>
        <v>VG2600040114-CK</v>
      </c>
      <c r="C1551" s="16" t="s">
        <v>1696</v>
      </c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</row>
    <row r="1552" ht="11.25" customHeight="1">
      <c r="A1552" s="13"/>
      <c r="B1552" s="21" t="str">
        <f>HYPERLINK("http://china-parts.in.ua/p304820427-manzheta-forsunki-2325.html","VG1540080018A")</f>
        <v>VG1540080018A</v>
      </c>
      <c r="C1552" s="16" t="s">
        <v>1697</v>
      </c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</row>
    <row r="1553" ht="11.25" customHeight="1">
      <c r="A1553" s="13"/>
      <c r="B1553" s="21" t="str">
        <f>HYPERLINK("http://china-parts.in.ua/p304820617-podushka-filtra-0311.html","VG1560080014")</f>
        <v>VG1560080014</v>
      </c>
      <c r="C1553" s="16" t="s">
        <v>1698</v>
      </c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</row>
    <row r="1554" ht="11.25" customHeight="1">
      <c r="A1554" s="13"/>
      <c r="B1554" s="23">
        <v>6.14080074E8</v>
      </c>
      <c r="C1554" s="16" t="s">
        <v>1699</v>
      </c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</row>
    <row r="1555" ht="11.25" customHeight="1">
      <c r="A1555" s="13"/>
      <c r="B1555" s="21" t="str">
        <f>HYPERLINK("http://china-parts.in.ua/p304820413-kronshtejn-nasosa-raspylitelnogo.html","VG14080074")</f>
        <v>VG14080074</v>
      </c>
      <c r="C1555" s="16" t="s">
        <v>1700</v>
      </c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</row>
    <row r="1556" ht="11.25" customHeight="1">
      <c r="A1556" s="13"/>
      <c r="B1556" s="21" t="str">
        <f>HYPERLINK("http://china-parts.in.ua/p304820414-kronshtejn-nasosa-raspylitelnogo.html","VG1500080174")</f>
        <v>VG1500080174</v>
      </c>
      <c r="C1556" s="16" t="s">
        <v>1701</v>
      </c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</row>
    <row r="1557" ht="11.25" customHeight="1">
      <c r="A1557" s="13"/>
      <c r="B1557" s="21" t="str">
        <f>HYPERLINK("http://china-parts.in.ua/p304820415-kronshtejn-toplivnogo-baka.html","AZ9112550220")</f>
        <v>AZ9112550220</v>
      </c>
      <c r="C1557" s="16" t="s">
        <v>1702</v>
      </c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</row>
    <row r="1558" ht="11.25" customHeight="1">
      <c r="A1558" s="13"/>
      <c r="B1558" s="21" t="str">
        <f>HYPERLINK("http://china-parts.in.ua/p304820411-kronshtejn-podushka-toplivnogo.html","VG14080295A-Z")</f>
        <v>VG14080295A-Z</v>
      </c>
      <c r="C1558" s="16" t="s">
        <v>1703</v>
      </c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</row>
    <row r="1559" ht="11.25" customHeight="1">
      <c r="A1559" s="13"/>
      <c r="B1559" s="21" t="str">
        <f>HYPERLINK("http://china-parts.in.ua/p75032832-kryshka-toplivnogo-baka.html","AZ9112550210-2")</f>
        <v>AZ9112550210-2</v>
      </c>
      <c r="C1559" s="16" t="s">
        <v>1704</v>
      </c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</row>
    <row r="1560" ht="11.25" customHeight="1">
      <c r="A1560" s="13"/>
      <c r="B1560" s="22" t="str">
        <f>HYPERLINK("http://china-parts.in.ua/p503894064-kryshka-toplivnogo-baka.html","9910055005")</f>
        <v>9910055005</v>
      </c>
      <c r="C1560" s="16" t="s">
        <v>1705</v>
      </c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</row>
    <row r="1561" ht="11.25" customHeight="1">
      <c r="A1561" s="13"/>
      <c r="B1561" s="16" t="s">
        <v>1706</v>
      </c>
      <c r="C1561" s="16" t="s">
        <v>1707</v>
      </c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</row>
    <row r="1562" ht="11.25" customHeight="1">
      <c r="A1562" s="13"/>
      <c r="B1562" s="21" t="str">
        <f>HYPERLINK("http://china-parts.in.ua/p304820425-lenta-krepyozhnaya-wd615.html","AZ9112550225")</f>
        <v>AZ9112550225</v>
      </c>
      <c r="C1562" s="16" t="s">
        <v>1708</v>
      </c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</row>
    <row r="1563" ht="11.25" customHeight="1">
      <c r="A1563" s="13"/>
      <c r="B1563" s="21" t="str">
        <f>HYPERLINK("http://china-parts.in.ua/p304820428-mufta-sbore-wd615.html","VG1560080275")</f>
        <v>VG1560080275</v>
      </c>
      <c r="C1563" s="16" t="s">
        <v>1709</v>
      </c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</row>
    <row r="1564" ht="11.25" customHeight="1">
      <c r="A1564" s="13"/>
      <c r="B1564" s="21" t="str">
        <f>HYPERLINK("http://china-parts.in.ua/p304820430-mufta-tnvd-sbore.html","VG1540080300")</f>
        <v>VG1540080300</v>
      </c>
      <c r="C1564" s="16" t="s">
        <v>1710</v>
      </c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</row>
    <row r="1565" ht="11.25" customHeight="1">
      <c r="A1565" s="13"/>
      <c r="B1565" s="21" t="str">
        <f>HYPERLINK("http://china-parts.in.ua/p304820431-mufta-tnvd-sbore.html","VG1560080277")</f>
        <v>VG1560080277</v>
      </c>
      <c r="C1565" s="16" t="s">
        <v>1711</v>
      </c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</row>
    <row r="1566" ht="11.25" customHeight="1">
      <c r="A1566" s="13"/>
      <c r="B1566" s="21" t="str">
        <f>HYPERLINK("http://china-parts.in.ua/p75032922-tnnd-nasos-podkachki.html","614080719-CK")</f>
        <v>614080719-CK</v>
      </c>
      <c r="C1566" s="16" t="s">
        <v>1712</v>
      </c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</row>
    <row r="1567" ht="11.25" customHeight="1">
      <c r="A1567" s="13"/>
      <c r="B1567" s="16" t="s">
        <v>1713</v>
      </c>
      <c r="C1567" s="16" t="s">
        <v>1714</v>
      </c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</row>
    <row r="1568" ht="11.25" customHeight="1">
      <c r="A1568" s="13"/>
      <c r="B1568" s="21" t="str">
        <f>HYPERLINK("http://china-parts.in.ua/p75032858-plastina-mufty-vg1560080219.html","VG1560080219")</f>
        <v>VG1560080219</v>
      </c>
      <c r="C1568" s="16" t="s">
        <v>1715</v>
      </c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</row>
    <row r="1569" ht="11.25" customHeight="1">
      <c r="A1569" s="13"/>
      <c r="B1569" s="21" t="str">
        <f>HYPERLINK("http://china-parts.in.ua/p75032858-plastina-mufty-vg1560080219.html","VG1560080219-md")</f>
        <v>VG1560080219-md</v>
      </c>
      <c r="C1569" s="16" t="s">
        <v>1716</v>
      </c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</row>
    <row r="1570" ht="11.25" customHeight="1">
      <c r="A1570" s="13"/>
      <c r="B1570" s="21" t="str">
        <f>HYPERLINK("http://china-parts.in.ua/p75032858-plastina-mufty-vg1560080219.html","VG1560080219-CK")</f>
        <v>VG1560080219-CK</v>
      </c>
      <c r="C1570" s="16" t="s">
        <v>1716</v>
      </c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</row>
    <row r="1571" ht="11.25" customHeight="1">
      <c r="A1571" s="13"/>
      <c r="B1571" s="21" t="str">
        <f>HYPERLINK("http://china-parts.in.ua/p75032859-plunzhernaya-para-evro2.html","X1700S")</f>
        <v>X1700S</v>
      </c>
      <c r="C1571" s="16" t="s">
        <v>1717</v>
      </c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</row>
    <row r="1572" ht="11.25" customHeight="1">
      <c r="A1572" s="13"/>
      <c r="B1572" s="21" t="str">
        <f>HYPERLINK("http://china-parts.in.ua/p304820441-plunzher-wd615-howo.html","X170S")</f>
        <v>X170S</v>
      </c>
      <c r="C1572" s="16" t="s">
        <v>1718</v>
      </c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</row>
    <row r="1573" ht="11.25" customHeight="1">
      <c r="A1573" s="13"/>
      <c r="B1573" s="21" t="str">
        <f>HYPERLINK("http://china-parts.in.ua/p304820618-podushka-filtra-wd615.html","VG1092080035")</f>
        <v>VG1092080035</v>
      </c>
      <c r="C1573" s="16" t="s">
        <v>1719</v>
      </c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</row>
    <row r="1574" ht="11.25" customHeight="1">
      <c r="A1574" s="13"/>
      <c r="B1574" s="21" t="str">
        <f>HYPERLINK("http://china-parts.in.ua/p304820615-podushka-filtra-0110.html","VG109280034")</f>
        <v>VG109280034</v>
      </c>
      <c r="C1574" s="16" t="s">
        <v>1720</v>
      </c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</row>
    <row r="1575" ht="11.25" customHeight="1">
      <c r="A1575" s="13"/>
      <c r="B1575" s="21" t="str">
        <f>HYPERLINK("http://china-parts.in.ua/p304820616-podushka-filtra-0310.html","VG101280036")</f>
        <v>VG101280036</v>
      </c>
      <c r="C1575" s="16" t="s">
        <v>1721</v>
      </c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</row>
    <row r="1576" ht="11.25" customHeight="1">
      <c r="A1576" s="13"/>
      <c r="B1576" s="21" t="str">
        <f>HYPERLINK("http://china-parts.in.ua/p304820429-mufta-privoda-tnvd.html","VG1560080300")</f>
        <v>VG1560080300</v>
      </c>
      <c r="C1576" s="16" t="s">
        <v>1722</v>
      </c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</row>
    <row r="1577" ht="11.25" customHeight="1">
      <c r="A1577" s="13"/>
      <c r="B1577" s="21" t="str">
        <f>HYPERLINK("http://china-parts.in.ua/p304820443-prokladka-kronshtejna-baka.html","AZ9112550226")</f>
        <v>AZ9112550226</v>
      </c>
      <c r="C1577" s="16" t="s">
        <v>1723</v>
      </c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</row>
    <row r="1578" ht="11.25" customHeight="1">
      <c r="A1578" s="13"/>
      <c r="B1578" s="21" t="str">
        <f>HYPERLINK("http://china-parts.in.ua/p503897724-raspylitel-forsunki-howo.html","DLLA155P180")</f>
        <v>DLLA155P180</v>
      </c>
      <c r="C1578" s="16" t="s">
        <v>1724</v>
      </c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</row>
    <row r="1579" ht="11.25" customHeight="1">
      <c r="A1579" s="13"/>
      <c r="B1579" s="21" t="str">
        <f t="shared" ref="B1579:B1580" si="4">HYPERLINK("http://china-parts.in.ua/p503896581-raspylitel-forsunki-foton.html","DLLA 155P179")</f>
        <v>DLLA 155P179</v>
      </c>
      <c r="C1579" s="16" t="s">
        <v>1725</v>
      </c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</row>
    <row r="1580" ht="11.25" customHeight="1">
      <c r="A1580" s="13"/>
      <c r="B1580" s="21" t="str">
        <f t="shared" si="4"/>
        <v>DLLA 155P179</v>
      </c>
      <c r="C1580" s="16" t="s">
        <v>1725</v>
      </c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</row>
    <row r="1581" ht="11.25" customHeight="1">
      <c r="A1581" s="13"/>
      <c r="B1581" s="16" t="s">
        <v>1726</v>
      </c>
      <c r="C1581" s="16" t="s">
        <v>1727</v>
      </c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</row>
    <row r="1582" ht="11.25" customHeight="1">
      <c r="A1582" s="13"/>
      <c r="B1582" s="23">
        <v>6.1560080255E10</v>
      </c>
      <c r="C1582" s="16" t="s">
        <v>1728</v>
      </c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</row>
    <row r="1583" ht="11.25" customHeight="1">
      <c r="A1583" s="13"/>
      <c r="B1583" s="21" t="str">
        <f>HYPERLINK("http://china-parts.in.ua/p503897793-raspylitel-forsunki-howo.html","DELFI-L204")</f>
        <v>DELFI-L204</v>
      </c>
      <c r="C1583" s="16" t="s">
        <v>1729</v>
      </c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</row>
    <row r="1584" ht="11.25" customHeight="1">
      <c r="A1584" s="13"/>
      <c r="B1584" s="16" t="s">
        <v>1730</v>
      </c>
      <c r="C1584" s="16" t="s">
        <v>1731</v>
      </c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</row>
    <row r="1585" ht="11.25" customHeight="1">
      <c r="A1585" s="13"/>
      <c r="B1585" s="21" t="str">
        <f>HYPERLINK("http://china-parts.in.ua/p304820447-raspylitel-evro2-wd615.html","VG1560080305-1")</f>
        <v>VG1560080305-1</v>
      </c>
      <c r="C1585" s="16" t="s">
        <v>1732</v>
      </c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</row>
    <row r="1586" ht="11.25" customHeight="1">
      <c r="A1586" s="13"/>
      <c r="B1586" s="16" t="s">
        <v>1733</v>
      </c>
      <c r="C1586" s="16" t="s">
        <v>1734</v>
      </c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</row>
    <row r="1587" ht="11.25" customHeight="1">
      <c r="A1587" s="13"/>
      <c r="B1587" s="21" t="str">
        <f>HYPERLINK("http://china-parts.in.ua/p304820496-forsunka-sbore-evro.html","R61540080017A-1")</f>
        <v>R61540080017A-1</v>
      </c>
      <c r="C1587" s="16" t="s">
        <v>1735</v>
      </c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</row>
    <row r="1588" ht="11.25" customHeight="1">
      <c r="A1588" s="13"/>
      <c r="B1588" s="21" t="str">
        <f>HYPERLINK("http://china-parts.in.ua/p503897795-raspylitel-forsunki-howo.html","DLLA 155P179-CK")</f>
        <v>DLLA 155P179-CK</v>
      </c>
      <c r="C1588" s="16" t="s">
        <v>1736</v>
      </c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</row>
    <row r="1589" ht="11.25" customHeight="1">
      <c r="A1589" s="13"/>
      <c r="B1589" s="16" t="s">
        <v>1737</v>
      </c>
      <c r="C1589" s="16" t="s">
        <v>1738</v>
      </c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</row>
    <row r="1590" ht="11.25" customHeight="1">
      <c r="A1590" s="13"/>
      <c r="B1590" s="23">
        <v>6.15600810701E11</v>
      </c>
      <c r="C1590" s="16" t="s">
        <v>1739</v>
      </c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</row>
    <row r="1591" ht="11.25" customHeight="1">
      <c r="A1591" s="13"/>
      <c r="B1591" s="21" t="str">
        <f>HYPERLINK("http://china-parts.in.ua/p503897748-remkomplekt-tnvd-howo.html","RKIP61550")</f>
        <v>RKIP61550</v>
      </c>
      <c r="C1591" s="16" t="s">
        <v>1740</v>
      </c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</row>
    <row r="1592" ht="11.25" customHeight="1">
      <c r="A1592" s="13"/>
      <c r="B1592" s="22" t="str">
        <f>HYPERLINK("http://china-parts.in.ua/p304815040-salnik-kryshki-vala.html","90003070092")</f>
        <v>90003070092</v>
      </c>
      <c r="C1592" s="16" t="s">
        <v>1741</v>
      </c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</row>
    <row r="1593" ht="11.25" customHeight="1">
      <c r="A1593" s="13"/>
      <c r="B1593" s="21" t="str">
        <f>HYPERLINK("http://china-parts.in.ua/p304820212-salnik-forsunki-wd615.html","VG1540040022A")</f>
        <v>VG1540040022A</v>
      </c>
      <c r="C1593" s="16" t="s">
        <v>1742</v>
      </c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</row>
    <row r="1594" ht="11.25" customHeight="1">
      <c r="A1594" s="13"/>
      <c r="B1594" s="22" t="str">
        <f>HYPERLINK("http://china-parts.in.ua/p304820126-gilza-forsunki-wd615.html","61560040049")</f>
        <v>61560040049</v>
      </c>
      <c r="C1594" s="16" t="s">
        <v>1743</v>
      </c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</row>
    <row r="1595" ht="11.25" customHeight="1">
      <c r="A1595" s="13"/>
      <c r="B1595" s="21" t="str">
        <f>HYPERLINK("http://china-parts.in.ua/p75032786-vtulka-forsunku-vg2600040099.html","VG2600040099")</f>
        <v>VG2600040099</v>
      </c>
      <c r="C1595" s="16" t="s">
        <v>1744</v>
      </c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</row>
    <row r="1596" ht="11.25" customHeight="1">
      <c r="A1596" s="13"/>
      <c r="B1596" s="21" t="str">
        <f>HYPERLINK("http://china-parts.in.ua/p304820398-gilza-forsunki-d12.html","VG1246040016")</f>
        <v>VG1246040016</v>
      </c>
      <c r="C1596" s="16" t="s">
        <v>1745</v>
      </c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</row>
    <row r="1597" ht="11.25" customHeight="1">
      <c r="A1597" s="13"/>
      <c r="B1597" s="21" t="str">
        <f>HYPERLINK("http://china-parts.in.ua/p304820397-vtulka-forsunki-evro.html","VG1540040009")</f>
        <v>VG1540040009</v>
      </c>
      <c r="C1597" s="16" t="s">
        <v>1746</v>
      </c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</row>
    <row r="1598" ht="11.25" customHeight="1">
      <c r="A1598" s="13"/>
      <c r="B1598" s="21" t="str">
        <f>HYPERLINK("http://china-parts.in.ua/p304820460-tnvd-toplivnyj-nasos.html","R61540080101")</f>
        <v>R61540080101</v>
      </c>
      <c r="C1598" s="16" t="s">
        <v>1747</v>
      </c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</row>
    <row r="1599" ht="11.25" customHeight="1">
      <c r="A1599" s="13"/>
      <c r="B1599" s="21" t="str">
        <f>HYPERLINK("http://china-parts.in.ua/p304820454-tnvd-toplivnyj-nasos.html","VG15600083162")</f>
        <v>VG15600083162</v>
      </c>
      <c r="C1599" s="16" t="s">
        <v>1748</v>
      </c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</row>
    <row r="1600" ht="11.25" customHeight="1">
      <c r="A1600" s="13"/>
      <c r="B1600" s="21" t="str">
        <f>HYPERLINK("http://china-parts.in.ua/p304820455-tnvd-toplivnyj-nasos.html","VG1560080021")</f>
        <v>VG1560080021</v>
      </c>
      <c r="C1600" s="16" t="s">
        <v>1749</v>
      </c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</row>
    <row r="1601" ht="11.25" customHeight="1">
      <c r="A1601" s="13"/>
      <c r="B1601" s="21" t="str">
        <f>HYPERLINK("http://china-parts.in.ua/p304820456-tnvd-toplivnyj-nasos.html","VG1560080022")</f>
        <v>VG1560080022</v>
      </c>
      <c r="C1601" s="16" t="s">
        <v>1750</v>
      </c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</row>
    <row r="1602" ht="11.25" customHeight="1">
      <c r="A1602" s="13"/>
      <c r="B1602" s="21" t="str">
        <f>HYPERLINK("http://china-parts.in.ua/p304820457-tnvd-toplivnyj-nasos.html","VG1560080023")</f>
        <v>VG1560080023</v>
      </c>
      <c r="C1602" s="16" t="s">
        <v>1751</v>
      </c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</row>
    <row r="1603" ht="11.25" customHeight="1">
      <c r="A1603" s="13"/>
      <c r="B1603" s="21" t="str">
        <f>HYPERLINK("http://china-parts.in.ua/p304820458-tnvd-toplivnyj-nasos.html","VG1560080302")</f>
        <v>VG1560080302</v>
      </c>
      <c r="C1603" s="16" t="s">
        <v>1752</v>
      </c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</row>
    <row r="1604" ht="11.25" customHeight="1">
      <c r="A1604" s="13"/>
      <c r="B1604" s="21" t="str">
        <f>HYPERLINK("http://china-parts.in.ua/p304820459-tnvd-toplivnyj-nasos.html","VG1560083151")</f>
        <v>VG1560083151</v>
      </c>
      <c r="C1604" s="16" t="s">
        <v>1753</v>
      </c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</row>
    <row r="1605" ht="11.25" customHeight="1">
      <c r="A1605" s="13"/>
      <c r="B1605" s="21" t="str">
        <f>HYPERLINK("http://china-parts.in.ua/p304820466-trubka-toplivnaya-toplivoprovod.html","VG1560070060")</f>
        <v>VG1560070060</v>
      </c>
      <c r="C1605" s="16" t="s">
        <v>1754</v>
      </c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</row>
    <row r="1606" ht="11.25" customHeight="1">
      <c r="A1606" s="13"/>
      <c r="B1606" s="21" t="str">
        <f>HYPERLINK("http://china-parts.in.ua/p304820462-trubka-toplivnaya-toplivoprovod.html","VG1560080038")</f>
        <v>VG1560080038</v>
      </c>
      <c r="C1606" s="16" t="s">
        <v>1755</v>
      </c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</row>
    <row r="1607" ht="11.25" customHeight="1">
      <c r="A1607" s="13"/>
      <c r="B1607" s="21" t="str">
        <f>HYPERLINK("http://china-parts.in.ua/p304820468-trubka-toplivnaya-toplivoprovod.html","VG1560080018")</f>
        <v>VG1560080018</v>
      </c>
      <c r="C1607" s="16" t="s">
        <v>1756</v>
      </c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</row>
    <row r="1608" ht="11.25" customHeight="1">
      <c r="A1608" s="13"/>
      <c r="B1608" s="21" t="str">
        <f>HYPERLINK("http://china-parts.in.ua/p304820498-forsunka-evro2-wd615.html","VG1560080276")</f>
        <v>VG1560080276</v>
      </c>
      <c r="C1608" s="16" t="s">
        <v>1757</v>
      </c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</row>
    <row r="1609" ht="11.25" customHeight="1">
      <c r="A1609" s="13"/>
      <c r="B1609" s="21" t="str">
        <f>HYPERLINK("http://china-parts.in.ua/p304820497-forsunka-evro2-wd615.html","VG1560080305")</f>
        <v>VG1560080305</v>
      </c>
      <c r="C1609" s="16" t="s">
        <v>1758</v>
      </c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</row>
    <row r="1610" ht="11.25" customHeight="1">
      <c r="A1610" s="13"/>
      <c r="B1610" s="21" t="str">
        <f>HYPERLINK("http://china-parts.in.ua/p304820496-forsunka-sbore-evro.html","R61540080017A")</f>
        <v>R61540080017A</v>
      </c>
      <c r="C1610" s="16" t="s">
        <v>1759</v>
      </c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</row>
    <row r="1611" ht="11.25" customHeight="1">
      <c r="A1611" s="13"/>
      <c r="B1611" s="21" t="str">
        <f>HYPERLINK("http://china-parts.in.ua/p304820392-bak-toplivnyj-sbore.html","AZ9112550210")</f>
        <v>AZ9112550210</v>
      </c>
      <c r="C1611" s="16" t="s">
        <v>1760</v>
      </c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</row>
    <row r="1612" ht="11.25" customHeight="1">
      <c r="A1612" s="13"/>
      <c r="B1612" s="21" t="str">
        <f>HYPERLINK("http://china-parts.in.ua/p304820393-bak-toplivnyj-sbore.html","WG9725550006")</f>
        <v>WG9725550006</v>
      </c>
      <c r="C1612" s="16" t="s">
        <v>1761</v>
      </c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</row>
    <row r="1613" ht="11.25" customHeight="1">
      <c r="A1613" s="13"/>
      <c r="B1613" s="21" t="str">
        <f>HYPERLINK("http://china-parts.in.ua/p304820491-filtr-toplivnyj-tonkoj.html","VG1540080110")</f>
        <v>VG1540080110</v>
      </c>
      <c r="C1613" s="16" t="s">
        <v>1762</v>
      </c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</row>
    <row r="1614" ht="11.25" customHeight="1">
      <c r="A1614" s="13"/>
      <c r="B1614" s="21" t="str">
        <f>HYPERLINK("http://china-parts.in.ua/p304820488-filtr-toplivnyj-grubokoj.html","VG1540080211")</f>
        <v>VG1540080211</v>
      </c>
      <c r="C1614" s="16" t="s">
        <v>1763</v>
      </c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</row>
    <row r="1615" ht="11.25" customHeight="1">
      <c r="A1615" s="13"/>
      <c r="B1615" s="21" t="str">
        <f>HYPERLINK("http://china-parts.in.ua/p304820485-filtr-toplivnyj-sbore.html","VG14080295A")</f>
        <v>VG14080295A</v>
      </c>
      <c r="C1615" s="16" t="s">
        <v>1764</v>
      </c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</row>
    <row r="1616" ht="11.25" customHeight="1">
      <c r="A1616" s="13"/>
      <c r="B1616" s="21" t="str">
        <f>HYPERLINK("http://china-parts.in.ua/p503897940-tros-gaza-howo.html","WG9725570001-CK")</f>
        <v>WG9725570001-CK</v>
      </c>
      <c r="C1616" s="16" t="s">
        <v>1765</v>
      </c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</row>
    <row r="1617" ht="11.25" customHeight="1">
      <c r="A1617" s="13"/>
      <c r="B1617" s="22" t="str">
        <f>HYPERLINK("http://china-parts.in.ua/p503896406-trubki-tnvd-foton.html","61560080278")</f>
        <v>61560080278</v>
      </c>
      <c r="C1617" s="16" t="s">
        <v>1766</v>
      </c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</row>
    <row r="1618" ht="11.25" customHeight="1">
      <c r="A1618" s="13"/>
      <c r="B1618" s="21" t="str">
        <f>HYPERLINK("http://china-parts.in.ua/p304820626-trubka-tnvd-maslyanaya.html","VG1560070025")</f>
        <v>VG1560070025</v>
      </c>
      <c r="C1618" s="16" t="s">
        <v>1767</v>
      </c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</row>
    <row r="1619" ht="11.25" customHeight="1">
      <c r="A1619" s="13"/>
      <c r="B1619" s="21" t="str">
        <f>HYPERLINK("http://china-parts.in.ua/p304820624-trubka-obratki-masla.html","VG61500080095")</f>
        <v>VG61500080095</v>
      </c>
      <c r="C1619" s="16" t="s">
        <v>1768</v>
      </c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</row>
    <row r="1620" ht="11.25" customHeight="1">
      <c r="A1620" s="13"/>
      <c r="B1620" s="21" t="str">
        <f>HYPERLINK("http://china-parts.in.ua/p503894569-trubki-tnvd-komplekt.html","VG1246080001\VG1540080093")</f>
        <v>VG1246080001\VG1540080093</v>
      </c>
      <c r="C1620" s="16" t="s">
        <v>1769</v>
      </c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</row>
    <row r="1621" ht="11.25" customHeight="1">
      <c r="A1621" s="13"/>
      <c r="B1621" s="21" t="str">
        <f>HYPERLINK("http://china-parts.in.ua/p304820461-trubka-toplivnaya-toplivoprovod.html","VG1047080005")</f>
        <v>VG1047080005</v>
      </c>
      <c r="C1621" s="16" t="s">
        <v>1770</v>
      </c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</row>
    <row r="1622" ht="11.25" customHeight="1">
      <c r="A1622" s="13"/>
      <c r="B1622" s="21" t="str">
        <f>HYPERLINK("http://china-parts.in.ua/p304820467-trubka-toplivnaya-toplivoprovod.html","VG1560080017")</f>
        <v>VG1560080017</v>
      </c>
      <c r="C1622" s="16" t="s">
        <v>1771</v>
      </c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</row>
    <row r="1623" ht="11.25" customHeight="1">
      <c r="A1623" s="13"/>
      <c r="B1623" s="21" t="str">
        <f>HYPERLINK("http://china-parts.in.ua/p304820471-trubka-toplivnaya-toplivoprovod.html","VG1560087018")</f>
        <v>VG1560087018</v>
      </c>
      <c r="C1623" s="16" t="s">
        <v>1772</v>
      </c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</row>
    <row r="1624" ht="11.25" customHeight="1">
      <c r="A1624" s="13"/>
      <c r="B1624" s="21" t="str">
        <f>HYPERLINK("http://china-parts.in.ua/p304820407-komplekt-patrubka-vysokogo.html","VG1540080093")</f>
        <v>VG1540080093</v>
      </c>
      <c r="C1624" s="16" t="s">
        <v>1773</v>
      </c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</row>
    <row r="1625" ht="11.25" customHeight="1">
      <c r="A1625" s="13"/>
      <c r="B1625" s="21" t="str">
        <f>HYPERLINK("http://china-parts.in.ua/p304820408-komplekt-patrubka-vysokogo.html","VG1540080094")</f>
        <v>VG1540080094</v>
      </c>
      <c r="C1625" s="16" t="s">
        <v>1774</v>
      </c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</row>
    <row r="1626" ht="11.25" customHeight="1">
      <c r="A1626" s="13"/>
      <c r="B1626" s="21" t="str">
        <f>HYPERLINK("http://china-parts.in.ua/p75032950-trubka-toplivnaya-komplekt.html","VG1560080278A")</f>
        <v>VG1560080278A</v>
      </c>
      <c r="C1626" s="16" t="s">
        <v>1775</v>
      </c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</row>
    <row r="1627" ht="11.25" customHeight="1">
      <c r="A1627" s="13"/>
      <c r="B1627" s="21" t="str">
        <f>HYPERLINK("http://china-parts.in.ua/p304820502-shlang-obratki-forsunki.html","VG1099089065")</f>
        <v>VG1099089065</v>
      </c>
      <c r="C1627" s="16" t="s">
        <v>1776</v>
      </c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</row>
    <row r="1628" ht="11.25" customHeight="1">
      <c r="A1628" s="13"/>
      <c r="B1628" s="21" t="str">
        <f>HYPERLINK("http://china-parts.in.ua/p304820463-trubka-toplivnaya-toplivoprovod.html","VG1092080017")</f>
        <v>VG1092080017</v>
      </c>
      <c r="C1628" s="16" t="s">
        <v>1777</v>
      </c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</row>
    <row r="1629" ht="11.25" customHeight="1">
      <c r="A1629" s="13"/>
      <c r="B1629" s="21" t="str">
        <f>HYPERLINK("http://china-parts.in.ua/p304820482-trubka-toplivnaya-vysokogo.html","VG1540080040")</f>
        <v>VG1540080040</v>
      </c>
      <c r="C1629" s="16" t="s">
        <v>1778</v>
      </c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</row>
    <row r="1630" ht="11.25" customHeight="1">
      <c r="A1630" s="13"/>
      <c r="B1630" s="21" t="str">
        <f>HYPERLINK("http://china-parts.in.ua/p304820481-trubka-toplivnaya-vysokogo.html","VG1557080036")</f>
        <v>VG1557080036</v>
      </c>
      <c r="C1630" s="16" t="s">
        <v>1779</v>
      </c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</row>
    <row r="1631" ht="11.25" customHeight="1">
      <c r="A1631" s="13"/>
      <c r="B1631" s="22" t="str">
        <f>HYPERLINK("http://china-parts.in.ua/p304820440-plastina-ugol-uregulirovannaya.html","61560080194")</f>
        <v>61560080194</v>
      </c>
      <c r="C1631" s="16" t="s">
        <v>1780</v>
      </c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</row>
    <row r="1632" ht="11.25" customHeight="1">
      <c r="A1632" s="13"/>
      <c r="B1632" s="23">
        <v>6.1560080276E10</v>
      </c>
      <c r="C1632" s="16" t="s">
        <v>1781</v>
      </c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</row>
    <row r="1633" ht="11.25" customHeight="1">
      <c r="A1633" s="13"/>
      <c r="B1633" s="21" t="str">
        <f>HYPERLINK("http://china-parts.in.ua/p304820635-shlang-maslyanyj-sbore.html","VG1560070011A")</f>
        <v>VG1560070011A</v>
      </c>
      <c r="C1633" s="16" t="s">
        <v>1782</v>
      </c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</row>
    <row r="1634" ht="11.25" customHeight="1">
      <c r="A1634" s="13"/>
      <c r="B1634" s="21" t="str">
        <f>HYPERLINK("http://china-parts.in.ua/p304820625-trubka-tnvd-maslyanaya.html","VG1560070012A")</f>
        <v>VG1560070012A</v>
      </c>
      <c r="C1634" s="16" t="s">
        <v>1783</v>
      </c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</row>
    <row r="1635" ht="11.25" customHeight="1">
      <c r="A1635" s="13"/>
      <c r="B1635" s="22" t="str">
        <f>HYPERLINK("http://china-parts.in.ua/p304820501-shlang-obratki-sbore.html","61500080095")</f>
        <v>61500080095</v>
      </c>
      <c r="C1635" s="16" t="s">
        <v>1784</v>
      </c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</row>
    <row r="1636" ht="11.25" customHeight="1">
      <c r="A1636" s="1"/>
      <c r="B1636" s="16"/>
      <c r="C1636" s="17" t="s">
        <v>1785</v>
      </c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ht="11.25" customHeight="1">
      <c r="A1637" s="13"/>
      <c r="B1637" s="21" t="str">
        <f>HYPERLINK("http://china-parts.in.ua/p304821772-baraban-tormoznoj-zadnij.html","AZ9112340006")</f>
        <v>AZ9112340006</v>
      </c>
      <c r="C1637" s="16" t="s">
        <v>1786</v>
      </c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</row>
    <row r="1638" ht="11.25" customHeight="1">
      <c r="A1638" s="13"/>
      <c r="B1638" s="21" t="str">
        <f>HYPERLINK("http://china-parts.in.ua/p75032735-baraban-tormoznoj-zadnij.html","AZ9118340006")</f>
        <v>AZ9118340006</v>
      </c>
      <c r="C1638" s="16" t="s">
        <v>1787</v>
      </c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</row>
    <row r="1639" ht="11.25" customHeight="1">
      <c r="A1639" s="13"/>
      <c r="B1639" s="21" t="str">
        <f>HYPERLINK("http://china-parts.in.ua/p75032736-baraban-tormoznoj-perednij.html","AZ9112440001")</f>
        <v>AZ9112440001</v>
      </c>
      <c r="C1639" s="16" t="s">
        <v>1788</v>
      </c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</row>
    <row r="1640" ht="11.25" customHeight="1">
      <c r="A1640" s="13"/>
      <c r="B1640" s="21" t="str">
        <f>HYPERLINK("http://china-parts.in.ua/p75032739-val-tormoznoj-zadnij.html","AZ9199112340026")</f>
        <v>AZ9199112340026</v>
      </c>
      <c r="C1640" s="16" t="s">
        <v>1789</v>
      </c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</row>
    <row r="1641" ht="11.25" customHeight="1">
      <c r="A1641" s="13"/>
      <c r="B1641" s="21" t="str">
        <f>HYPERLINK("http://china-parts.in.ua/p503894049-val-tormoznoj-zadnij.html","AZ199112340026")</f>
        <v>AZ199112340026</v>
      </c>
      <c r="C1641" s="16" t="s">
        <v>1790</v>
      </c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</row>
    <row r="1642" ht="11.25" customHeight="1">
      <c r="A1642" s="13"/>
      <c r="B1642" s="21" t="str">
        <f>HYPERLINK("http://china-parts.in.ua/p75032740-val-tormoznoj-zadnij.html","AZ9199112340027")</f>
        <v>AZ9199112340027</v>
      </c>
      <c r="C1642" s="16" t="s">
        <v>1791</v>
      </c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</row>
    <row r="1643" ht="11.25" customHeight="1">
      <c r="A1643" s="13"/>
      <c r="B1643" s="22" t="str">
        <f>HYPERLINK("http://china-parts.in.ua/p304821779-val-kulachkovyj-tormoznoj.html","199100440001")</f>
        <v>199100440001</v>
      </c>
      <c r="C1643" s="16" t="s">
        <v>1792</v>
      </c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</row>
    <row r="1644" ht="11.25" customHeight="1">
      <c r="A1644" s="13"/>
      <c r="B1644" s="22" t="str">
        <f>HYPERLINK("http://china-parts.in.ua/p304821780-val-kulachkovyj-tormoznoj.html","199100440002")</f>
        <v>199100440002</v>
      </c>
      <c r="C1644" s="16" t="s">
        <v>1793</v>
      </c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</row>
    <row r="1645" ht="11.25" customHeight="1">
      <c r="A1645" s="13"/>
      <c r="B1645" s="21" t="str">
        <f>HYPERLINK("http://china-parts.in.ua/p75032778-val-tormoznoj-perednij.html","AZ199100440001")</f>
        <v>AZ199100440001</v>
      </c>
      <c r="C1645" s="16" t="s">
        <v>1794</v>
      </c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</row>
    <row r="1646" ht="11.25" customHeight="1">
      <c r="A1646" s="13"/>
      <c r="B1646" s="21" t="str">
        <f>HYPERLINK("http://china-parts.in.ua/p75032779-val-tormoznoj-perednij.html","AZ199100440002")</f>
        <v>AZ199100440002</v>
      </c>
      <c r="C1646" s="16" t="s">
        <v>1795</v>
      </c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</row>
    <row r="1647" ht="11.25" customHeight="1">
      <c r="A1647" s="13"/>
      <c r="B1647" s="21" t="str">
        <f>HYPERLINK("http://china-parts.in.ua/p304821931-vtulka-razzhimnogo-kulaka.html","AZ9100340017")</f>
        <v>AZ9100340017</v>
      </c>
      <c r="C1647" s="16" t="s">
        <v>1796</v>
      </c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</row>
    <row r="1648" ht="11.25" customHeight="1">
      <c r="A1648" s="13"/>
      <c r="B1648" s="21" t="str">
        <f>HYPERLINK("http://china-parts.in.ua/p503895878-vtulka-razzhimnogo-kulaka.html","WG9100340017")</f>
        <v>WG9100340017</v>
      </c>
      <c r="C1648" s="16" t="s">
        <v>1797</v>
      </c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</row>
    <row r="1649" ht="11.25" customHeight="1">
      <c r="A1649" s="13"/>
      <c r="B1649" s="22" t="str">
        <f>HYPERLINK("http://china-parts.in.ua/p75032787-vtulka-prohodnaya-kolodki.html","1880340016")</f>
        <v>1880340016</v>
      </c>
      <c r="C1649" s="16" t="s">
        <v>1798</v>
      </c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</row>
    <row r="1650" ht="11.25" customHeight="1">
      <c r="A1650" s="13"/>
      <c r="B1650" s="16" t="s">
        <v>1799</v>
      </c>
      <c r="C1650" s="16" t="s">
        <v>1800</v>
      </c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</row>
    <row r="1651" ht="11.25" customHeight="1">
      <c r="A1651" s="13"/>
      <c r="B1651" s="21" t="str">
        <f>HYPERLINK("http://china-parts.in.ua/p304821785-vtulka-perednyaya-tormoznoj.html","WG880440006")</f>
        <v>WG880440006</v>
      </c>
      <c r="C1651" s="16" t="s">
        <v>1801</v>
      </c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</row>
    <row r="1652" ht="11.25" customHeight="1">
      <c r="A1652" s="13"/>
      <c r="B1652" s="21" t="str">
        <f>HYPERLINK("http://china-parts.in.ua/p304820680-truba-priyomnaya-wd615.html","WG9725541041")</f>
        <v>WG9725541041</v>
      </c>
      <c r="C1652" s="16" t="s">
        <v>1802</v>
      </c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</row>
    <row r="1653" ht="11.25" customHeight="1">
      <c r="A1653" s="13"/>
      <c r="B1653" s="21" t="str">
        <f>HYPERLINK("http://china-parts.in.ua/p304820681-truba-priyomnaya-wd615.html","WG9725541042")</f>
        <v>WG9725541042</v>
      </c>
      <c r="C1653" s="16" t="s">
        <v>1803</v>
      </c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</row>
    <row r="1654" ht="11.25" customHeight="1">
      <c r="A1654" s="13"/>
      <c r="B1654" s="23">
        <v>7654321.0</v>
      </c>
      <c r="C1654" s="16" t="s">
        <v>1804</v>
      </c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</row>
    <row r="1655" ht="11.25" customHeight="1">
      <c r="A1655" s="13"/>
      <c r="B1655" s="21" t="str">
        <f>HYPERLINK("http://china-parts.in.ua/p304821786-disk-opornyj-tormoznyh.html","AZ9107340062")</f>
        <v>AZ9107340062</v>
      </c>
      <c r="C1655" s="16" t="s">
        <v>1805</v>
      </c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</row>
    <row r="1656" ht="11.25" customHeight="1">
      <c r="A1656" s="13"/>
      <c r="B1656" s="22" t="str">
        <f>HYPERLINK("http://china-parts.in.ua/p75032807-zaklepka-tormoznoj-kolodki189000340068.html","189000340068")</f>
        <v>189000340068</v>
      </c>
      <c r="C1656" s="16" t="s">
        <v>1806</v>
      </c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</row>
    <row r="1657" ht="11.25" customHeight="1">
      <c r="A1657" s="13"/>
      <c r="B1657" s="21" t="str">
        <f>HYPERLINK("http://china-parts.in.ua/p304821791-kamera-tormoznaya-perednyaya.html","WG9000360108")</f>
        <v>WG9000360108</v>
      </c>
      <c r="C1657" s="16" t="s">
        <v>1807</v>
      </c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</row>
    <row r="1658" ht="11.25" customHeight="1">
      <c r="A1658" s="13"/>
      <c r="B1658" s="21" t="str">
        <f>HYPERLINK("http://china-parts.in.ua/p304820767-klapan-abs-elektromagnitnyj.html","3550ADQ-010")</f>
        <v>3550ADQ-010</v>
      </c>
      <c r="C1658" s="16" t="s">
        <v>1808</v>
      </c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</row>
    <row r="1659" ht="11.25" customHeight="1">
      <c r="A1659" s="13"/>
      <c r="B1659" s="16" t="s">
        <v>1809</v>
      </c>
      <c r="C1659" s="16" t="s">
        <v>1810</v>
      </c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</row>
    <row r="1660" ht="11.25" customHeight="1">
      <c r="A1660" s="13"/>
      <c r="B1660" s="21" t="str">
        <f>HYPERLINK("http://china-parts.in.ua/p304821800-klapan-tormoznoj-uskoritelnyj.html","WG9000360134")</f>
        <v>WG9000360134</v>
      </c>
      <c r="C1660" s="16" t="s">
        <v>1811</v>
      </c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</row>
    <row r="1661" ht="11.25" customHeight="1">
      <c r="A1661" s="13"/>
      <c r="B1661" s="21" t="str">
        <f>HYPERLINK("http://china-parts.in.ua/p304821795-klapan-predohranitelnyj-konturnyj.html","WG9000360366")</f>
        <v>WG9000360366</v>
      </c>
      <c r="C1661" s="16" t="s">
        <v>1812</v>
      </c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</row>
    <row r="1662" ht="11.25" customHeight="1">
      <c r="A1662" s="13"/>
      <c r="B1662" s="16" t="s">
        <v>1813</v>
      </c>
      <c r="C1662" s="16" t="s">
        <v>1814</v>
      </c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</row>
    <row r="1663" ht="11.25" customHeight="1">
      <c r="A1663" s="13"/>
      <c r="B1663" s="22" t="str">
        <f>HYPERLINK("http://china-parts.in.ua/p304821808-kolpak-tormoza-pylezaschitnyj.html","1880440007")</f>
        <v>1880440007</v>
      </c>
      <c r="C1663" s="16" t="s">
        <v>1815</v>
      </c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</row>
    <row r="1664" ht="11.25" customHeight="1">
      <c r="A1664" s="13"/>
      <c r="B1664" s="16" t="s">
        <v>1816</v>
      </c>
      <c r="C1664" s="16" t="s">
        <v>1817</v>
      </c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</row>
    <row r="1665" ht="11.25" customHeight="1">
      <c r="A1665" s="13"/>
      <c r="B1665" s="22" t="str">
        <f>HYPERLINK("http://china-parts.in.ua/p304821805-kolodka-tormoznaya-zadnyaya.html","199000340061")</f>
        <v>199000340061</v>
      </c>
      <c r="C1665" s="16" t="s">
        <v>1818</v>
      </c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</row>
    <row r="1666" ht="11.25" customHeight="1">
      <c r="A1666" s="13"/>
      <c r="B1666" s="22" t="str">
        <f>HYPERLINK("http://china-parts.in.ua/p75032816-kolodka-tormoznaya-perednyaya.html","199000440031")</f>
        <v>199000440031</v>
      </c>
      <c r="C1666" s="16" t="s">
        <v>1819</v>
      </c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</row>
    <row r="1667" ht="11.25" customHeight="1">
      <c r="A1667" s="13"/>
      <c r="B1667" s="21" t="str">
        <f>HYPERLINK("http://china-parts.in.ua/p304820712-kompressor-sbore-rabochih.html","VG1560130080")</f>
        <v>VG1560130080</v>
      </c>
      <c r="C1667" s="16" t="s">
        <v>1820</v>
      </c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</row>
    <row r="1668" ht="11.25" customHeight="1">
      <c r="A1668" s="13"/>
      <c r="B1668" s="21" t="str">
        <f>HYPERLINK("http://china-parts.in.ua/p75032819-kompressor-odnotsilindrovyj-sbore.html","VG1560130070")</f>
        <v>VG1560130070</v>
      </c>
      <c r="C1668" s="16" t="s">
        <v>1821</v>
      </c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</row>
    <row r="1669" ht="11.25" customHeight="1">
      <c r="A1669" s="13"/>
      <c r="B1669" s="21" t="str">
        <f>HYPERLINK("http://china-parts.in.ua/p304821811-kran-ruchnogo-tormoza.html","WG9000360165")</f>
        <v>WG9000360165</v>
      </c>
      <c r="C1669" s="16" t="s">
        <v>1822</v>
      </c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</row>
    <row r="1670" ht="11.25" customHeight="1">
      <c r="A1670" s="13"/>
      <c r="B1670" s="22" t="str">
        <f>HYPERLINK("http://china-parts.in.ua/p304821816-kronshtejn-kulaka-razzhimnogo.html","199014340041")</f>
        <v>199014340041</v>
      </c>
      <c r="C1670" s="16" t="s">
        <v>1823</v>
      </c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</row>
    <row r="1671" ht="11.25" customHeight="1">
      <c r="A1671" s="13"/>
      <c r="B1671" s="22" t="str">
        <f>HYPERLINK("http://china-parts.in.ua/p304821815-kronshtejn-kamery-zadnej.html","199014340042")</f>
        <v>199014340042</v>
      </c>
      <c r="C1671" s="16" t="s">
        <v>1824</v>
      </c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</row>
    <row r="1672" ht="11.25" customHeight="1">
      <c r="A1672" s="13"/>
      <c r="B1672" s="21" t="str">
        <f>HYPERLINK("http://china-parts.in.ua/p304820715-kryshka-shesterni-kompressora.html","VG1560010069")</f>
        <v>VG1560010069</v>
      </c>
      <c r="C1672" s="16" t="s">
        <v>1825</v>
      </c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</row>
    <row r="1673" ht="11.25" customHeight="1">
      <c r="A1673" s="13"/>
      <c r="B1673" s="21" t="str">
        <f>HYPERLINK("http://china-parts.in.ua/p304820716-kryshka-shesterni-kompressora.html","VG2600010830")</f>
        <v>VG2600010830</v>
      </c>
      <c r="C1673" s="16" t="s">
        <v>1826</v>
      </c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</row>
    <row r="1674" ht="11.25" customHeight="1">
      <c r="A1674" s="13"/>
      <c r="B1674" s="21" t="str">
        <f>HYPERLINK("http://china-parts.in.ua/p304821775-val-kulachkovyj-tormoza.html","AZ9231340226")</f>
        <v>AZ9231340226</v>
      </c>
      <c r="C1674" s="16" t="s">
        <v>1827</v>
      </c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</row>
    <row r="1675" ht="11.25" customHeight="1">
      <c r="A1675" s="13"/>
      <c r="B1675" s="21" t="str">
        <f>HYPERLINK("http://china-parts.in.ua/p304821777-val-kulachkovyj-tormoza.html","AZ9231340227")</f>
        <v>AZ9231340227</v>
      </c>
      <c r="C1675" s="16" t="s">
        <v>1828</v>
      </c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</row>
    <row r="1676" ht="11.25" customHeight="1">
      <c r="A1676" s="13"/>
      <c r="B1676" s="16" t="s">
        <v>1829</v>
      </c>
      <c r="C1676" s="16" t="s">
        <v>1830</v>
      </c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</row>
    <row r="1677" ht="11.25" customHeight="1">
      <c r="A1677" s="13"/>
      <c r="B1677" s="22" t="str">
        <f>HYPERLINK("http://china-parts.in.ua/p503895853-membrana-zadnego-energoakkumulyatora.html","9910036936")</f>
        <v>9910036936</v>
      </c>
      <c r="C1677" s="16" t="s">
        <v>1831</v>
      </c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</row>
    <row r="1678" ht="11.25" customHeight="1">
      <c r="A1678" s="13"/>
      <c r="B1678" s="21" t="str">
        <f>HYPERLINK("http://china-parts.in.ua/p360545987-nakladka-tormoznaya-zadnyaya.html","AZ9231342061")</f>
        <v>AZ9231342061</v>
      </c>
      <c r="C1678" s="16" t="s">
        <v>1832</v>
      </c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</row>
    <row r="1679" ht="11.25" customHeight="1">
      <c r="A1679" s="13"/>
      <c r="B1679" s="21" t="str">
        <f>HYPERLINK("http://china-parts.in.ua/p304821823-nakladka-tormoznaya-zadnyaya.html","WG9200340068A")</f>
        <v>WG9200340068A</v>
      </c>
      <c r="C1679" s="16" t="s">
        <v>1833</v>
      </c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</row>
    <row r="1680" ht="11.25" customHeight="1">
      <c r="A1680" s="13"/>
      <c r="B1680" s="21" t="str">
        <f>HYPERLINK("http://china-parts.in.ua/p503893911-nakladka-tormoznaya-zadnyaya.html","WG9231342068-CK")</f>
        <v>WG9231342068-CK</v>
      </c>
      <c r="C1680" s="16" t="s">
        <v>1834</v>
      </c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</row>
    <row r="1681" ht="11.25" customHeight="1">
      <c r="A1681" s="13"/>
      <c r="B1681" s="21" t="str">
        <f>HYPERLINK("http://china-parts.in.ua/p75032843-nakladka-tormoznaya-zadnyaya.html","WG9200340068")</f>
        <v>WG9200340068</v>
      </c>
      <c r="C1681" s="16" t="s">
        <v>1835</v>
      </c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</row>
    <row r="1682" ht="11.25" customHeight="1">
      <c r="A1682" s="13"/>
      <c r="B1682" s="21" t="str">
        <f>HYPERLINK("http://china-parts.in.ua/p75032843-nakladka-tormoznaya-zadnyaya.html","WG9200340068-RED")</f>
        <v>WG9200340068-RED</v>
      </c>
      <c r="C1682" s="16" t="s">
        <v>1836</v>
      </c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</row>
    <row r="1683" ht="11.25" customHeight="1">
      <c r="A1683" s="13"/>
      <c r="B1683" s="21" t="str">
        <f>HYPERLINK("http://china-parts.in.ua/p503895553-nakladka-tormoznaya-zadnyaya.html","WG92200340068-CK")</f>
        <v>WG92200340068-CK</v>
      </c>
      <c r="C1683" s="16" t="s">
        <v>1837</v>
      </c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</row>
    <row r="1684" ht="11.25" customHeight="1">
      <c r="A1684" s="13"/>
      <c r="B1684" s="21" t="str">
        <f>HYPERLINK("http://china-parts.in.ua/p304821820-nakladka-tormoznaya-howo.html","WG9100440027")</f>
        <v>WG9100440027</v>
      </c>
      <c r="C1684" s="16" t="s">
        <v>1838</v>
      </c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</row>
    <row r="1685" ht="11.25" customHeight="1">
      <c r="A1685" s="13"/>
      <c r="B1685" s="21" t="str">
        <f>HYPERLINK("http://china-parts.in.ua/p503895861-nakladka-tormoznaya-perednyaya.html","WG9100440027-CK")</f>
        <v>WG9100440027-CK</v>
      </c>
      <c r="C1685" s="16" t="s">
        <v>1839</v>
      </c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</row>
    <row r="1686" ht="11.25" customHeight="1">
      <c r="A1686" s="13"/>
      <c r="B1686" s="21" t="str">
        <f>HYPERLINK("http://china-parts.in.ua/p304821822-nakladka-tormoznaya-verhnyaya.html","WG9100440027A")</f>
        <v>WG9100440027A</v>
      </c>
      <c r="C1686" s="16" t="s">
        <v>1840</v>
      </c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</row>
    <row r="1687" ht="11.25" customHeight="1">
      <c r="A1687" s="13"/>
      <c r="B1687" s="21" t="str">
        <f>HYPERLINK("http://china-parts.in.ua/p304821825-nakladka-tormoznaya-nizhnyaya.html","WG9100440029A")</f>
        <v>WG9100440029A</v>
      </c>
      <c r="C1687" s="16" t="s">
        <v>1841</v>
      </c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</row>
    <row r="1688" ht="11.25" customHeight="1">
      <c r="A1688" s="13"/>
      <c r="B1688" s="21" t="str">
        <f>HYPERLINK("http://china-parts.in.ua/p304821821-nakladka-tormoznaya-howo.html","WG9100440029")</f>
        <v>WG9100440029</v>
      </c>
      <c r="C1688" s="16" t="s">
        <v>1842</v>
      </c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</row>
    <row r="1689" ht="11.25" customHeight="1">
      <c r="A1689" s="13"/>
      <c r="B1689" s="21" t="str">
        <f>HYPERLINK("http://china-parts.in.ua/p503895861-nakladka-tormoznaya-perednyaya.html","WG9100440029-CK")</f>
        <v>WG9100440029-CK</v>
      </c>
      <c r="C1689" s="16" t="s">
        <v>1843</v>
      </c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</row>
    <row r="1690" ht="11.25" customHeight="1">
      <c r="A1690" s="13"/>
      <c r="B1690" s="22" t="str">
        <f>HYPERLINK("http://china-parts.in.ua/p75032850-opornyj-palets-tormoznoj.html","1880410038")</f>
        <v>1880410038</v>
      </c>
      <c r="C1690" s="16" t="s">
        <v>1844</v>
      </c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</row>
    <row r="1691" ht="11.25" customHeight="1">
      <c r="A1691" s="13"/>
      <c r="B1691" s="21" t="str">
        <f>HYPERLINK("http://china-parts.in.ua/p75032852-zadnej-kolodki-supporta.html","199000340064-1")</f>
        <v>199000340064-1</v>
      </c>
      <c r="C1691" s="16" t="s">
        <v>1845</v>
      </c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</row>
    <row r="1692" ht="11.25" customHeight="1">
      <c r="A1692" s="13"/>
      <c r="B1692" s="22" t="str">
        <f>HYPERLINK("http://china-parts.in.ua/p75032852-zadnej-kolodki-supporta.html","199000340064")</f>
        <v>199000340064</v>
      </c>
      <c r="C1692" s="16" t="s">
        <v>1846</v>
      </c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</row>
    <row r="1693" ht="11.25" customHeight="1">
      <c r="A1693" s="13"/>
      <c r="B1693" s="22" t="str">
        <f>HYPERLINK("http://china-parts.in.ua/p75032854-palets-styazhnoj-pruzhiny1880440032.html","1880440032")</f>
        <v>1880440032</v>
      </c>
      <c r="C1693" s="16" t="s">
        <v>1847</v>
      </c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</row>
    <row r="1694" ht="11.25" customHeight="1">
      <c r="A1694" s="13"/>
      <c r="B1694" s="21" t="str">
        <f>HYPERLINK("http://china-parts.in.ua/p304820719-porshen-kompressora-wd615.html","VG1560130070-1")</f>
        <v>VG1560130070-1</v>
      </c>
      <c r="C1694" s="16" t="s">
        <v>1848</v>
      </c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</row>
    <row r="1695" ht="11.25" customHeight="1">
      <c r="A1695" s="13"/>
      <c r="B1695" s="21" t="str">
        <f>HYPERLINK("http://china-parts.in.ua/p304820352-porshen-kompressora-rabochih.html","VG1560130080-1")</f>
        <v>VG1560130080-1</v>
      </c>
      <c r="C1695" s="16" t="s">
        <v>1849</v>
      </c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</row>
    <row r="1696" ht="11.25" customHeight="1">
      <c r="A1696" s="13"/>
      <c r="B1696" s="16" t="s">
        <v>1850</v>
      </c>
      <c r="C1696" s="16" t="s">
        <v>1851</v>
      </c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</row>
    <row r="1697" ht="11.25" customHeight="1">
      <c r="A1697" s="13"/>
      <c r="B1697" s="21" t="str">
        <f>HYPERLINK("http://china-parts.in.ua/p75032880-pruzhina-styazhnaya-perednie.html","AZ9100440060")</f>
        <v>AZ9100440060</v>
      </c>
      <c r="C1697" s="16" t="s">
        <v>1852</v>
      </c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</row>
    <row r="1698" ht="11.25" customHeight="1">
      <c r="A1698" s="13"/>
      <c r="B1698" s="16" t="s">
        <v>1853</v>
      </c>
      <c r="C1698" s="16" t="s">
        <v>1854</v>
      </c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</row>
    <row r="1699" ht="11.25" customHeight="1">
      <c r="A1699" s="13"/>
      <c r="B1699" s="22" t="str">
        <f>HYPERLINK("http://china-parts.in.ua/p75032881-pruzhina-tormoznoj-kolodki.html","199112340049")</f>
        <v>199112340049</v>
      </c>
      <c r="C1699" s="16" t="s">
        <v>1855</v>
      </c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</row>
    <row r="1700" ht="11.25" customHeight="1">
      <c r="A1700" s="13"/>
      <c r="B1700" s="21" t="str">
        <f>HYPERLINK("http://china-parts.in.ua/p304821834-pruzhina-tormoznoj-kolodki.html","AZ9100340012")</f>
        <v>AZ9100340012</v>
      </c>
      <c r="C1700" s="16" t="s">
        <v>1856</v>
      </c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</row>
    <row r="1701" ht="11.25" customHeight="1">
      <c r="A1701" s="13"/>
      <c r="B1701" s="21" t="str">
        <f>HYPERLINK("http://china-parts.in.ua/p75032891-remkomplekt-kamery-tormoznoj.html","08072014/2")</f>
        <v>08072014/2</v>
      </c>
      <c r="C1701" s="16" t="s">
        <v>1857</v>
      </c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</row>
    <row r="1702" ht="11.25" customHeight="1">
      <c r="A1702" s="13"/>
      <c r="B1702" s="21" t="str">
        <f>HYPERLINK("http://china-parts.in.ua/p304820720-remkomplekt-kompressora-rabochij.html","VG1560130070-XLB")</f>
        <v>VG1560130070-XLB</v>
      </c>
      <c r="C1702" s="16" t="s">
        <v>1858</v>
      </c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</row>
    <row r="1703" ht="11.25" customHeight="1">
      <c r="A1703" s="13"/>
      <c r="B1703" s="21" t="str">
        <f>HYPERLINK("http://china-parts.in.ua/p304820722-remkomplekt-kompressora-rabochih.html","VG1560130080-XLB")</f>
        <v>VG1560130080-XLB</v>
      </c>
      <c r="C1703" s="16" t="s">
        <v>1859</v>
      </c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</row>
    <row r="1704" ht="11.25" customHeight="1">
      <c r="A1704" s="13"/>
      <c r="B1704" s="21" t="str">
        <f>HYPERLINK("http://china-parts.in.ua/p75032892-remkomplekt-kompressora-vg1560130070.html","VG1560130070-H26")</f>
        <v>VG1560130070-H26</v>
      </c>
      <c r="C1704" s="16" t="s">
        <v>1860</v>
      </c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</row>
    <row r="1705" ht="11.25" customHeight="1">
      <c r="A1705" s="13"/>
      <c r="B1705" s="21" t="str">
        <f>HYPERLINK("http://china-parts.in.ua/p304820721-remkomplekt-kompressora-tsilindr.html","AZ1560130070-XLB")</f>
        <v>AZ1560130070-XLB</v>
      </c>
      <c r="C1705" s="16" t="s">
        <v>1861</v>
      </c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</row>
    <row r="1706" ht="11.25" customHeight="1">
      <c r="A1706" s="13"/>
      <c r="B1706" s="21" t="str">
        <f>HYPERLINK("http://china-parts.in.ua/p304820721-remkomplekt-kompressora-tsilindr.html","AZ1560130070-XLB-CK")</f>
        <v>AZ1560130070-XLB-CK</v>
      </c>
      <c r="C1706" s="16" t="s">
        <v>1862</v>
      </c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</row>
    <row r="1707" ht="11.25" customHeight="1">
      <c r="A1707" s="13"/>
      <c r="B1707" s="21" t="str">
        <f>HYPERLINK("http://china-parts.in.ua/p304822396-remkomplekt-gidravlicheskogo-maslyanogo.html","WG9719820002-XLB")</f>
        <v>WG9719820002-XLB</v>
      </c>
      <c r="C1707" s="16" t="s">
        <v>1863</v>
      </c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</row>
    <row r="1708" ht="11.25" customHeight="1">
      <c r="A1708" s="13"/>
      <c r="B1708" s="22" t="str">
        <f>HYPERLINK("http://china-parts.in.ua/p75032893-remkomplekt-energoakkumulyatora-199100360736.html","199100360736")</f>
        <v>199100360736</v>
      </c>
      <c r="C1708" s="16" t="s">
        <v>1864</v>
      </c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</row>
    <row r="1709" ht="11.25" customHeight="1">
      <c r="A1709" s="13"/>
      <c r="B1709" s="21" t="str">
        <f>HYPERLINK("http://china-parts.in.ua/p304821840-resiver-vozdushnyj-40l.html","WG9003550098")</f>
        <v>WG9003550098</v>
      </c>
      <c r="C1709" s="16" t="s">
        <v>1865</v>
      </c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</row>
    <row r="1710" ht="11.25" customHeight="1">
      <c r="A1710" s="13"/>
      <c r="B1710" s="21" t="str">
        <f>HYPERLINK("http://china-parts.in.ua/p304821839-resiver-vozdushnyj-30l.html","WG9014362117")</f>
        <v>WG9014362117</v>
      </c>
      <c r="C1710" s="16" t="s">
        <v>1866</v>
      </c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</row>
    <row r="1711" ht="11.25" customHeight="1">
      <c r="A1711" s="13"/>
      <c r="B1711" s="21" t="str">
        <f>HYPERLINK("http://china-parts.in.ua/p75032894-rolik-kolodki-az199000340027.html","AZ199000340027")</f>
        <v>AZ199000340027</v>
      </c>
      <c r="C1711" s="16" t="s">
        <v>1867</v>
      </c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</row>
    <row r="1712" ht="11.25" customHeight="1">
      <c r="A1712" s="13"/>
      <c r="B1712" s="16" t="s">
        <v>1868</v>
      </c>
      <c r="C1712" s="16" t="s">
        <v>1869</v>
      </c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</row>
    <row r="1713" ht="11.25" customHeight="1">
      <c r="A1713" s="13"/>
      <c r="B1713" s="22" t="str">
        <f>HYPERLINK("http://china-parts.in.ua/p503897320-rolik-tormoznyh-kolodok.html","199000340027")</f>
        <v>199000340027</v>
      </c>
      <c r="C1713" s="16" t="s">
        <v>1870</v>
      </c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</row>
    <row r="1714" ht="11.25" customHeight="1">
      <c r="A1714" s="13"/>
      <c r="B1714" s="21" t="str">
        <f>HYPERLINK("http://china-parts.in.ua/p304821799-klapan-ruchnogo-tormoza.html","WG9719360030")</f>
        <v>WG9719360030</v>
      </c>
      <c r="C1714" s="16" t="s">
        <v>1871</v>
      </c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</row>
    <row r="1715" ht="11.25" customHeight="1">
      <c r="A1715" s="13"/>
      <c r="B1715" s="21" t="str">
        <f>HYPERLINK("http://china-parts.in.ua/p304821852-treschetka-avtomaticheskaya-levaya.html","WG9100340061")</f>
        <v>WG9100340061</v>
      </c>
      <c r="C1715" s="16" t="s">
        <v>1872</v>
      </c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</row>
    <row r="1716" ht="11.25" customHeight="1">
      <c r="A1716" s="13"/>
      <c r="B1716" s="21" t="str">
        <f>HYPERLINK("http://china-parts.in.ua/p75032924-treschetka-zadnyaya-levaya.html","99000340056A")</f>
        <v>99000340056A</v>
      </c>
      <c r="C1716" s="16" t="s">
        <v>1873</v>
      </c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</row>
    <row r="1717" ht="11.25" customHeight="1">
      <c r="A1717" s="13"/>
      <c r="B1717" s="21" t="str">
        <f>HYPERLINK("http://china-parts.in.ua/p75032924-treschetka-zadnyaya-levaya.html","99000340056A 2")</f>
        <v>99000340056A 2</v>
      </c>
      <c r="C1717" s="16" t="s">
        <v>1874</v>
      </c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</row>
    <row r="1718" ht="11.25" customHeight="1">
      <c r="A1718" s="13"/>
      <c r="B1718" s="21" t="str">
        <f>HYPERLINK("http://china-parts.in.ua/p75032924-treschetka-zadnyaya-levaya.html","99000340056A 1")</f>
        <v>99000340056A 1</v>
      </c>
      <c r="C1718" s="16" t="s">
        <v>1875</v>
      </c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</row>
    <row r="1719" ht="11.25" customHeight="1">
      <c r="A1719" s="13"/>
      <c r="B1719" s="21" t="str">
        <f>HYPERLINK("http://china-parts.in.ua/p304821843-rychag-regulirovochnyj-tormoza.html","WG9100340057")</f>
        <v>WG9100340057</v>
      </c>
      <c r="C1719" s="16" t="s">
        <v>1876</v>
      </c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</row>
    <row r="1720" ht="11.25" customHeight="1">
      <c r="A1720" s="13"/>
      <c r="B1720" s="21" t="str">
        <f>HYPERLINK("http://china-parts.in.ua/p304821843-rychag-regulirovochnyj-tormoza.html","WG9100340057-CK")</f>
        <v>WG9100340057-CK</v>
      </c>
      <c r="C1720" s="16" t="s">
        <v>1877</v>
      </c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</row>
    <row r="1721" ht="11.25" customHeight="1">
      <c r="A1721" s="13"/>
      <c r="B1721" s="21" t="str">
        <f>HYPERLINK("http://china-parts.in.ua/p304821853-treschetka-avtomaticheskaya-pravaya.html","WG9100340060")</f>
        <v>WG9100340060</v>
      </c>
      <c r="C1721" s="16" t="s">
        <v>1878</v>
      </c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</row>
    <row r="1722" ht="11.25" customHeight="1">
      <c r="A1722" s="13"/>
      <c r="B1722" s="21" t="str">
        <f>HYPERLINK("http://china-parts.in.ua/p75032925-treschetka-zadnyaya-pravaya.html","99000340057A")</f>
        <v>99000340057A</v>
      </c>
      <c r="C1722" s="16" t="s">
        <v>1879</v>
      </c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</row>
    <row r="1723" ht="11.25" customHeight="1">
      <c r="A1723" s="13"/>
      <c r="B1723" s="21" t="str">
        <f>HYPERLINK("http://china-parts.in.ua/p75032925-treschetka-zadnyaya-pravaya.html","99000340057A 1")</f>
        <v>99000340057A 1</v>
      </c>
      <c r="C1723" s="16" t="s">
        <v>1880</v>
      </c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</row>
    <row r="1724" ht="11.25" customHeight="1">
      <c r="A1724" s="13"/>
      <c r="B1724" s="21" t="str">
        <f>HYPERLINK("http://china-parts.in.ua/p304821842-rychag-regulirovochnyj-tormoza.html","WG9100340056")</f>
        <v>WG9100340056</v>
      </c>
      <c r="C1724" s="16" t="s">
        <v>1881</v>
      </c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</row>
    <row r="1725" ht="11.25" customHeight="1">
      <c r="A1725" s="13"/>
      <c r="B1725" s="21" t="str">
        <f>HYPERLINK("http://china-parts.in.ua/p503895869-regulirovochnyj-rychag-tormoza.html","WG9100340056-CK")</f>
        <v>WG9100340056-CK</v>
      </c>
      <c r="C1725" s="16" t="s">
        <v>1882</v>
      </c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</row>
    <row r="1726" ht="11.25" customHeight="1">
      <c r="A1726" s="13"/>
      <c r="B1726" s="21" t="str">
        <f>HYPERLINK("http://china-parts.in.ua/p80618305-treschetka-perednyaya-foton.html","AZ9100440005")</f>
        <v>AZ9100440005</v>
      </c>
      <c r="C1726" s="16" t="s">
        <v>1883</v>
      </c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</row>
    <row r="1727" ht="11.25" customHeight="1">
      <c r="A1727" s="13"/>
      <c r="B1727" s="21" t="str">
        <f>HYPERLINK("http://china-parts.in.ua/p503895695-regulirovochnyj-rychag-tormoza.html","AZ9100440005-CK")</f>
        <v>AZ9100440005-CK</v>
      </c>
      <c r="C1727" s="16" t="s">
        <v>1884</v>
      </c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</row>
    <row r="1728" ht="11.25" customHeight="1">
      <c r="A1728" s="13"/>
      <c r="B1728" s="21" t="str">
        <f>HYPERLINK("http://china-parts.in.ua/p304821750-treschetka-avtomaticheskaya-howo.html","WG9100440023")</f>
        <v>WG9100440023</v>
      </c>
      <c r="C1728" s="16" t="s">
        <v>1885</v>
      </c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</row>
    <row r="1729" ht="11.25" customHeight="1">
      <c r="A1729" s="13"/>
      <c r="B1729" s="21" t="str">
        <f>HYPERLINK("http://china-parts.in.ua/p503895695-regulirovochnyj-rychag-tormoza.html","AZ9100440005л")</f>
        <v>AZ9100440005л</v>
      </c>
      <c r="C1729" s="16" t="s">
        <v>1886</v>
      </c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</row>
    <row r="1730" ht="11.25" customHeight="1">
      <c r="A1730" s="13"/>
      <c r="B1730" s="21" t="str">
        <f>HYPERLINK("http://china-parts.in.ua/p80618844-treschetka-tormoznaya-perednyaya.html","3501205-242-СК")</f>
        <v>3501205-242-СК</v>
      </c>
      <c r="C1730" s="16" t="s">
        <v>1887</v>
      </c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</row>
    <row r="1731" ht="11.25" customHeight="1">
      <c r="A1731" s="13"/>
      <c r="B1731" s="21" t="str">
        <f>HYPERLINK("http://china-parts.in.ua/p503895860-treschetka-perednyaya-howo.html","AZ9100440005пр")</f>
        <v>AZ9100440005пр</v>
      </c>
      <c r="C1731" s="16" t="s">
        <v>1888</v>
      </c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</row>
    <row r="1732" ht="11.25" customHeight="1">
      <c r="A1732" s="13"/>
      <c r="B1732" s="21" t="str">
        <f>HYPERLINK("http://china-parts.in.ua/p304854023-rychag-regulirovochnyj-pravyj.html","3501210-242-СК")</f>
        <v>3501210-242-СК</v>
      </c>
      <c r="C1732" s="16" t="s">
        <v>1889</v>
      </c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</row>
    <row r="1733" ht="11.25" customHeight="1">
      <c r="A1733" s="13"/>
      <c r="B1733" s="22" t="str">
        <f>HYPERLINK("http://china-parts.in.ua/p503897930-salnik-kompressora-32x52x7.html","601835")</f>
        <v>601835</v>
      </c>
      <c r="C1733" s="16" t="s">
        <v>1890</v>
      </c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</row>
    <row r="1734" ht="11.25" customHeight="1">
      <c r="A1734" s="13"/>
      <c r="B1734" s="21" t="str">
        <f>HYPERLINK("http://china-parts.in.ua/p75032796-glavnyj-tormoznoj-kran.html","WG9719360005")</f>
        <v>WG9719360005</v>
      </c>
      <c r="C1734" s="16" t="s">
        <v>1891</v>
      </c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</row>
    <row r="1735" ht="11.25" customHeight="1">
      <c r="A1735" s="13"/>
      <c r="B1735" s="21" t="str">
        <f>HYPERLINK("http://china-parts.in.ua/p304820725-fiting-vpusknogo-patrubka.html","VG1560130035")</f>
        <v>VG1560130035</v>
      </c>
      <c r="C1735" s="16" t="s">
        <v>1892</v>
      </c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</row>
    <row r="1736" ht="11.25" customHeight="1">
      <c r="A1736" s="13"/>
      <c r="B1736" s="21" t="str">
        <f>HYPERLINK("http://china-parts.in.ua/p304821829-pnevmotsilindr-gornogo-tormoza.html","WG9719180010")</f>
        <v>WG9719180010</v>
      </c>
      <c r="C1736" s="16" t="s">
        <v>1893</v>
      </c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</row>
    <row r="1737" ht="11.25" customHeight="1">
      <c r="A1737" s="13"/>
      <c r="B1737" s="21" t="str">
        <f>HYPERLINK("http://china-parts.in.ua/p304820374-shatun-kompressora-wd615.html","VG1560130070-2")</f>
        <v>VG1560130070-2</v>
      </c>
      <c r="C1737" s="16" t="s">
        <v>1894</v>
      </c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</row>
    <row r="1738" ht="11.25" customHeight="1">
      <c r="A1738" s="13"/>
      <c r="B1738" s="21" t="str">
        <f>HYPERLINK("http://china-parts.in.ua/p304820375-shatun-kompressora-wd615.html","VG1560130080-2")</f>
        <v>VG1560130080-2</v>
      </c>
      <c r="C1738" s="16" t="s">
        <v>1895</v>
      </c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</row>
    <row r="1739" ht="11.25" customHeight="1">
      <c r="A1739" s="13"/>
      <c r="B1739" s="21" t="str">
        <f>HYPERLINK("http://china-parts.in.ua/p503898037-shesternya-odnotsilindrovogo-kompressora.html","VG1560130012")</f>
        <v>VG1560130012</v>
      </c>
      <c r="C1739" s="16" t="s">
        <v>1896</v>
      </c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</row>
    <row r="1740" ht="11.25" customHeight="1">
      <c r="A1740" s="13"/>
      <c r="B1740" s="23">
        <v>6.126000130173E12</v>
      </c>
      <c r="C1740" s="16" t="s">
        <v>1897</v>
      </c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</row>
    <row r="1741" ht="11.25" customHeight="1">
      <c r="A1741" s="13"/>
      <c r="B1741" s="21" t="str">
        <f>HYPERLINK("http://china-parts.in.ua/p304820636-shlang-maslyanyj-obratki.html","VG1246110055")</f>
        <v>VG1246110055</v>
      </c>
      <c r="C1741" s="16" t="s">
        <v>1898</v>
      </c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</row>
    <row r="1742" ht="11.25" customHeight="1">
      <c r="A1742" s="13"/>
      <c r="B1742" s="21" t="str">
        <f>HYPERLINK("http://china-parts.in.ua/p304820718-patrubok-maslyanyj-kompressora.html","VG1560070050")</f>
        <v>VG1560070050</v>
      </c>
      <c r="C1742" s="16" t="s">
        <v>1899</v>
      </c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</row>
    <row r="1743" ht="11.25" customHeight="1">
      <c r="A1743" s="13"/>
      <c r="B1743" s="21" t="str">
        <f>HYPERLINK("http://china-parts.in.ua/p304821857-shlang-tormoznoj-howo.html","WG17017360450")</f>
        <v>WG17017360450</v>
      </c>
      <c r="C1743" s="16" t="s">
        <v>1900</v>
      </c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</row>
    <row r="1744" ht="11.25" customHeight="1">
      <c r="A1744" s="13"/>
      <c r="B1744" s="21" t="str">
        <f>HYPERLINK("http://china-parts.in.ua/p304821858-shlang-tormoznoj-howo.html","WG17017360460")</f>
        <v>WG17017360460</v>
      </c>
      <c r="C1744" s="16" t="s">
        <v>1901</v>
      </c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</row>
    <row r="1745" ht="11.25" customHeight="1">
      <c r="A1745" s="13"/>
      <c r="B1745" s="21" t="str">
        <f>HYPERLINK("http://china-parts.in.ua/p304821856-shlang-tormoznoj-howo.html","WG17017360480")</f>
        <v>WG17017360480</v>
      </c>
      <c r="C1745" s="16" t="s">
        <v>1902</v>
      </c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</row>
    <row r="1746" ht="11.25" customHeight="1">
      <c r="A1746" s="13"/>
      <c r="B1746" s="21" t="str">
        <f>HYPERLINK("http://china-parts.in.ua/p304821855-shlang-tormoznoj-howo.html","WG17017360470")</f>
        <v>WG17017360470</v>
      </c>
      <c r="C1746" s="16" t="s">
        <v>1903</v>
      </c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</row>
    <row r="1747" ht="11.25" customHeight="1">
      <c r="A1747" s="13"/>
      <c r="B1747" s="21" t="str">
        <f>HYPERLINK("http://china-parts.in.ua/p304821859-shtutser-klapan-resivera.html","WG9000360314")</f>
        <v>WG9000360314</v>
      </c>
      <c r="C1747" s="16" t="s">
        <v>1904</v>
      </c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</row>
    <row r="1748" ht="11.25" customHeight="1">
      <c r="A1748" s="13"/>
      <c r="B1748" s="21" t="str">
        <f>HYPERLINK("http://china-parts.in.ua/p75032958-energoakkumulyator-dlinnyj-shtok.html","WG9100360303")</f>
        <v>WG9100360303</v>
      </c>
      <c r="C1748" s="16" t="s">
        <v>1905</v>
      </c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</row>
    <row r="1749" ht="11.25" customHeight="1">
      <c r="A1749" s="13"/>
      <c r="B1749" s="21" t="str">
        <f>HYPERLINK("http://china-parts.in.ua/p304821789-kamera-tormoznaya-zadnyaya.html","WG99100360303")</f>
        <v>WG99100360303</v>
      </c>
      <c r="C1749" s="16" t="s">
        <v>1906</v>
      </c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</row>
    <row r="1750" ht="11.25" customHeight="1">
      <c r="A1750" s="1"/>
      <c r="B1750" s="16"/>
      <c r="C1750" s="17" t="s">
        <v>1907</v>
      </c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ht="11.25" customHeight="1">
      <c r="A1751" s="13"/>
      <c r="B1751" s="16" t="s">
        <v>1908</v>
      </c>
      <c r="C1751" s="16" t="s">
        <v>1909</v>
      </c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</row>
    <row r="1752" ht="11.25" customHeight="1">
      <c r="A1752" s="13"/>
      <c r="B1752" s="21" t="str">
        <f>HYPERLINK("http://china-parts.in.ua/p75032781-vlagootdelitel-sbore-klapan.html","WG9100368471")</f>
        <v>WG9100368471</v>
      </c>
      <c r="C1752" s="16" t="s">
        <v>1910</v>
      </c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</row>
    <row r="1753" ht="11.25" customHeight="1">
      <c r="A1753" s="13"/>
      <c r="B1753" s="21" t="str">
        <f>HYPERLINK("http://china-parts.in.ua/p304820600-vlagootdelitel-masla-wd615.html","VG1500019045A")</f>
        <v>VG1500019045A</v>
      </c>
      <c r="C1753" s="16" t="s">
        <v>1911</v>
      </c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</row>
    <row r="1754" ht="11.25" customHeight="1">
      <c r="A1754" s="13"/>
      <c r="B1754" s="21" t="str">
        <f>HYPERLINK("http://china-parts.in.ua/p304820416-kronshtejn-toplivnogo-filtra.html","VG1540080110-Z")</f>
        <v>VG1540080110-Z</v>
      </c>
      <c r="C1754" s="16" t="s">
        <v>1912</v>
      </c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</row>
    <row r="1755" ht="11.25" customHeight="1">
      <c r="A1755" s="13"/>
      <c r="B1755" s="16" t="s">
        <v>1913</v>
      </c>
      <c r="C1755" s="16" t="s">
        <v>1914</v>
      </c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</row>
    <row r="1756" ht="11.25" customHeight="1">
      <c r="A1756" s="13"/>
      <c r="B1756" s="21" t="str">
        <f>HYPERLINK("http://china-parts.in.ua/p304820665-opora-vozdushnogo-filtra.html","AZ9725190065")</f>
        <v>AZ9725190065</v>
      </c>
      <c r="C1756" s="16" t="s">
        <v>1915</v>
      </c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</row>
    <row r="1757" ht="11.25" customHeight="1">
      <c r="A1757" s="13"/>
      <c r="B1757" s="21" t="str">
        <f>HYPERLINK("http://china-parts.in.ua/p304820602-golovka-filtra-maslyanogo.html","VG1500070051")</f>
        <v>VG1500070051</v>
      </c>
      <c r="C1757" s="16" t="s">
        <v>1916</v>
      </c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</row>
    <row r="1758" ht="11.25" customHeight="1">
      <c r="A1758" s="13"/>
      <c r="B1758" s="23">
        <v>1.611653231E9</v>
      </c>
      <c r="C1758" s="16" t="s">
        <v>1917</v>
      </c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</row>
    <row r="1759" ht="11.25" customHeight="1">
      <c r="A1759" s="13"/>
      <c r="B1759" s="16" t="s">
        <v>1918</v>
      </c>
      <c r="C1759" s="16" t="s">
        <v>1919</v>
      </c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</row>
    <row r="1760" ht="11.25" customHeight="1">
      <c r="A1760" s="13"/>
      <c r="B1760" s="16" t="s">
        <v>1920</v>
      </c>
      <c r="C1760" s="16" t="s">
        <v>1921</v>
      </c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</row>
    <row r="1761" ht="11.25" customHeight="1">
      <c r="A1761" s="13"/>
      <c r="B1761" s="16" t="s">
        <v>1922</v>
      </c>
      <c r="C1761" s="16" t="s">
        <v>1923</v>
      </c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</row>
    <row r="1762" ht="11.25" customHeight="1">
      <c r="A1762" s="13"/>
      <c r="B1762" s="16" t="s">
        <v>1924</v>
      </c>
      <c r="C1762" s="16" t="s">
        <v>1925</v>
      </c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</row>
    <row r="1763" ht="11.25" customHeight="1">
      <c r="A1763" s="13"/>
      <c r="B1763" s="21" t="str">
        <f>HYPERLINK("http://china-parts.in.ua/p304820699-filtr-vozdushnyj-sbore.html","WG9719190001")</f>
        <v>WG9719190001</v>
      </c>
      <c r="C1763" s="16" t="s">
        <v>1926</v>
      </c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</row>
    <row r="1764" ht="11.25" customHeight="1">
      <c r="A1764" s="13"/>
      <c r="B1764" s="21" t="str">
        <f>HYPERLINK("http://china-parts.in.ua/p304820708-element-filtruyuschij-3046.html","WG9719190001-1")</f>
        <v>WG9719190001-1</v>
      </c>
      <c r="C1764" s="16" t="s">
        <v>1927</v>
      </c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</row>
    <row r="1765" ht="11.25" customHeight="1">
      <c r="A1765" s="13"/>
      <c r="B1765" s="21" t="str">
        <f>HYPERLINK("http://china-parts.in.ua/p304820698-filtr-vozdushnyj-sbore.html","WG97251901505")</f>
        <v>WG97251901505</v>
      </c>
      <c r="C1765" s="16" t="s">
        <v>1928</v>
      </c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</row>
    <row r="1766" ht="11.25" customHeight="1">
      <c r="A1766" s="13"/>
      <c r="B1766" s="16" t="s">
        <v>1929</v>
      </c>
      <c r="C1766" s="16" t="s">
        <v>1930</v>
      </c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</row>
    <row r="1767" ht="11.25" customHeight="1">
      <c r="A1767" s="13"/>
      <c r="B1767" s="22" t="str">
        <f>HYPERLINK("http://china-parts.in.ua/p304815067-filtr-maslyanyj-foton.html","61000070005")</f>
        <v>61000070005</v>
      </c>
      <c r="C1767" s="16" t="s">
        <v>1931</v>
      </c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</row>
    <row r="1768" ht="11.25" customHeight="1">
      <c r="A1768" s="13"/>
      <c r="B1768" s="16" t="s">
        <v>1932</v>
      </c>
      <c r="C1768" s="16" t="s">
        <v>1933</v>
      </c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</row>
    <row r="1769" ht="11.25" customHeight="1">
      <c r="A1769" s="13"/>
      <c r="B1769" s="32">
        <v>1174421.0</v>
      </c>
      <c r="C1769" s="16" t="s">
        <v>1934</v>
      </c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</row>
    <row r="1770" ht="11.25" customHeight="1">
      <c r="A1770" s="13"/>
      <c r="B1770" s="21" t="str">
        <f>HYPERLINK("http://china-parts.in.ua/p304820630-filtr-maslyanyj-evro3.html","VG1540070007")</f>
        <v>VG1540070007</v>
      </c>
      <c r="C1770" s="16" t="s">
        <v>1935</v>
      </c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</row>
    <row r="1771" ht="11.25" customHeight="1">
      <c r="A1771" s="13"/>
      <c r="B1771" s="21" t="str">
        <f>HYPERLINK("http://china-parts.in.ua/p75032932-filtr-maslyanyj-vg61000070005howo.html","VG61000070005")</f>
        <v>VG61000070005</v>
      </c>
      <c r="C1771" s="16" t="s">
        <v>1936</v>
      </c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</row>
    <row r="1772" ht="11.25" customHeight="1">
      <c r="A1772" s="13"/>
      <c r="B1772" s="21" t="str">
        <f>HYPERLINK("http://china-parts.in.ua/p304820628-filtr-maslyanyj-sbore.html","VG6100070005")</f>
        <v>VG6100070005</v>
      </c>
      <c r="C1772" s="16" t="s">
        <v>1937</v>
      </c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</row>
    <row r="1773" ht="11.25" customHeight="1">
      <c r="A1773" s="13"/>
      <c r="B1773" s="21" t="str">
        <f>HYPERLINK("http://china-parts.in.ua/p304820609-maslopriemnik-wd615-howo.html","VG1800070051")</f>
        <v>VG1800070051</v>
      </c>
      <c r="C1773" s="16" t="s">
        <v>1938</v>
      </c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</row>
    <row r="1774" ht="11.25" customHeight="1">
      <c r="A1774" s="13"/>
      <c r="B1774" s="16" t="s">
        <v>1939</v>
      </c>
      <c r="C1774" s="16" t="s">
        <v>1940</v>
      </c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</row>
    <row r="1775" ht="11.25" customHeight="1">
      <c r="A1775" s="13"/>
      <c r="B1775" s="21" t="str">
        <f>HYPERLINK("http://china-parts.in.ua/p75032776-filtr-toplivnyj-vg14080740a.html","VG14080740A")</f>
        <v>VG14080740A</v>
      </c>
      <c r="C1775" s="16" t="s">
        <v>1941</v>
      </c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</row>
    <row r="1776" ht="11.25" customHeight="1">
      <c r="A1776" s="13"/>
      <c r="B1776" s="21" t="str">
        <f>HYPERLINK("http://china-parts.in.ua/p304820484-filtr-toplivnyj-wd615.html","VG15400800311")</f>
        <v>VG15400800311</v>
      </c>
      <c r="C1776" s="16" t="s">
        <v>1942</v>
      </c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</row>
    <row r="1777" ht="11.25" customHeight="1">
      <c r="A1777" s="13"/>
      <c r="B1777" s="21" t="str">
        <f>HYPERLINK("http://china-parts.in.ua/p75032934-filtr-toplivnyj-vg1540080311.html","VG1540080311")</f>
        <v>VG1540080311</v>
      </c>
      <c r="C1777" s="16" t="s">
        <v>1943</v>
      </c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</row>
    <row r="1778" ht="11.25" customHeight="1">
      <c r="A1778" s="13"/>
      <c r="B1778" s="21" t="str">
        <f>HYPERLINK("http://china-parts.in.ua/p304820505-element-filtruyuschij-gruboj.html","WG9725550002-1")</f>
        <v>WG9725550002-1</v>
      </c>
      <c r="C1778" s="16" t="s">
        <v>1944</v>
      </c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</row>
    <row r="1779" ht="11.25" customHeight="1">
      <c r="A1779" s="13"/>
      <c r="B1779" s="16" t="s">
        <v>1945</v>
      </c>
      <c r="C1779" s="16" t="s">
        <v>1946</v>
      </c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</row>
    <row r="1780" ht="11.25" customHeight="1">
      <c r="A1780" s="13"/>
      <c r="B1780" s="21" t="str">
        <f>HYPERLINK("http://china-parts.in.ua/p75032935-filtr-toplivnyj-vg14080739a.html","VG14080739")</f>
        <v>VG14080739</v>
      </c>
      <c r="C1780" s="16" t="s">
        <v>1947</v>
      </c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</row>
    <row r="1781" ht="11.25" customHeight="1">
      <c r="A1781" s="13"/>
      <c r="B1781" s="21" t="str">
        <f>HYPERLINK("http://china-parts.in.ua/p75032776-filtr-toplivnyj-vg14080740a.html","VG14080740")</f>
        <v>VG14080740</v>
      </c>
      <c r="C1781" s="16" t="s">
        <v>1948</v>
      </c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</row>
    <row r="1782" ht="11.25" customHeight="1">
      <c r="A1782" s="13"/>
      <c r="B1782" s="21" t="str">
        <f>HYPERLINK("http://china-parts.in.ua/p304820492-filtr-toplivnyj-tonkoj.html","VG1540080310")</f>
        <v>VG1540080310</v>
      </c>
      <c r="C1782" s="16" t="s">
        <v>1949</v>
      </c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</row>
    <row r="1783" ht="11.25" customHeight="1">
      <c r="A1783" s="13"/>
      <c r="B1783" s="16" t="s">
        <v>1950</v>
      </c>
      <c r="C1783" s="16" t="s">
        <v>1951</v>
      </c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</row>
    <row r="1784" ht="11.25" customHeight="1">
      <c r="A1784" s="13"/>
      <c r="B1784" s="21" t="str">
        <f>HYPERLINK("http://china-parts.in.ua/p304820486-filtr-toplivnyj-gruboj.html","VG1560080012")</f>
        <v>VG1560080012</v>
      </c>
      <c r="C1784" s="16" t="s">
        <v>1952</v>
      </c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</row>
    <row r="1785" ht="11.25" customHeight="1">
      <c r="A1785" s="13"/>
      <c r="B1785" s="21" t="str">
        <f>HYPERLINK("http://china-parts.in.ua/p304820486-filtr-toplivnyj-gruboj.html","WG9725550002")</f>
        <v>WG9725550002</v>
      </c>
      <c r="C1785" s="16" t="s">
        <v>1953</v>
      </c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</row>
    <row r="1786" ht="11.25" customHeight="1">
      <c r="A1786" s="1"/>
      <c r="B1786" s="16"/>
      <c r="C1786" s="17" t="s">
        <v>1954</v>
      </c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ht="11.25" customHeight="1">
      <c r="A1787" s="13"/>
      <c r="B1787" s="21" t="str">
        <f>HYPERLINK("http://china-parts.in.ua/p304820727-blok-akkumulyatora-novyj.html","AZ9125760004")</f>
        <v>AZ9125760004</v>
      </c>
      <c r="C1787" s="16" t="s">
        <v>1955</v>
      </c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</row>
    <row r="1788" ht="11.25" customHeight="1">
      <c r="A1788" s="13"/>
      <c r="B1788" s="21" t="str">
        <f>HYPERLINK("http://china-parts.in.ua/p503894041-blok-predohranitelej-rele.html","WG9716580021")</f>
        <v>WG9716580021</v>
      </c>
      <c r="C1788" s="16" t="s">
        <v>1956</v>
      </c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</row>
    <row r="1789" ht="11.25" customHeight="1">
      <c r="A1789" s="13"/>
      <c r="B1789" s="21" t="str">
        <f>HYPERLINK("http://china-parts.in.ua/p503895723-panel-predohranitelej-rele.html","WG9719581023/1")</f>
        <v>WG9719581023/1</v>
      </c>
      <c r="C1789" s="16" t="s">
        <v>1957</v>
      </c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</row>
    <row r="1790" ht="11.25" customHeight="1">
      <c r="A1790" s="13"/>
      <c r="B1790" s="21" t="str">
        <f>HYPERLINK("http://china-parts.in.ua/p304822488-blok-upravleniya-levyj.html","WG9719580001")</f>
        <v>WG9719580001</v>
      </c>
      <c r="C1790" s="16" t="s">
        <v>1958</v>
      </c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</row>
    <row r="1791" ht="11.25" customHeight="1">
      <c r="A1791" s="13"/>
      <c r="B1791" s="21" t="str">
        <f>HYPERLINK("http://china-parts.in.ua/p304820842-schitok-pribora-pravyj.html","WG9719581022")</f>
        <v>WG9719581022</v>
      </c>
      <c r="C1791" s="16" t="s">
        <v>1959</v>
      </c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</row>
    <row r="1792" ht="11.25" customHeight="1">
      <c r="A1792" s="13"/>
      <c r="B1792" s="21" t="str">
        <f>HYPERLINK("http://china-parts.in.ua/p304822493-schitok-upravleniya-sbore.html","WG1630840323")</f>
        <v>WG1630840323</v>
      </c>
      <c r="C1792" s="16" t="s">
        <v>1960</v>
      </c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</row>
    <row r="1793" ht="11.25" customHeight="1">
      <c r="A1793" s="13"/>
      <c r="B1793" s="21" t="str">
        <f>HYPERLINK("http://china-parts.in.ua/p304822492-schitok-upravleniya-sbore.html","WG1630840322")</f>
        <v>WG1630840322</v>
      </c>
      <c r="C1793" s="16" t="s">
        <v>1961</v>
      </c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</row>
    <row r="1794" ht="11.25" customHeight="1">
      <c r="A1794" s="13"/>
      <c r="B1794" s="21" t="str">
        <f>HYPERLINK("http://china-parts.in.ua/p304820783-pereklyuchatel-lampy-dveri.html","WG9719790001")</f>
        <v>WG9719790001</v>
      </c>
      <c r="C1794" s="16" t="s">
        <v>1962</v>
      </c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</row>
    <row r="1795" ht="11.25" customHeight="1">
      <c r="A1795" s="13"/>
      <c r="B1795" s="21" t="str">
        <f>HYPERLINK("http://china-parts.in.ua/p75032793-vyklyuchatel-massy-wg9100760100.html","WG9100760100")</f>
        <v>WG9100760100</v>
      </c>
      <c r="C1795" s="16" t="s">
        <v>1963</v>
      </c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</row>
    <row r="1796" ht="11.25" customHeight="1">
      <c r="A1796" s="13"/>
      <c r="B1796" s="21" t="str">
        <f>HYPERLINK("http://china-parts.in.ua/p304820732-vyklyuchatel-massy-howo.html","WG9100760101")</f>
        <v>WG9100760101</v>
      </c>
      <c r="C1796" s="16" t="s">
        <v>1964</v>
      </c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</row>
    <row r="1797" ht="11.25" customHeight="1">
      <c r="A1797" s="13"/>
      <c r="B1797" s="21" t="str">
        <f>HYPERLINK("http://china-parts.in.ua/p75032798-datchik-abs-wg9160710522.html","WG9160710522")</f>
        <v>WG9160710522</v>
      </c>
      <c r="C1797" s="16" t="s">
        <v>1965</v>
      </c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</row>
    <row r="1798" ht="11.25" customHeight="1">
      <c r="A1798" s="13"/>
      <c r="B1798" s="21" t="str">
        <f>HYPERLINK("http://china-parts.in.ua/p75032799-datchik-vklyucheniya-blokirovki.html","179100710003/WG9100710003")</f>
        <v>179100710003/WG9100710003</v>
      </c>
      <c r="C1798" s="16" t="s">
        <v>1966</v>
      </c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</row>
    <row r="1799" ht="11.25" customHeight="1">
      <c r="A1799" s="13"/>
      <c r="B1799" s="21" t="str">
        <f>HYPERLINK("http://china-parts.in.ua/p75032799-datchik-vklyucheniya-blokirovki.html","WG9100710003")</f>
        <v>WG9100710003</v>
      </c>
      <c r="C1799" s="16" t="s">
        <v>1967</v>
      </c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</row>
    <row r="1800" ht="11.25" customHeight="1">
      <c r="A1800" s="13"/>
      <c r="B1800" s="21" t="str">
        <f>HYPERLINK("http://china-parts.in.ua/p304820741-datchik-davleniya-vozduha.html","WG9130713001")</f>
        <v>WG9130713001</v>
      </c>
      <c r="C1800" s="16" t="s">
        <v>1968</v>
      </c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</row>
    <row r="1801" ht="11.25" customHeight="1">
      <c r="A1801" s="13"/>
      <c r="B1801" s="21" t="str">
        <f>HYPERLINK("http://china-parts.in.ua/p304820742-datchik-davleniya-vozduha.html","WG9100710004")</f>
        <v>WG9100710004</v>
      </c>
      <c r="C1801" s="16" t="s">
        <v>1969</v>
      </c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</row>
    <row r="1802" ht="11.25" customHeight="1">
      <c r="A1802" s="13"/>
      <c r="B1802" s="21" t="str">
        <f>HYPERLINK("http://china-parts.in.ua/p304820758-datchik-temperatury-vhodnogo.html","R61540090003")</f>
        <v>R61540090003</v>
      </c>
      <c r="C1802" s="16" t="s">
        <v>1970</v>
      </c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</row>
    <row r="1803" ht="11.25" customHeight="1">
      <c r="A1803" s="13"/>
      <c r="B1803" s="21" t="str">
        <f>HYPERLINK("http://china-parts.in.ua/p304820743-datchik-davleniya-vhodnogo.html","R61540090007")</f>
        <v>R61540090007</v>
      </c>
      <c r="C1803" s="16" t="s">
        <v>1971</v>
      </c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</row>
    <row r="1804" ht="11.25" customHeight="1">
      <c r="A1804" s="13"/>
      <c r="B1804" s="21" t="str">
        <f>HYPERLINK("http://china-parts.in.ua/p304820745-datchik-davleniya-masla.html","VG1500090051")</f>
        <v>VG1500090051</v>
      </c>
      <c r="C1804" s="16" t="s">
        <v>1972</v>
      </c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</row>
    <row r="1805" ht="11.25" customHeight="1">
      <c r="A1805" s="13"/>
      <c r="B1805" s="21" t="str">
        <f>HYPERLINK("http://china-parts.in.ua/p304820747-datchik-davleniya-masla.html","VG1540090035")</f>
        <v>VG1540090035</v>
      </c>
      <c r="C1805" s="16" t="s">
        <v>1973</v>
      </c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</row>
    <row r="1806" ht="11.25" customHeight="1">
      <c r="A1806" s="13"/>
      <c r="B1806" s="21" t="str">
        <f>HYPERLINK("http://china-parts.in.ua/p304820744-datchik-davleniya-masla.html","VG1500090060")</f>
        <v>VG1500090060</v>
      </c>
      <c r="C1806" s="16" t="s">
        <v>1974</v>
      </c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</row>
    <row r="1807" ht="11.25" customHeight="1">
      <c r="A1807" s="13"/>
      <c r="B1807" s="21" t="str">
        <f>HYPERLINK("http://china-parts.in.ua/p304820748-datchik-zasoryonnosti-filtra.html","WG1200190040")</f>
        <v>WG1200190040</v>
      </c>
      <c r="C1807" s="16" t="s">
        <v>1975</v>
      </c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</row>
    <row r="1808" ht="11.25" customHeight="1">
      <c r="A1808" s="13"/>
      <c r="B1808" s="16" t="s">
        <v>1976</v>
      </c>
      <c r="C1808" s="16" t="s">
        <v>1977</v>
      </c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</row>
    <row r="1809" ht="11.25" customHeight="1">
      <c r="A1809" s="13"/>
      <c r="B1809" s="22" t="str">
        <f>HYPERLINK("http://china-parts.in.ua/p304812971-datchik-nejtralnogo-polozheniya.html","99012710041")</f>
        <v>99012710041</v>
      </c>
      <c r="C1809" s="16" t="s">
        <v>1978</v>
      </c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</row>
    <row r="1810" ht="11.25" customHeight="1">
      <c r="A1810" s="13"/>
      <c r="B1810" s="21" t="str">
        <f>HYPERLINK("http://china-parts.in.ua/p304820749-datchik-polozheniya-kolenchatogo.html","WG1557090013")</f>
        <v>WG1557090013</v>
      </c>
      <c r="C1810" s="16" t="s">
        <v>1979</v>
      </c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</row>
    <row r="1811" ht="11.25" customHeight="1">
      <c r="A1811" s="13"/>
      <c r="B1811" s="21" t="str">
        <f>HYPERLINK("http://china-parts.in.ua/p304820750-datchik-skorostej-kardannogo.html","R61540090008")</f>
        <v>R61540090008</v>
      </c>
      <c r="C1811" s="16" t="s">
        <v>1980</v>
      </c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</row>
    <row r="1812" ht="11.25" customHeight="1">
      <c r="A1812" s="13"/>
      <c r="B1812" s="21" t="str">
        <f>HYPERLINK("http://china-parts.in.ua/p75032800-datchik-spidometra-wg9100583056.html","WG9100583056")</f>
        <v>WG9100583056</v>
      </c>
      <c r="C1812" s="16" t="s">
        <v>1981</v>
      </c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</row>
    <row r="1813" ht="11.25" customHeight="1">
      <c r="A1813" s="13"/>
      <c r="B1813" s="16" t="s">
        <v>1982</v>
      </c>
      <c r="C1813" s="16" t="s">
        <v>1983</v>
      </c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</row>
    <row r="1814" ht="11.25" customHeight="1">
      <c r="A1814" s="13"/>
      <c r="B1814" s="21" t="str">
        <f>HYPERLINK("http://china-parts.in.ua/p304820752-datchik-skorosti-kontakta.html","WG9100583058")</f>
        <v>WG9100583058</v>
      </c>
      <c r="C1814" s="16" t="s">
        <v>1984</v>
      </c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</row>
    <row r="1815" ht="11.25" customHeight="1">
      <c r="A1815" s="13"/>
      <c r="B1815" s="21" t="str">
        <f>HYPERLINK("http://china-parts.in.ua/p304820753-datchik-skorosti-siemens.html","A5065402107")</f>
        <v>A5065402107</v>
      </c>
      <c r="C1815" s="16" t="s">
        <v>1985</v>
      </c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</row>
    <row r="1816" ht="11.25" customHeight="1">
      <c r="A1816" s="13"/>
      <c r="B1816" s="21" t="str">
        <f>HYPERLINK("http://china-parts.in.ua/p304821782-vklyuchatel-fonarya-tormoznogo.html","WG9100710006")</f>
        <v>WG9100710006</v>
      </c>
      <c r="C1816" s="16" t="s">
        <v>1986</v>
      </c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</row>
    <row r="1817" ht="11.25" customHeight="1">
      <c r="A1817" s="13"/>
      <c r="B1817" s="16" t="s">
        <v>1987</v>
      </c>
      <c r="C1817" s="16" t="s">
        <v>1988</v>
      </c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</row>
    <row r="1818" ht="11.25" customHeight="1">
      <c r="A1818" s="13"/>
      <c r="B1818" s="21" t="str">
        <f>HYPERLINK("http://china-parts.in.ua/p304820754-datchik-temperatury-vody.html","VG1500090061")</f>
        <v>VG1500090061</v>
      </c>
      <c r="C1818" s="16" t="s">
        <v>1989</v>
      </c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</row>
    <row r="1819" ht="11.25" customHeight="1">
      <c r="A1819" s="13"/>
      <c r="B1819" s="23">
        <v>1.614090067E9</v>
      </c>
      <c r="C1819" s="16" t="s">
        <v>1990</v>
      </c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</row>
    <row r="1820" ht="11.25" customHeight="1">
      <c r="A1820" s="13"/>
      <c r="B1820" s="21" t="str">
        <f>HYPERLINK("http://china-parts.in.ua/p304820757-datchik-temperatury-vody.html","R61540090004")</f>
        <v>R61540090004</v>
      </c>
      <c r="C1820" s="16" t="s">
        <v>1991</v>
      </c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</row>
    <row r="1821" ht="11.25" customHeight="1">
      <c r="A1821" s="13"/>
      <c r="B1821" s="21" t="str">
        <f>HYPERLINK("http://china-parts.in.ua/p304822205-datchik-temperaturnyj-pechki.html","WG1630820313")</f>
        <v>WG1630820313</v>
      </c>
      <c r="C1821" s="16" t="s">
        <v>1992</v>
      </c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</row>
    <row r="1822" ht="11.25" customHeight="1">
      <c r="A1822" s="13"/>
      <c r="B1822" s="21" t="str">
        <f>HYPERLINK("http://china-parts.in.ua/p304820766-klakson-howo-wg9718710002.html","WG9718710002")</f>
        <v>WG9718710002</v>
      </c>
      <c r="C1822" s="16" t="s">
        <v>1993</v>
      </c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</row>
    <row r="1823" ht="11.25" customHeight="1">
      <c r="A1823" s="13"/>
      <c r="B1823" s="21" t="str">
        <f>HYPERLINK("http://china-parts.in.ua/p503895799-vyklyuchatel-klavisha-blokirovki.html","WG9719582012")</f>
        <v>WG9719582012</v>
      </c>
      <c r="C1823" s="16" t="s">
        <v>1994</v>
      </c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</row>
    <row r="1824" ht="11.25" customHeight="1">
      <c r="A1824" s="13"/>
      <c r="B1824" s="16" t="s">
        <v>1995</v>
      </c>
      <c r="C1824" s="16" t="s">
        <v>1996</v>
      </c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</row>
    <row r="1825" ht="11.25" customHeight="1">
      <c r="A1825" s="13"/>
      <c r="B1825" s="21" t="str">
        <f>HYPERLINK("http://china-parts.in.ua/p503895801-vyklyuchatel-klavisha-nejtralnoj.html","WG9719582009")</f>
        <v>WG9719582009</v>
      </c>
      <c r="C1825" s="16" t="s">
        <v>1997</v>
      </c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</row>
    <row r="1826" ht="11.25" customHeight="1">
      <c r="A1826" s="13"/>
      <c r="B1826" s="21" t="str">
        <f>HYPERLINK("http://china-parts.in.ua/p304821797-klapan-raspredelitelnyj-vilka.html","WG9100710008 2")</f>
        <v>WG9100710008 2</v>
      </c>
      <c r="C1826" s="16" t="s">
        <v>1998</v>
      </c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</row>
    <row r="1827" ht="11.25" customHeight="1">
      <c r="A1827" s="13"/>
      <c r="B1827" s="21" t="str">
        <f>HYPERLINK("http://china-parts.in.ua/p304821797-klapan-raspredelitelnyj-vilka.html","WG9100710008 1")</f>
        <v>WG9100710008 1</v>
      </c>
      <c r="C1827" s="16" t="s">
        <v>1999</v>
      </c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</row>
    <row r="1828" ht="11.25" customHeight="1">
      <c r="A1828" s="13"/>
      <c r="B1828" s="21" t="str">
        <f>HYPERLINK("http://china-parts.in.ua/p304820148-klapan-raspredelitelnyj-wd615.html","VG1200090163")</f>
        <v>VG1200090163</v>
      </c>
      <c r="C1828" s="16" t="s">
        <v>2000</v>
      </c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</row>
    <row r="1829" ht="11.25" customHeight="1">
      <c r="A1829" s="13"/>
      <c r="B1829" s="21" t="str">
        <f>HYPERLINK("http://china-parts.in.ua/p304820780-motorchik-vozdushnogo-signala.html","WG9718710001")</f>
        <v>WG9718710001</v>
      </c>
      <c r="C1829" s="16" t="s">
        <v>2001</v>
      </c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</row>
    <row r="1830" ht="11.25" customHeight="1">
      <c r="A1830" s="13"/>
      <c r="B1830" s="21" t="str">
        <f>HYPERLINK("http://china-parts.in.ua/p304820731-vyklyuchatel-gornogo-tormoza.html","WG9719710001")</f>
        <v>WG9719710001</v>
      </c>
      <c r="C1830" s="16" t="s">
        <v>2002</v>
      </c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</row>
    <row r="1831" ht="11.25" customHeight="1">
      <c r="A1831" s="13"/>
      <c r="B1831" s="21" t="str">
        <f>HYPERLINK("http://china-parts.in.ua/p304821723-koltso-rulevogo-mehanizma.html","AZ9130583024")</f>
        <v>AZ9130583024</v>
      </c>
      <c r="C1831" s="16" t="s">
        <v>2003</v>
      </c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</row>
    <row r="1832" ht="11.25" customHeight="1">
      <c r="A1832" s="13"/>
      <c r="B1832" s="21" t="str">
        <f>HYPERLINK("http://china-parts.in.ua/p304822286-kryshka-akkumulyatora-howo.html","WG9100760002")</f>
        <v>WG9100760002</v>
      </c>
      <c r="C1832" s="16" t="s">
        <v>2004</v>
      </c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</row>
    <row r="1833" ht="11.25" customHeight="1">
      <c r="A1833" s="13"/>
      <c r="B1833" s="21" t="str">
        <f>HYPERLINK("http://china-parts.in.ua/p304822295-kryshka-srednej-verhnej.html","WG1642160213")</f>
        <v>WG1642160213</v>
      </c>
      <c r="C1833" s="16" t="s">
        <v>2005</v>
      </c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</row>
    <row r="1834" ht="11.25" customHeight="1">
      <c r="A1834" s="13"/>
      <c r="B1834" s="21" t="str">
        <f>HYPERLINK("http://china-parts.in.ua/p304822487-schitok-pereklyuchatelya-sbore.html","WG1642160190")</f>
        <v>WG1642160190</v>
      </c>
      <c r="C1834" s="16" t="s">
        <v>2006</v>
      </c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</row>
    <row r="1835" ht="11.25" customHeight="1">
      <c r="A1835" s="13"/>
      <c r="B1835" s="21" t="str">
        <f>HYPERLINK("http://china-parts.in.ua/p304822379-pokrytie-pod-panelyu.html","WG1642160177")</f>
        <v>WG1642160177</v>
      </c>
      <c r="C1835" s="16" t="s">
        <v>2007</v>
      </c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</row>
    <row r="1836" ht="11.25" customHeight="1">
      <c r="A1836" s="13"/>
      <c r="B1836" s="21" t="str">
        <f>HYPERLINK("http://china-parts.in.ua/p304822291-kryshka-paneli-sbore.html","WG1642160183")</f>
        <v>WG1642160183</v>
      </c>
      <c r="C1836" s="16" t="s">
        <v>2008</v>
      </c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</row>
    <row r="1837" ht="11.25" customHeight="1">
      <c r="A1837" s="13"/>
      <c r="B1837" s="21" t="str">
        <f>HYPERLINK("http://china-parts.in.ua/p304822292-kryshka-pribora-sbore.html","WG1642160215")</f>
        <v>WG1642160215</v>
      </c>
      <c r="C1837" s="16" t="s">
        <v>2009</v>
      </c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</row>
    <row r="1838" ht="11.25" customHeight="1">
      <c r="A1838" s="13"/>
      <c r="B1838" s="21" t="str">
        <f>HYPERLINK("http://china-parts.in.ua/p304820779-lampa-perenosnaya-howo.html","WG9719790004")</f>
        <v>WG9719790004</v>
      </c>
      <c r="C1838" s="16" t="s">
        <v>2010</v>
      </c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</row>
    <row r="1839" ht="11.25" customHeight="1">
      <c r="A1839" s="13"/>
      <c r="B1839" s="16" t="s">
        <v>2011</v>
      </c>
      <c r="C1839" s="16" t="s">
        <v>2012</v>
      </c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</row>
    <row r="1840" ht="11.25" customHeight="1">
      <c r="A1840" s="13"/>
      <c r="B1840" s="21" t="str">
        <f>HYPERLINK("http://china-parts.in.ua/p75032848-nasos-bachka-omyvatelya.html","WG1642860001-1/WG1942860001-1")</f>
        <v>WG1642860001-1/WG1942860001-1</v>
      </c>
      <c r="C1840" s="16" t="s">
        <v>2013</v>
      </c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</row>
    <row r="1841" ht="11.25" customHeight="1">
      <c r="A1841" s="13"/>
      <c r="B1841" s="16" t="s">
        <v>2014</v>
      </c>
      <c r="C1841" s="16" t="s">
        <v>2015</v>
      </c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</row>
    <row r="1842" ht="11.25" customHeight="1">
      <c r="A1842" s="13"/>
      <c r="B1842" s="21" t="str">
        <f>HYPERLINK("http://china-parts.in.ua/p75032757-motor-otopitelya-howo.html","AZ1630840014")</f>
        <v>AZ1630840014</v>
      </c>
      <c r="C1842" s="16" t="s">
        <v>2016</v>
      </c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</row>
    <row r="1843" ht="11.25" customHeight="1">
      <c r="A1843" s="13"/>
      <c r="B1843" s="21" t="str">
        <f>HYPERLINK("http://china-parts.in.ua/p75032841-motorchik-stekloochistitelya-wg1642740008.html","WG1642740008")</f>
        <v>WG1642740008</v>
      </c>
      <c r="C1843" s="16" t="s">
        <v>2017</v>
      </c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</row>
    <row r="1844" ht="11.25" customHeight="1">
      <c r="A1844" s="13"/>
      <c r="B1844" s="21" t="str">
        <f>HYPERLINK("http://china-parts.in.ua/p304820728-blok-akkumulyatora-staryj.html","WG9719760004")</f>
        <v>WG9719760004</v>
      </c>
      <c r="C1844" s="16" t="s">
        <v>2018</v>
      </c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</row>
    <row r="1845" ht="11.25" customHeight="1">
      <c r="A1845" s="13"/>
      <c r="B1845" s="21" t="str">
        <f>HYPERLINK("http://china-parts.in.ua/p304822336-panel-upravleniya-sbore.html","WG1642160120")</f>
        <v>WG1642160120</v>
      </c>
      <c r="C1845" s="16" t="s">
        <v>2019</v>
      </c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</row>
    <row r="1846" ht="11.25" customHeight="1">
      <c r="A1846" s="13"/>
      <c r="B1846" s="21" t="str">
        <f>HYPERLINK("http://china-parts.in.ua/p417105098-panel-priborov-howo.html","WG9719580005")</f>
        <v>WG9719580005</v>
      </c>
      <c r="C1846" s="16" t="s">
        <v>2020</v>
      </c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</row>
    <row r="1847" ht="11.25" customHeight="1">
      <c r="A1847" s="13"/>
      <c r="B1847" s="21" t="str">
        <f>HYPERLINK("http://china-parts.in.ua/p417105095-panel-priborov-howo.html","WG9716580025")</f>
        <v>WG9716580025</v>
      </c>
      <c r="C1847" s="16" t="s">
        <v>2021</v>
      </c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</row>
    <row r="1848" ht="11.25" customHeight="1">
      <c r="A1848" s="13"/>
      <c r="B1848" s="16" t="s">
        <v>2022</v>
      </c>
      <c r="C1848" s="16" t="s">
        <v>2023</v>
      </c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</row>
    <row r="1849" ht="11.25" customHeight="1">
      <c r="A1849" s="13"/>
      <c r="B1849" s="21" t="str">
        <f>HYPERLINK("http://china-parts.in.ua/p304822335-panel-priborov-howo.html","WG9719581018")</f>
        <v>WG9719581018</v>
      </c>
      <c r="C1849" s="16" t="s">
        <v>2024</v>
      </c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</row>
    <row r="1850" ht="11.25" customHeight="1">
      <c r="A1850" s="13"/>
      <c r="B1850" s="21" t="str">
        <f>HYPERLINK("http://china-parts.in.ua/p304820435-pedal-gaza-akselerator.html","WG9725570010")</f>
        <v>WG9725570010</v>
      </c>
      <c r="C1850" s="16" t="s">
        <v>2025</v>
      </c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</row>
    <row r="1851" ht="11.25" customHeight="1">
      <c r="A1851" s="13"/>
      <c r="B1851" s="21" t="str">
        <f>HYPERLINK("http://china-parts.in.ua/p304820782-pereklyuchatel-akkumulyatora-howo.html","WG9725764001/002")</f>
        <v>WG9725764001/002</v>
      </c>
      <c r="C1851" s="16" t="s">
        <v>2026</v>
      </c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</row>
    <row r="1852" ht="11.25" customHeight="1">
      <c r="A1852" s="13"/>
      <c r="B1852" s="21" t="str">
        <f>HYPERLINK("http://china-parts.in.ua/p304820784-pereklyuchatel-povorota-howo.html","WG9130583117")</f>
        <v>WG9130583117</v>
      </c>
      <c r="C1852" s="16" t="s">
        <v>2027</v>
      </c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</row>
    <row r="1853" ht="11.25" customHeight="1">
      <c r="A1853" s="13"/>
      <c r="B1853" s="21" t="str">
        <f>HYPERLINK("http://china-parts.in.ua/p304820785-pereklyuchatel-sveta-podrulevoj.html","WG9130583017")</f>
        <v>WG9130583017</v>
      </c>
      <c r="C1853" s="16" t="s">
        <v>2028</v>
      </c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</row>
    <row r="1854" ht="11.25" customHeight="1">
      <c r="A1854" s="13"/>
      <c r="B1854" s="21" t="str">
        <f>HYPERLINK("http://china-parts.in.ua/p304822331-otopitel-salona-sbore.html","AZ1630840302")</f>
        <v>AZ1630840302</v>
      </c>
      <c r="C1854" s="16" t="s">
        <v>2029</v>
      </c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</row>
    <row r="1855" ht="11.25" customHeight="1">
      <c r="A1855" s="13"/>
      <c r="B1855" s="21" t="str">
        <f>HYPERLINK("http://china-parts.in.ua/p304822343-povorotnik-konditsionera-revers.html","AZ1630840324")</f>
        <v>AZ1630840324</v>
      </c>
      <c r="C1855" s="16" t="s">
        <v>2030</v>
      </c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</row>
    <row r="1856" ht="11.25" customHeight="1">
      <c r="A1856" s="13"/>
      <c r="B1856" s="21" t="str">
        <f>HYPERLINK("http://china-parts.in.ua/p304822344-povorotnik-konditsionera-revers.html","AZ1630840325")</f>
        <v>AZ1630840325</v>
      </c>
      <c r="C1856" s="16" t="s">
        <v>2031</v>
      </c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</row>
    <row r="1857" ht="11.25" customHeight="1">
      <c r="A1857" s="13"/>
      <c r="B1857" s="21" t="str">
        <f>HYPERLINK("http://china-parts.in.ua/p304820789-rele-howo-wg9100581000.html","WG9100581000-11")</f>
        <v>WG9100581000-11</v>
      </c>
      <c r="C1857" s="16" t="s">
        <v>2032</v>
      </c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</row>
    <row r="1858" ht="11.25" customHeight="1">
      <c r="A1858" s="13"/>
      <c r="B1858" s="16" t="s">
        <v>2033</v>
      </c>
      <c r="C1858" s="16" t="s">
        <v>2034</v>
      </c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</row>
    <row r="1859" ht="11.25" customHeight="1">
      <c r="A1859" s="13"/>
      <c r="B1859" s="16" t="s">
        <v>2035</v>
      </c>
      <c r="C1859" s="16" t="s">
        <v>2036</v>
      </c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</row>
    <row r="1860" ht="11.25" customHeight="1">
      <c r="A1860" s="13"/>
      <c r="B1860" s="21" t="str">
        <f>HYPERLINK("http://china-parts.in.ua/p304822390-regulyator-ventilyatora-sbore.html","AZ1630840321")</f>
        <v>AZ1630840321</v>
      </c>
      <c r="C1860" s="16" t="s">
        <v>2037</v>
      </c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</row>
    <row r="1861" ht="11.25" customHeight="1">
      <c r="A1861" s="13"/>
      <c r="B1861" s="16" t="s">
        <v>2038</v>
      </c>
      <c r="C1861" s="16" t="s">
        <v>2039</v>
      </c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</row>
    <row r="1862" ht="11.25" customHeight="1">
      <c r="A1862" s="13"/>
      <c r="B1862" s="21" t="str">
        <f>HYPERLINK("http://china-parts.in.ua/p304820790-rele-startera-80a.html","WG9100583049")</f>
        <v>WG9100583049</v>
      </c>
      <c r="C1862" s="16" t="s">
        <v>2040</v>
      </c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</row>
    <row r="1863" ht="11.25" customHeight="1">
      <c r="A1863" s="13"/>
      <c r="B1863" s="16" t="s">
        <v>2041</v>
      </c>
      <c r="C1863" s="16" t="s">
        <v>2042</v>
      </c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</row>
    <row r="1864" ht="11.25" customHeight="1">
      <c r="A1864" s="13"/>
      <c r="B1864" s="21" t="str">
        <f>HYPERLINK("http://china-parts.in.ua/p304820217-svecha-zazhiganiya-wd615.html","VG1200090162")</f>
        <v>VG1200090162</v>
      </c>
      <c r="C1864" s="16" t="s">
        <v>2043</v>
      </c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</row>
    <row r="1865" ht="11.25" customHeight="1">
      <c r="A1865" s="13"/>
      <c r="B1865" s="21" t="str">
        <f>HYPERLINK("http://china-parts.in.ua/p304821846-signal-pnevmaticheskij-sbore.html","WG9716270003")</f>
        <v>WG9716270003</v>
      </c>
      <c r="C1865" s="16" t="s">
        <v>2044</v>
      </c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</row>
    <row r="1866" ht="11.25" customHeight="1">
      <c r="A1866" s="13"/>
      <c r="B1866" s="21" t="str">
        <f>HYPERLINK("http://china-parts.in.ua/p304821845-signal-pnevmaticheskij-howo.html","WG9716270004")</f>
        <v>WG9716270004</v>
      </c>
      <c r="C1866" s="16" t="s">
        <v>2045</v>
      </c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</row>
    <row r="1867" ht="11.25" customHeight="1">
      <c r="A1867" s="13"/>
      <c r="B1867" s="21" t="str">
        <f>HYPERLINK("http://china-parts.in.ua/p503898026-tsilindr-ostanovki-dvigatelya.html","WG9100570002")</f>
        <v>WG9100570002</v>
      </c>
      <c r="C1867" s="16" t="s">
        <v>2046</v>
      </c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</row>
    <row r="1868" ht="11.25" customHeight="1">
      <c r="A1868" s="13"/>
      <c r="B1868" s="21" t="str">
        <f>HYPERLINK("http://china-parts.in.ua/p304820499-tsilindr-dlya-prekrascheniya.html","WG9100570005")</f>
        <v>WG9100570005</v>
      </c>
      <c r="C1868" s="16" t="s">
        <v>2047</v>
      </c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</row>
    <row r="1869" ht="11.25" customHeight="1">
      <c r="A1869" s="13"/>
      <c r="B1869" s="21" t="str">
        <f>HYPERLINK("http://china-parts.in.ua/p304822424-stol-paneli-sbore.html","AZ1642160170")</f>
        <v>AZ1642160170</v>
      </c>
      <c r="C1869" s="31" t="str">
        <f>HYPERLINK("http://china-parts.in.ua/p304822424-stol-paneli-sbore.html","щиток панели приборов AZ1642160170")</f>
        <v>щиток панели приборов AZ1642160170</v>
      </c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</row>
  </sheetData>
  <mergeCells count="1">
    <mergeCell ref="B1:C1"/>
  </mergeCells>
  <drawing r:id="rId1"/>
</worksheet>
</file>