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6.xml" ContentType="application/vnd.openxmlformats-officedocument.spreadsheetml.comments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st8\OneDrive\Рабочий стол\"/>
    </mc:Choice>
  </mc:AlternateContent>
  <xr:revisionPtr revIDLastSave="0" documentId="8_{2BABDD56-EF35-4616-9268-67820788E9FA}" xr6:coauthVersionLast="36" xr6:coauthVersionMax="36" xr10:uidLastSave="{00000000-0000-0000-0000-000000000000}"/>
  <bookViews>
    <workbookView xWindow="0" yWindow="0" windowWidth="28800" windowHeight="13620" tabRatio="699" xr2:uid="{00000000-000D-0000-FFFF-FFFF00000000}"/>
  </bookViews>
  <sheets>
    <sheet name="Нерж" sheetId="13" r:id="rId1"/>
    <sheet name="Цветн" sheetId="5" r:id="rId2"/>
    <sheet name="прецизионные сплавы" sheetId="11" r:id="rId3"/>
    <sheet name="молибден, вольф, никель, ниобий" sheetId="6" r:id="rId4"/>
    <sheet name="титан" sheetId="7" r:id="rId5"/>
    <sheet name="быстрорез" sheetId="8" r:id="rId6"/>
    <sheet name="задвижки, фланцы, сетка, гайки" sheetId="9" r:id="rId7"/>
    <sheet name="ферросплавы" sheetId="10" r:id="rId8"/>
  </sheets>
  <definedNames>
    <definedName name="_xlnm._FilterDatabase" localSheetId="5" hidden="1">быстрорез!$A$2:$I$5</definedName>
    <definedName name="_xlnm._FilterDatabase" localSheetId="6" hidden="1">'задвижки, фланцы, сетка, гайки'!$A$2:$H$3</definedName>
    <definedName name="_xlnm._FilterDatabase" localSheetId="3" hidden="1">'молибден, вольф, никель, ниобий'!$A$1:$I$56</definedName>
    <definedName name="_xlnm._FilterDatabase" localSheetId="0" hidden="1">Нерж!$A$1:$I$2992</definedName>
    <definedName name="_xlnm._FilterDatabase" localSheetId="2" hidden="1">'прецизионные сплавы'!$A$1:$I$116</definedName>
    <definedName name="_xlnm._FilterDatabase" localSheetId="4" hidden="1">титан!$A$1:$I$482</definedName>
    <definedName name="_xlnm._FilterDatabase" localSheetId="7" hidden="1">ферросплавы!$A$1:$H$29</definedName>
    <definedName name="_xlnm._FilterDatabase" localSheetId="1" hidden="1">Цветн!$A$1:$I$1360</definedName>
  </definedNames>
  <calcPr calcId="191029" refMode="R1C1"/>
  <fileRecoveryPr repairLoad="1"/>
</workbook>
</file>

<file path=xl/calcChain.xml><?xml version="1.0" encoding="utf-8"?>
<calcChain xmlns="http://schemas.openxmlformats.org/spreadsheetml/2006/main">
  <c r="H92" i="13" l="1"/>
  <c r="H1881" i="13"/>
  <c r="H2301" i="13"/>
  <c r="H2144" i="13"/>
  <c r="H45" i="13"/>
  <c r="H151" i="5"/>
  <c r="H2597" i="13"/>
  <c r="H1627" i="13"/>
  <c r="H563" i="13"/>
  <c r="H122" i="5"/>
  <c r="H488" i="5"/>
  <c r="H367" i="5"/>
  <c r="H2051" i="13"/>
  <c r="H2134" i="13"/>
  <c r="H356" i="13"/>
  <c r="H70" i="13"/>
  <c r="H741" i="5"/>
  <c r="H438" i="5"/>
  <c r="H136" i="7"/>
  <c r="H1831" i="13"/>
  <c r="H1792" i="13"/>
  <c r="H1797" i="13"/>
  <c r="H73" i="13"/>
  <c r="H1355" i="5"/>
  <c r="H2035" i="13"/>
  <c r="H1544" i="13"/>
  <c r="H2241" i="13"/>
  <c r="H2034" i="13"/>
  <c r="H1909" i="13"/>
  <c r="H2736" i="13"/>
  <c r="H2656" i="13"/>
  <c r="H2876" i="13"/>
  <c r="H100" i="5"/>
  <c r="H51" i="5"/>
  <c r="H71" i="5"/>
  <c r="H387" i="13"/>
  <c r="H518" i="13"/>
  <c r="H1411" i="13"/>
  <c r="H1862" i="13"/>
  <c r="H427" i="5"/>
  <c r="H80" i="5"/>
  <c r="H1913" i="13"/>
  <c r="H633" i="5"/>
  <c r="H2658" i="13"/>
  <c r="H1192" i="5"/>
  <c r="H708" i="13"/>
  <c r="H977" i="13"/>
  <c r="H1987" i="13"/>
  <c r="H444" i="5"/>
  <c r="H1976" i="13"/>
  <c r="H73" i="5"/>
  <c r="H1983" i="13"/>
  <c r="H67" i="11"/>
  <c r="H587" i="5"/>
  <c r="H1256" i="5"/>
  <c r="H847" i="5"/>
  <c r="H1054" i="5"/>
  <c r="H111" i="13"/>
  <c r="H2584" i="13"/>
  <c r="H666" i="13"/>
  <c r="H720" i="5"/>
  <c r="H108" i="13"/>
  <c r="H1981" i="13"/>
  <c r="H71" i="13"/>
  <c r="H1320" i="13"/>
  <c r="H2587" i="13"/>
  <c r="H1138" i="13"/>
  <c r="H717" i="5"/>
  <c r="H1112" i="5"/>
  <c r="H29" i="13"/>
  <c r="H735" i="13"/>
  <c r="H324" i="5"/>
  <c r="H333" i="5"/>
  <c r="H2934" i="13"/>
  <c r="H1652" i="13"/>
  <c r="H24" i="13"/>
  <c r="H1328" i="13"/>
  <c r="H1147" i="13"/>
  <c r="H1813" i="13"/>
  <c r="H744" i="5"/>
  <c r="H1029" i="13"/>
  <c r="H1687" i="13"/>
  <c r="H190" i="13"/>
  <c r="H632" i="13"/>
  <c r="H700" i="13"/>
  <c r="H1255" i="5"/>
  <c r="H1257" i="13"/>
  <c r="H1197" i="13"/>
  <c r="H59" i="5"/>
  <c r="H535" i="13"/>
  <c r="H138" i="13"/>
  <c r="H553" i="13"/>
  <c r="H256" i="5"/>
  <c r="H1283" i="5"/>
  <c r="H514" i="13"/>
  <c r="H1800" i="13"/>
  <c r="H794" i="5"/>
  <c r="H136" i="13"/>
  <c r="H1057" i="13"/>
  <c r="H2592" i="13"/>
  <c r="H833" i="13"/>
  <c r="H113" i="13"/>
  <c r="H525" i="5"/>
  <c r="H2958" i="13"/>
  <c r="H902" i="5"/>
  <c r="H53" i="5"/>
  <c r="H417" i="13"/>
  <c r="H1410" i="13"/>
  <c r="H364" i="5"/>
  <c r="H37" i="13"/>
  <c r="H660" i="13"/>
  <c r="H35" i="7"/>
  <c r="H76" i="5"/>
  <c r="H2946" i="13"/>
  <c r="H830" i="5"/>
  <c r="H1181" i="13"/>
  <c r="H312" i="13"/>
  <c r="H343" i="5"/>
  <c r="H1802" i="13"/>
  <c r="H388" i="13"/>
  <c r="H63" i="5"/>
  <c r="H57" i="13"/>
  <c r="H72" i="13"/>
  <c r="H369" i="5"/>
  <c r="H1214" i="5"/>
  <c r="H1796" i="13"/>
  <c r="H36" i="7"/>
  <c r="H1059" i="5"/>
  <c r="H385" i="5"/>
  <c r="H356" i="5"/>
  <c r="H1924" i="13"/>
  <c r="H2059" i="13"/>
  <c r="H1782" i="13"/>
  <c r="H871" i="5"/>
  <c r="H2024" i="13"/>
  <c r="H2962" i="13"/>
  <c r="H400" i="13"/>
  <c r="H733" i="5"/>
  <c r="H1712" i="13"/>
  <c r="H1354" i="13"/>
  <c r="H2368" i="13"/>
  <c r="H215" i="7"/>
  <c r="H257" i="13"/>
  <c r="H862" i="13"/>
  <c r="H1929" i="13"/>
  <c r="H1271" i="5"/>
  <c r="H1268" i="5"/>
  <c r="H1704" i="13"/>
  <c r="H1006" i="5"/>
  <c r="H1787" i="13"/>
  <c r="H2018" i="13"/>
  <c r="H2152" i="13"/>
  <c r="H1759" i="13"/>
  <c r="H1295" i="5"/>
  <c r="H1393" i="13"/>
  <c r="H1826" i="13"/>
  <c r="H1809" i="13"/>
  <c r="H162" i="5"/>
  <c r="H892" i="13"/>
  <c r="H430" i="5"/>
  <c r="H934" i="5"/>
  <c r="H421" i="5"/>
  <c r="H2021" i="13"/>
  <c r="H2020" i="13"/>
  <c r="H2019" i="13"/>
  <c r="H1147" i="5"/>
  <c r="H461" i="13"/>
  <c r="H409" i="13"/>
  <c r="H366" i="5"/>
  <c r="H1023" i="13"/>
  <c r="H1580" i="13"/>
  <c r="H268" i="13"/>
  <c r="H350" i="13"/>
  <c r="H772" i="5"/>
  <c r="H1148" i="5"/>
  <c r="H736" i="5"/>
  <c r="H53" i="13"/>
  <c r="H207" i="7"/>
  <c r="H52" i="11"/>
  <c r="H682" i="13"/>
  <c r="H58" i="5"/>
  <c r="H979" i="5"/>
  <c r="H118" i="7"/>
  <c r="H370" i="5"/>
  <c r="H2148" i="13"/>
  <c r="H1841" i="13"/>
  <c r="H106" i="13"/>
  <c r="H1978" i="13"/>
  <c r="H1979" i="13"/>
  <c r="H423" i="7"/>
  <c r="H1276" i="5"/>
  <c r="H579" i="5"/>
  <c r="H427" i="13"/>
  <c r="H524" i="13"/>
  <c r="H236" i="5"/>
  <c r="H749" i="13"/>
  <c r="H504" i="13"/>
  <c r="H276" i="5"/>
  <c r="H2364" i="13"/>
  <c r="H114" i="13"/>
  <c r="H316" i="5"/>
  <c r="H937" i="5"/>
  <c r="H295" i="5"/>
  <c r="H121" i="13"/>
  <c r="H1822" i="13"/>
  <c r="H2121" i="13"/>
  <c r="H443" i="5"/>
  <c r="H1804" i="13"/>
  <c r="H1808" i="13"/>
  <c r="H37" i="7"/>
  <c r="H1105" i="5"/>
  <c r="H1135" i="5"/>
  <c r="H155" i="13"/>
  <c r="H1821" i="13"/>
  <c r="H1279" i="5"/>
  <c r="H1971" i="13"/>
  <c r="H21" i="5"/>
  <c r="H2949" i="13"/>
  <c r="H267" i="13"/>
  <c r="H65" i="7"/>
  <c r="H1376" i="13"/>
  <c r="H95" i="5"/>
  <c r="H79" i="5"/>
  <c r="H1852" i="13"/>
  <c r="H159" i="7"/>
  <c r="H144" i="7"/>
  <c r="H793" i="5"/>
  <c r="H1221" i="5"/>
  <c r="H1582" i="13"/>
  <c r="H1791" i="13"/>
  <c r="H292" i="13"/>
  <c r="H1044" i="5"/>
  <c r="H390" i="13"/>
  <c r="H375" i="13"/>
  <c r="H228" i="13"/>
  <c r="H77" i="13"/>
  <c r="H509" i="5"/>
  <c r="H310" i="13"/>
  <c r="H520" i="5"/>
  <c r="H480" i="5"/>
  <c r="H704" i="5"/>
  <c r="H701" i="5"/>
  <c r="H1746" i="13"/>
  <c r="H1714" i="13"/>
  <c r="H2728" i="13"/>
  <c r="H74" i="5"/>
  <c r="H813" i="13"/>
  <c r="H1357" i="13"/>
  <c r="H1353" i="13"/>
  <c r="H224" i="13"/>
  <c r="H1173" i="13"/>
  <c r="H976" i="13"/>
  <c r="H382" i="13"/>
  <c r="H348" i="13"/>
  <c r="H156" i="5"/>
  <c r="H884" i="13"/>
  <c r="H221" i="5"/>
  <c r="H255" i="7"/>
  <c r="H1136" i="5"/>
  <c r="H90" i="5"/>
  <c r="H1749" i="13"/>
  <c r="H330" i="13"/>
  <c r="H214" i="5"/>
  <c r="H714" i="5"/>
  <c r="H65" i="13"/>
  <c r="H1818" i="13"/>
  <c r="H61" i="5"/>
  <c r="H213" i="13"/>
  <c r="H197" i="13"/>
  <c r="H456" i="5"/>
  <c r="H59" i="13"/>
  <c r="H179" i="5"/>
  <c r="H936" i="5"/>
  <c r="H1023" i="5"/>
  <c r="H1840" i="13"/>
  <c r="H1805" i="13"/>
  <c r="H82" i="5"/>
  <c r="H146" i="5"/>
  <c r="H19" i="5"/>
  <c r="H728" i="5"/>
  <c r="H449" i="5"/>
  <c r="H1285" i="13"/>
  <c r="H139" i="7"/>
  <c r="H1367" i="13"/>
  <c r="H1883" i="13"/>
  <c r="H571" i="5"/>
  <c r="H2046" i="13"/>
  <c r="H650" i="5"/>
  <c r="H649" i="5"/>
  <c r="H121" i="5"/>
  <c r="H732" i="13"/>
  <c r="H1158" i="5"/>
  <c r="H726" i="5"/>
  <c r="H1353" i="5"/>
  <c r="H1581" i="13"/>
  <c r="H1537" i="13"/>
  <c r="H1184" i="5"/>
  <c r="H329" i="13"/>
  <c r="H315" i="5"/>
  <c r="H946" i="5"/>
  <c r="H938" i="5"/>
  <c r="H1743" i="13"/>
  <c r="H2138" i="13"/>
  <c r="H2663" i="13"/>
  <c r="H530" i="5"/>
  <c r="H1115" i="5"/>
  <c r="H987" i="5"/>
  <c r="H30" i="13"/>
  <c r="H583" i="5"/>
  <c r="H62" i="7"/>
  <c r="H1010" i="5"/>
  <c r="H270" i="7"/>
  <c r="H1937" i="13"/>
  <c r="H926" i="13"/>
  <c r="H913" i="13"/>
  <c r="H2954" i="13"/>
  <c r="H1968" i="13"/>
  <c r="H46" i="5"/>
  <c r="H60" i="13"/>
  <c r="H422" i="13"/>
  <c r="H81" i="13"/>
  <c r="H1892" i="13"/>
  <c r="H222" i="5"/>
  <c r="H89" i="5"/>
  <c r="H1972" i="13"/>
  <c r="H1742" i="13"/>
  <c r="H1732" i="13"/>
  <c r="H1733" i="13"/>
  <c r="H1713" i="13"/>
  <c r="H139" i="5"/>
  <c r="H254" i="13"/>
  <c r="H1888" i="13"/>
  <c r="H54" i="7"/>
  <c r="H1444" i="13"/>
  <c r="H532" i="13"/>
  <c r="H1253" i="5"/>
  <c r="H295" i="13"/>
  <c r="H1270" i="5"/>
  <c r="H1830" i="13"/>
  <c r="H166" i="13"/>
  <c r="H425" i="13"/>
  <c r="H1975" i="13"/>
  <c r="H77" i="11"/>
  <c r="H130" i="13"/>
  <c r="H132" i="13"/>
  <c r="H2945" i="13"/>
  <c r="H1878" i="13"/>
  <c r="H1359" i="13"/>
  <c r="H1654" i="13"/>
  <c r="H446" i="13"/>
  <c r="H783" i="13"/>
  <c r="H319" i="13"/>
  <c r="H1912" i="13"/>
  <c r="H1497" i="13"/>
  <c r="H472" i="5"/>
  <c r="H352" i="13"/>
  <c r="H347" i="13"/>
  <c r="H63" i="11"/>
  <c r="H1250" i="5"/>
  <c r="H1258" i="5"/>
  <c r="H1149" i="5"/>
  <c r="H624" i="5"/>
  <c r="H930" i="5"/>
  <c r="H1834" i="13"/>
  <c r="H1200" i="5"/>
  <c r="H69" i="11"/>
  <c r="H165" i="7"/>
  <c r="H1761" i="13"/>
  <c r="H167" i="5"/>
  <c r="H1875" i="13"/>
  <c r="H1003" i="5"/>
  <c r="H2320" i="13"/>
  <c r="H656" i="13"/>
  <c r="H1496" i="13"/>
  <c r="H401" i="5"/>
  <c r="H1499" i="13"/>
  <c r="H968" i="5"/>
  <c r="H2720" i="13"/>
  <c r="H344" i="5"/>
  <c r="H393" i="5"/>
  <c r="H1148" i="13"/>
  <c r="H1115" i="13"/>
  <c r="H480" i="13"/>
  <c r="H1127" i="5"/>
  <c r="H1946" i="13"/>
  <c r="H1738" i="13"/>
  <c r="H1560" i="13"/>
  <c r="H152" i="13"/>
  <c r="H722" i="5"/>
  <c r="H1225" i="5"/>
  <c r="H171" i="7"/>
  <c r="H211" i="7"/>
  <c r="H1041" i="5"/>
  <c r="H1811" i="13"/>
  <c r="H350" i="5"/>
  <c r="H297" i="5"/>
  <c r="H713" i="5"/>
  <c r="H712" i="5"/>
  <c r="H1921" i="13"/>
  <c r="H187" i="13"/>
  <c r="H300" i="13"/>
  <c r="H458" i="13"/>
  <c r="H499" i="13"/>
  <c r="H596" i="13"/>
  <c r="H896" i="13"/>
  <c r="H182" i="13"/>
  <c r="H472" i="13"/>
  <c r="H578" i="13"/>
  <c r="H668" i="13"/>
  <c r="H1109" i="13"/>
  <c r="H2336" i="13"/>
  <c r="H284" i="5"/>
  <c r="H275" i="5"/>
  <c r="H1863" i="13"/>
  <c r="H1111" i="5"/>
  <c r="H1790" i="13"/>
  <c r="H2372" i="13"/>
  <c r="H923" i="5"/>
  <c r="H211" i="5"/>
  <c r="H1007" i="5"/>
  <c r="H1051" i="5"/>
  <c r="H561" i="5"/>
  <c r="H2921" i="13"/>
  <c r="H351" i="5"/>
  <c r="H1218" i="13"/>
  <c r="H1870" i="13"/>
  <c r="H1985" i="13"/>
  <c r="H1901" i="13"/>
  <c r="H1900" i="13"/>
  <c r="H110" i="7"/>
  <c r="H1290" i="5"/>
  <c r="H230" i="7"/>
  <c r="H1873" i="13"/>
  <c r="H1027" i="5"/>
  <c r="H296" i="7"/>
  <c r="H709" i="13"/>
  <c r="H2678" i="13"/>
  <c r="H929" i="5"/>
  <c r="H66" i="5"/>
  <c r="H1683" i="13"/>
  <c r="H620" i="5"/>
  <c r="H103" i="5"/>
  <c r="H1287" i="5"/>
  <c r="H1538" i="13"/>
  <c r="H2119" i="13"/>
  <c r="H185" i="13"/>
  <c r="H445" i="13"/>
  <c r="H981" i="5"/>
  <c r="H337" i="13"/>
  <c r="H774" i="13"/>
  <c r="H658" i="13"/>
  <c r="H119" i="13"/>
  <c r="H318" i="13"/>
  <c r="H1213" i="5"/>
  <c r="H1209" i="5"/>
  <c r="H1375" i="13"/>
  <c r="H1108" i="5"/>
  <c r="H10" i="13"/>
  <c r="H1860" i="13"/>
  <c r="H2737" i="13"/>
  <c r="H1342" i="13"/>
  <c r="H1571" i="13"/>
  <c r="H1889" i="13"/>
  <c r="H1867" i="13"/>
  <c r="H226" i="13"/>
  <c r="H763" i="5"/>
  <c r="H69" i="5"/>
  <c r="H1141" i="5"/>
  <c r="H79" i="13"/>
  <c r="H272" i="13"/>
  <c r="H557" i="13"/>
  <c r="H263" i="13"/>
  <c r="H724" i="13"/>
  <c r="H1803" i="13"/>
  <c r="H2133" i="13"/>
  <c r="H388" i="5"/>
  <c r="H380" i="13"/>
  <c r="H1245" i="5"/>
  <c r="H147" i="13"/>
  <c r="H2496" i="13"/>
  <c r="H407" i="13"/>
  <c r="H855" i="5"/>
  <c r="H2588" i="13"/>
  <c r="H1933" i="13"/>
  <c r="H1278" i="5"/>
  <c r="H1832" i="13"/>
  <c r="H740" i="5"/>
  <c r="H707" i="5"/>
  <c r="H1025" i="5"/>
  <c r="H2033" i="13"/>
  <c r="H102" i="13"/>
  <c r="H392" i="13"/>
  <c r="H477" i="5"/>
  <c r="H539" i="13"/>
  <c r="H545" i="13"/>
  <c r="H1055" i="5"/>
  <c r="H2904" i="13"/>
  <c r="H2773" i="13"/>
  <c r="H316" i="13"/>
  <c r="H253" i="13"/>
  <c r="H1322" i="5"/>
  <c r="H1326" i="5"/>
  <c r="H227" i="7"/>
  <c r="H460" i="13"/>
  <c r="H743" i="5"/>
  <c r="H457" i="13"/>
  <c r="H462" i="13"/>
  <c r="H610" i="13"/>
  <c r="H836" i="13"/>
  <c r="H1293" i="5"/>
  <c r="H753" i="13"/>
  <c r="H2745" i="13"/>
  <c r="H1731" i="13"/>
  <c r="H43" i="5"/>
  <c r="H950" i="5"/>
  <c r="H234" i="13"/>
  <c r="H576" i="13"/>
  <c r="H1263" i="5"/>
  <c r="H1794" i="13"/>
  <c r="H277" i="7"/>
  <c r="H209" i="5"/>
  <c r="H2136" i="13"/>
  <c r="H2349" i="13"/>
  <c r="H1970" i="13"/>
  <c r="H284" i="7"/>
  <c r="H2224" i="13"/>
  <c r="H1260" i="5"/>
  <c r="H1206" i="5"/>
  <c r="H1175" i="5"/>
  <c r="H1180" i="5"/>
  <c r="H848" i="5"/>
  <c r="H2766" i="13"/>
  <c r="H1139" i="13"/>
  <c r="H1558" i="13"/>
  <c r="H92" i="5"/>
  <c r="H714" i="13"/>
  <c r="H807" i="5"/>
  <c r="H154" i="5"/>
  <c r="H380" i="5"/>
  <c r="H2105" i="13"/>
  <c r="H219" i="13"/>
  <c r="H1048" i="5"/>
  <c r="H123" i="5"/>
  <c r="H2311" i="13"/>
  <c r="H2907" i="13"/>
  <c r="H204" i="5"/>
  <c r="H1636" i="13"/>
  <c r="H1612" i="13"/>
  <c r="H435" i="5"/>
  <c r="H1005" i="5"/>
  <c r="H378" i="5"/>
  <c r="H372" i="13"/>
  <c r="H691" i="13"/>
  <c r="H887" i="5"/>
  <c r="H2008" i="13"/>
  <c r="H1795" i="13"/>
  <c r="H995" i="5"/>
  <c r="H985" i="5"/>
  <c r="H982" i="5"/>
  <c r="H1185" i="5"/>
  <c r="H214" i="7"/>
  <c r="H367" i="13"/>
  <c r="H761" i="5"/>
  <c r="H2660" i="13"/>
  <c r="H1053" i="5"/>
  <c r="H156" i="13"/>
  <c r="H1691" i="13"/>
  <c r="H168" i="13"/>
  <c r="H1706" i="13"/>
  <c r="H2787" i="13"/>
  <c r="H2779" i="13"/>
  <c r="H2665" i="13"/>
  <c r="H2661" i="13"/>
  <c r="H2653" i="13"/>
  <c r="H2767" i="13"/>
  <c r="H374" i="13"/>
  <c r="H1459" i="13"/>
  <c r="H1230" i="5"/>
  <c r="H1130" i="5"/>
  <c r="H355" i="13"/>
  <c r="H1814" i="13"/>
  <c r="H225" i="7"/>
  <c r="H935" i="5"/>
  <c r="H2055" i="13"/>
  <c r="H1116" i="5"/>
  <c r="H69" i="7"/>
  <c r="H463" i="5"/>
  <c r="H108" i="5"/>
  <c r="H1167" i="5"/>
  <c r="H1618" i="13"/>
  <c r="H665" i="5"/>
  <c r="H308" i="5"/>
  <c r="H548" i="5"/>
  <c r="H640" i="13"/>
  <c r="H716" i="13"/>
  <c r="H958" i="5"/>
  <c r="H449" i="13"/>
  <c r="H314" i="13"/>
  <c r="H696" i="5"/>
  <c r="H454" i="13"/>
  <c r="H1401" i="13"/>
  <c r="H1126" i="5"/>
  <c r="H1123" i="5"/>
  <c r="H926" i="5"/>
  <c r="H972" i="5"/>
  <c r="H1045" i="5"/>
  <c r="H2269" i="13"/>
  <c r="H1902" i="13"/>
  <c r="H856" i="5"/>
  <c r="H547" i="13"/>
  <c r="H1352" i="5"/>
  <c r="H210" i="13"/>
  <c r="H2471" i="13"/>
  <c r="H2206" i="13"/>
  <c r="H364" i="13"/>
  <c r="H2214" i="13"/>
  <c r="H1898" i="13"/>
  <c r="H1751" i="13"/>
  <c r="H100" i="13"/>
  <c r="H706" i="13"/>
  <c r="H1966" i="13"/>
  <c r="H808" i="13"/>
  <c r="H1231" i="5"/>
  <c r="H35" i="5"/>
  <c r="H2573" i="13"/>
  <c r="H2529" i="13"/>
  <c r="H2135" i="13"/>
  <c r="H616" i="13"/>
  <c r="H2562" i="13"/>
  <c r="H840" i="5"/>
  <c r="H21" i="11"/>
  <c r="H627" i="13"/>
  <c r="H723" i="5"/>
  <c r="H1722" i="13"/>
  <c r="H206" i="7"/>
  <c r="H912" i="13"/>
  <c r="H734" i="5"/>
  <c r="H1035" i="5"/>
  <c r="H995" i="13"/>
  <c r="H1143" i="13"/>
  <c r="H635" i="13"/>
  <c r="H846" i="5"/>
  <c r="H237" i="7"/>
  <c r="H1273" i="5"/>
  <c r="H2270" i="13"/>
  <c r="H603" i="13"/>
  <c r="H1939" i="13"/>
  <c r="H162" i="13"/>
  <c r="H301" i="13"/>
  <c r="H1046" i="5"/>
  <c r="H1897" i="13"/>
  <c r="H1188" i="5"/>
  <c r="H1065" i="5"/>
  <c r="H2130" i="13"/>
  <c r="H1856" i="13"/>
  <c r="H951" i="13"/>
  <c r="H2127" i="13"/>
  <c r="H1938" i="13"/>
  <c r="H2172" i="13"/>
  <c r="H2755" i="13"/>
  <c r="H412" i="13"/>
  <c r="H55" i="5"/>
  <c r="H2405" i="13"/>
  <c r="H619" i="5"/>
  <c r="H613" i="13"/>
  <c r="H699" i="5"/>
  <c r="H2007" i="13"/>
  <c r="H258" i="13"/>
  <c r="H102" i="7"/>
  <c r="H82" i="11"/>
  <c r="H464" i="5"/>
  <c r="H1241" i="5"/>
  <c r="H870" i="13"/>
  <c r="H38" i="5"/>
  <c r="H2363" i="13"/>
  <c r="H1222" i="5"/>
  <c r="H513" i="13"/>
  <c r="H415" i="13"/>
  <c r="H1332" i="5"/>
  <c r="H806" i="13"/>
  <c r="H947" i="13"/>
  <c r="H1767" i="13"/>
  <c r="H326" i="13"/>
  <c r="H1138" i="5"/>
  <c r="H1243" i="13"/>
  <c r="H2341" i="13"/>
  <c r="H1942" i="13"/>
  <c r="H2468" i="13"/>
  <c r="H2283" i="13"/>
  <c r="H138" i="5"/>
  <c r="H312" i="7"/>
  <c r="H313" i="7"/>
  <c r="H336" i="13"/>
  <c r="H2754" i="13"/>
  <c r="H170" i="13"/>
  <c r="H971" i="5"/>
  <c r="H2365" i="13"/>
  <c r="H1474" i="13"/>
  <c r="H386" i="5"/>
  <c r="H2012" i="13"/>
  <c r="H479" i="5"/>
  <c r="H1524" i="13"/>
  <c r="H399" i="13"/>
  <c r="H1168" i="5"/>
  <c r="H1719" i="13"/>
  <c r="H57" i="5"/>
  <c r="H143" i="5"/>
  <c r="H1285" i="5"/>
  <c r="H359" i="5"/>
  <c r="H1078" i="5"/>
  <c r="H766" i="5"/>
  <c r="H1265" i="5"/>
  <c r="H446" i="5"/>
  <c r="H1442" i="13"/>
  <c r="H2222" i="13"/>
  <c r="H1711" i="13"/>
  <c r="H98" i="5"/>
  <c r="H594" i="13"/>
  <c r="H1905" i="13"/>
  <c r="H1853" i="13"/>
  <c r="H522" i="5"/>
  <c r="H1592" i="13"/>
  <c r="H1536" i="13"/>
  <c r="H2140" i="13"/>
  <c r="H1110" i="5"/>
  <c r="H838" i="5"/>
  <c r="H153" i="5"/>
  <c r="H719" i="13"/>
  <c r="H217" i="5"/>
  <c r="H615" i="5"/>
  <c r="H170" i="7"/>
  <c r="H1215" i="5"/>
  <c r="H1154" i="5"/>
  <c r="H701" i="13"/>
  <c r="H824" i="13"/>
  <c r="H437" i="13"/>
  <c r="H562" i="5"/>
  <c r="H595" i="5"/>
  <c r="H1060" i="5"/>
  <c r="H354" i="5"/>
  <c r="H1300" i="5"/>
  <c r="H255" i="13"/>
  <c r="H1156" i="5"/>
  <c r="H90" i="11"/>
  <c r="H2459" i="13"/>
  <c r="H960" i="5"/>
  <c r="H1119" i="5"/>
  <c r="H496" i="13"/>
  <c r="H981" i="13"/>
  <c r="H691" i="5"/>
  <c r="H679" i="5"/>
  <c r="H917" i="13"/>
  <c r="H2815" i="13"/>
  <c r="H1932" i="13"/>
  <c r="H1281" i="5"/>
  <c r="H919" i="13"/>
  <c r="H289" i="5"/>
  <c r="H850" i="5"/>
  <c r="H1543" i="13"/>
  <c r="H188" i="5"/>
  <c r="H2006" i="13"/>
  <c r="H323" i="13"/>
  <c r="H270" i="5"/>
  <c r="H802" i="5"/>
  <c r="H1848" i="13"/>
  <c r="H2880" i="13"/>
  <c r="H1223" i="5"/>
  <c r="H2619" i="13"/>
  <c r="H1264" i="13"/>
  <c r="H478" i="5"/>
  <c r="H199" i="13"/>
  <c r="H453" i="13"/>
  <c r="H2780" i="13"/>
  <c r="H903" i="5"/>
  <c r="H81" i="5"/>
  <c r="H1107" i="5"/>
  <c r="H1550" i="13"/>
  <c r="H1447" i="13"/>
  <c r="H1455" i="13"/>
  <c r="H469" i="13"/>
  <c r="H379" i="13"/>
  <c r="H448" i="5"/>
  <c r="H1171" i="5"/>
  <c r="H65" i="5"/>
  <c r="H1198" i="5"/>
  <c r="H478" i="7"/>
  <c r="H362" i="5"/>
  <c r="H205" i="7"/>
  <c r="H863" i="5"/>
  <c r="H2915" i="13"/>
  <c r="H990" i="13"/>
  <c r="H174" i="13"/>
  <c r="H604" i="13"/>
  <c r="H498" i="5"/>
  <c r="H1063" i="13"/>
  <c r="H1737" i="13"/>
  <c r="H1316" i="5"/>
  <c r="H435" i="13"/>
  <c r="H10" i="6"/>
  <c r="H87" i="5"/>
  <c r="H1273" i="13"/>
  <c r="H358" i="5"/>
  <c r="H1102" i="5"/>
  <c r="H217" i="7"/>
  <c r="H1545" i="13"/>
  <c r="H890" i="13"/>
  <c r="H1130" i="13"/>
  <c r="H2396" i="13"/>
  <c r="H1377" i="13"/>
  <c r="H1356" i="13"/>
  <c r="H2744" i="13"/>
  <c r="H281" i="5"/>
  <c r="H197" i="5"/>
  <c r="H421" i="13"/>
  <c r="H361" i="13"/>
  <c r="H2357" i="13"/>
  <c r="H2664" i="13"/>
  <c r="H307" i="13"/>
  <c r="H1567" i="13"/>
  <c r="H205" i="5"/>
  <c r="H1739" i="13"/>
  <c r="H1725" i="13"/>
  <c r="H135" i="5"/>
  <c r="H395" i="5"/>
  <c r="H130" i="5"/>
  <c r="H2778" i="13"/>
  <c r="H2854" i="13"/>
  <c r="H586" i="5"/>
  <c r="H1843" i="13"/>
  <c r="H2960" i="13"/>
  <c r="H1982" i="13"/>
  <c r="H1837" i="13"/>
  <c r="H661" i="13"/>
  <c r="H954" i="5"/>
  <c r="H882" i="13"/>
  <c r="H86" i="5"/>
  <c r="H854" i="13"/>
  <c r="H45" i="6"/>
  <c r="H2861" i="13"/>
  <c r="H264" i="5"/>
  <c r="H2360" i="13"/>
  <c r="H210" i="7"/>
  <c r="H131" i="5"/>
  <c r="H344" i="13"/>
  <c r="H205" i="13"/>
  <c r="H208" i="13"/>
  <c r="H233" i="13"/>
  <c r="H1252" i="5"/>
  <c r="H1967" i="13"/>
  <c r="H776" i="13"/>
  <c r="H1350" i="13"/>
  <c r="H1286" i="5"/>
  <c r="H550" i="5"/>
  <c r="H1402" i="13"/>
  <c r="H2775" i="13"/>
  <c r="H128" i="5"/>
  <c r="H626" i="13"/>
  <c r="H914" i="5"/>
  <c r="H1941" i="13"/>
  <c r="H1296" i="5"/>
  <c r="H627" i="5"/>
  <c r="H1217" i="5"/>
  <c r="H1552" i="13"/>
  <c r="H1418" i="13"/>
  <c r="H2025" i="13"/>
  <c r="H740" i="13"/>
  <c r="H2794" i="13"/>
  <c r="H2733" i="13"/>
  <c r="H2687" i="13"/>
  <c r="H2953" i="13"/>
  <c r="H986" i="5"/>
  <c r="H2413" i="13"/>
  <c r="H368" i="5"/>
  <c r="H152" i="7"/>
  <c r="H151" i="7"/>
  <c r="H832" i="13"/>
  <c r="H559" i="5"/>
  <c r="H406" i="5"/>
  <c r="H1859" i="13"/>
  <c r="H2132" i="13"/>
  <c r="H2242" i="13"/>
  <c r="H1242" i="13"/>
  <c r="H901" i="13"/>
  <c r="H846" i="13"/>
  <c r="H2542" i="13"/>
  <c r="H1058" i="5"/>
  <c r="H183" i="13"/>
  <c r="H32" i="5"/>
  <c r="H26" i="5"/>
  <c r="H1827" i="13"/>
  <c r="H1637" i="13"/>
  <c r="H1692" i="13"/>
  <c r="H1439" i="13"/>
  <c r="H122" i="13"/>
  <c r="H2516" i="13"/>
  <c r="H654" i="5"/>
  <c r="H2555" i="13"/>
  <c r="H436" i="5"/>
  <c r="H2250" i="13"/>
  <c r="H23" i="11"/>
  <c r="H332" i="7"/>
  <c r="H1850" i="13"/>
  <c r="H1043" i="5"/>
  <c r="H2208" i="13"/>
  <c r="H1044" i="13"/>
  <c r="H179" i="13"/>
  <c r="H2712" i="13"/>
  <c r="H1227" i="5"/>
  <c r="H2515" i="13"/>
  <c r="H527" i="13"/>
  <c r="H187" i="5"/>
  <c r="H2791" i="13"/>
  <c r="H1385" i="13"/>
  <c r="H1361" i="13"/>
  <c r="H30" i="5"/>
  <c r="H563" i="5"/>
  <c r="H696" i="13"/>
  <c r="H607" i="13"/>
  <c r="H1174" i="13"/>
  <c r="H800" i="13"/>
  <c r="H2234" i="13"/>
  <c r="H1131" i="13"/>
  <c r="H608" i="13"/>
  <c r="H2319" i="13"/>
  <c r="H1918" i="13"/>
  <c r="H635" i="5"/>
  <c r="H2668" i="13"/>
  <c r="H486" i="13"/>
  <c r="H269" i="7"/>
  <c r="H742" i="5"/>
  <c r="H404" i="13"/>
  <c r="H494" i="5"/>
  <c r="H2262" i="13"/>
  <c r="H2280" i="13"/>
  <c r="H1399" i="13"/>
  <c r="H219" i="7"/>
  <c r="H2461" i="13"/>
  <c r="H1330" i="5"/>
  <c r="H1917" i="13"/>
  <c r="H933" i="5"/>
  <c r="H2010" i="13"/>
  <c r="H966" i="5"/>
  <c r="H725" i="5"/>
  <c r="H33" i="5"/>
  <c r="H955" i="13"/>
  <c r="H907" i="13"/>
  <c r="H1015" i="5"/>
  <c r="H470" i="5"/>
  <c r="H1940" i="13"/>
  <c r="H839" i="5"/>
  <c r="H466" i="13"/>
  <c r="H638" i="13"/>
  <c r="H2030" i="13"/>
  <c r="H43" i="7"/>
  <c r="H2798" i="13"/>
  <c r="H2029" i="13"/>
  <c r="H1562" i="13"/>
  <c r="H2538" i="13"/>
  <c r="H1351" i="13"/>
  <c r="H1146" i="13"/>
  <c r="H1146" i="5"/>
  <c r="H196" i="5"/>
  <c r="H13" i="7"/>
  <c r="H27" i="7"/>
  <c r="H28" i="7"/>
  <c r="H61" i="7"/>
  <c r="H129" i="7"/>
  <c r="H133" i="7"/>
  <c r="H137" i="7"/>
  <c r="H138" i="7"/>
  <c r="H141" i="7"/>
  <c r="H160" i="7"/>
  <c r="H163" i="7"/>
  <c r="H173" i="7"/>
  <c r="H182" i="7"/>
  <c r="H204" i="7"/>
  <c r="H213" i="7"/>
  <c r="H222" i="7"/>
  <c r="H223" i="7"/>
  <c r="H233" i="7"/>
  <c r="H241" i="7"/>
  <c r="H245" i="7"/>
  <c r="H247" i="7"/>
  <c r="H248" i="7"/>
  <c r="H252" i="7"/>
  <c r="H258" i="7"/>
  <c r="H260" i="7"/>
  <c r="H263" i="7"/>
  <c r="H265" i="7"/>
  <c r="H266" i="7"/>
  <c r="H275" i="7"/>
  <c r="H283" i="7"/>
  <c r="H285" i="7"/>
  <c r="H288" i="7"/>
  <c r="H291" i="7"/>
  <c r="H293" i="7"/>
  <c r="H304" i="7"/>
  <c r="H310" i="7"/>
  <c r="H317" i="7"/>
  <c r="H318" i="7"/>
  <c r="H324" i="7"/>
  <c r="H325" i="7"/>
  <c r="H326" i="7"/>
  <c r="H334" i="7"/>
  <c r="H355" i="7"/>
  <c r="H366" i="7"/>
  <c r="H412" i="7"/>
  <c r="H414" i="7"/>
  <c r="H422" i="7"/>
  <c r="H424" i="7"/>
  <c r="H430" i="7"/>
  <c r="H431" i="7"/>
  <c r="H448" i="7"/>
  <c r="H454" i="7"/>
  <c r="H455" i="7"/>
  <c r="H32" i="6"/>
  <c r="H46" i="6"/>
  <c r="H10" i="11"/>
  <c r="H15" i="11"/>
  <c r="H25" i="11"/>
  <c r="H45" i="11"/>
  <c r="H53" i="11"/>
  <c r="H55" i="11"/>
  <c r="H59" i="11"/>
  <c r="H60" i="11"/>
  <c r="H61" i="11"/>
  <c r="H71" i="11"/>
  <c r="H79" i="11"/>
  <c r="H87" i="11"/>
  <c r="H98" i="11"/>
  <c r="H24" i="5"/>
  <c r="H27" i="5"/>
  <c r="H68" i="5"/>
  <c r="H83" i="5"/>
  <c r="H84" i="5"/>
  <c r="H91" i="5"/>
  <c r="H99" i="5"/>
  <c r="H111" i="5"/>
  <c r="H120" i="5"/>
  <c r="H159" i="5"/>
  <c r="H164" i="5"/>
  <c r="H176" i="5"/>
  <c r="H177" i="5"/>
  <c r="H212" i="5"/>
  <c r="H213" i="5"/>
  <c r="H220" i="5"/>
  <c r="H224" i="5"/>
  <c r="H226" i="5"/>
  <c r="H228" i="5"/>
  <c r="H234" i="5"/>
  <c r="H242" i="5"/>
  <c r="H247" i="5"/>
  <c r="H255" i="5"/>
  <c r="H263" i="5"/>
  <c r="H305" i="5"/>
  <c r="H327" i="5"/>
  <c r="H335" i="5"/>
  <c r="H361" i="5"/>
  <c r="H371" i="5"/>
  <c r="H372" i="5"/>
  <c r="H374" i="5"/>
  <c r="H375" i="5"/>
  <c r="H376" i="5"/>
  <c r="H377" i="5"/>
  <c r="H383" i="5"/>
  <c r="H384" i="5"/>
  <c r="H392" i="5"/>
  <c r="H397" i="5"/>
  <c r="H400" i="5"/>
  <c r="H414" i="5"/>
  <c r="H422" i="5"/>
  <c r="H426" i="5"/>
  <c r="H429" i="5"/>
  <c r="H471" i="5"/>
  <c r="H476" i="5"/>
  <c r="H486" i="5"/>
  <c r="H496" i="5"/>
  <c r="H517" i="5"/>
  <c r="H519" i="5"/>
  <c r="H526" i="5"/>
  <c r="H527" i="5"/>
  <c r="H528" i="5"/>
  <c r="H529" i="5"/>
  <c r="H533" i="5"/>
  <c r="H568" i="5"/>
  <c r="H594" i="5"/>
  <c r="H616" i="5"/>
  <c r="H623" i="5"/>
  <c r="H626" i="5"/>
  <c r="H628" i="5"/>
  <c r="H631" i="5"/>
  <c r="H632" i="5"/>
  <c r="H636" i="5"/>
  <c r="H641" i="5"/>
  <c r="H657" i="5"/>
  <c r="H658" i="5"/>
  <c r="H662" i="5"/>
  <c r="H671" i="5"/>
  <c r="H673" i="5"/>
  <c r="H687" i="5"/>
  <c r="H693" i="5"/>
  <c r="H705" i="5"/>
  <c r="H706" i="5"/>
  <c r="H709" i="5"/>
  <c r="H715" i="5"/>
  <c r="H721" i="5"/>
  <c r="H730" i="5"/>
  <c r="H731" i="5"/>
  <c r="H738" i="5"/>
  <c r="H745" i="5"/>
  <c r="H746" i="5"/>
  <c r="H753" i="5"/>
  <c r="H755" i="5"/>
  <c r="H764" i="5"/>
  <c r="H771" i="5"/>
  <c r="H774" i="5"/>
  <c r="H775" i="5"/>
  <c r="H782" i="5"/>
  <c r="H813" i="5"/>
  <c r="H819" i="5"/>
  <c r="H820" i="5"/>
  <c r="H841" i="5"/>
  <c r="H858" i="5"/>
  <c r="H860" i="5"/>
  <c r="H861" i="5"/>
  <c r="H865" i="5"/>
  <c r="H868" i="5"/>
  <c r="H873" i="5"/>
  <c r="H876" i="5"/>
  <c r="H879" i="5"/>
  <c r="H881" i="5"/>
  <c r="H895" i="5"/>
  <c r="H896" i="5"/>
  <c r="H904" i="5"/>
  <c r="H906" i="5"/>
  <c r="H908" i="5"/>
  <c r="H912" i="5"/>
  <c r="H916" i="5"/>
  <c r="H922" i="5"/>
  <c r="H927" i="5"/>
  <c r="H931" i="5"/>
  <c r="H942" i="5"/>
  <c r="H945" i="5"/>
  <c r="H956" i="5"/>
  <c r="H964" i="5"/>
  <c r="H967" i="5"/>
  <c r="H974" i="5"/>
  <c r="H1004" i="5"/>
  <c r="H1017" i="5"/>
  <c r="H1036" i="5"/>
  <c r="H1033" i="5"/>
  <c r="H1052" i="5"/>
  <c r="H1118" i="5"/>
  <c r="H1122" i="5"/>
  <c r="H1134" i="5"/>
  <c r="H1143" i="5"/>
  <c r="H1160" i="5"/>
  <c r="H1162" i="5"/>
  <c r="H1176" i="5"/>
  <c r="H1186" i="5"/>
  <c r="H1196" i="5"/>
  <c r="H1224" i="5"/>
  <c r="H1233" i="5"/>
  <c r="H1242" i="5"/>
  <c r="H1261" i="5"/>
  <c r="H1266" i="5"/>
  <c r="H1274" i="5"/>
  <c r="H1282" i="5"/>
  <c r="H1291" i="5"/>
  <c r="H1303" i="5"/>
  <c r="H1308" i="5"/>
  <c r="H1315" i="5"/>
  <c r="H1324" i="5"/>
  <c r="H1338" i="5"/>
  <c r="H1346" i="5"/>
  <c r="H42" i="13"/>
  <c r="H64" i="13"/>
  <c r="H67" i="13"/>
  <c r="H68" i="13"/>
  <c r="H87" i="13"/>
  <c r="H109" i="13"/>
  <c r="H110" i="13"/>
  <c r="H123" i="13"/>
  <c r="H127" i="13"/>
  <c r="H129" i="13"/>
  <c r="H144" i="13"/>
  <c r="H153" i="13"/>
  <c r="H160" i="13"/>
  <c r="H163" i="13"/>
  <c r="H171" i="13"/>
  <c r="H175" i="13"/>
  <c r="H191" i="13"/>
  <c r="H192" i="13"/>
  <c r="H193" i="13"/>
  <c r="H200" i="13"/>
  <c r="H201" i="13"/>
  <c r="H209" i="13"/>
  <c r="H211" i="13"/>
  <c r="H216" i="13"/>
  <c r="H218" i="13"/>
  <c r="H221" i="13"/>
  <c r="H232" i="13"/>
  <c r="H240" i="13"/>
  <c r="H245" i="13"/>
  <c r="H259" i="13"/>
  <c r="H271" i="13"/>
  <c r="H277" i="13"/>
  <c r="H298" i="13"/>
  <c r="H304" i="13"/>
  <c r="H306" i="13"/>
  <c r="H308" i="13"/>
  <c r="H315" i="13"/>
  <c r="H321" i="13"/>
  <c r="H322" i="13"/>
  <c r="H325" i="13"/>
  <c r="H340" i="13"/>
  <c r="H370" i="13"/>
  <c r="H396" i="13"/>
  <c r="H423" i="13"/>
  <c r="H424" i="13"/>
  <c r="H429" i="13"/>
  <c r="H431" i="13"/>
  <c r="H439" i="13"/>
  <c r="H447" i="13"/>
  <c r="H455" i="13"/>
  <c r="H459" i="13"/>
  <c r="H463" i="13"/>
  <c r="H488" i="13"/>
  <c r="H492" i="13"/>
  <c r="H507" i="13"/>
  <c r="H525" i="13"/>
  <c r="H526" i="13"/>
  <c r="H537" i="13"/>
  <c r="H543" i="13"/>
  <c r="H544" i="13"/>
  <c r="H549" i="13"/>
  <c r="H551" i="13"/>
  <c r="H555" i="13"/>
  <c r="H572" i="13"/>
  <c r="H586" i="13"/>
  <c r="H591" i="13"/>
  <c r="H599" i="13"/>
  <c r="H602" i="13"/>
  <c r="H618" i="13"/>
  <c r="H624" i="13"/>
  <c r="H630" i="13"/>
  <c r="H648" i="13"/>
  <c r="H664" i="13"/>
  <c r="H665" i="13"/>
  <c r="H670" i="13"/>
  <c r="H674" i="13"/>
  <c r="H676" i="13"/>
  <c r="H684" i="13"/>
  <c r="H690" i="13"/>
  <c r="H692" i="13"/>
  <c r="H693" i="13"/>
  <c r="H698" i="13"/>
  <c r="H699" i="13"/>
  <c r="H720" i="13"/>
  <c r="H721" i="13"/>
  <c r="H722" i="13"/>
  <c r="H727" i="13"/>
  <c r="H728" i="13"/>
  <c r="H745" i="13"/>
  <c r="H768" i="13"/>
  <c r="H805" i="13"/>
  <c r="H816" i="13"/>
  <c r="H839" i="13"/>
  <c r="H840" i="13"/>
  <c r="H844" i="13"/>
  <c r="H845" i="13"/>
  <c r="H851" i="13"/>
  <c r="H852" i="13"/>
  <c r="H859" i="13"/>
  <c r="H876" i="13"/>
  <c r="H881" i="13"/>
  <c r="H888" i="13"/>
  <c r="H889" i="13"/>
  <c r="H900" i="13"/>
  <c r="H904" i="13"/>
  <c r="H908" i="13"/>
  <c r="H909" i="13"/>
  <c r="H916" i="13"/>
  <c r="H918" i="13"/>
  <c r="H936" i="13"/>
  <c r="H950" i="13"/>
  <c r="H962" i="13"/>
  <c r="H963" i="13"/>
  <c r="H965" i="13"/>
  <c r="H969" i="13"/>
  <c r="H973" i="13"/>
  <c r="H974" i="13"/>
  <c r="H980" i="13"/>
  <c r="H982" i="13"/>
  <c r="H986" i="13"/>
  <c r="H987" i="13"/>
  <c r="H989" i="13"/>
  <c r="H998" i="13"/>
  <c r="H1004" i="13"/>
  <c r="H1006" i="13"/>
  <c r="H1012" i="13"/>
  <c r="H1013" i="13"/>
  <c r="H1014" i="13"/>
  <c r="H1020" i="13"/>
  <c r="H1021" i="13"/>
  <c r="H1027" i="13"/>
  <c r="H1031" i="13"/>
  <c r="H1042" i="13"/>
  <c r="H1049" i="13"/>
  <c r="H1066" i="13"/>
  <c r="H1069" i="13"/>
  <c r="H1071" i="13"/>
  <c r="H1075" i="13"/>
  <c r="H1081" i="13"/>
  <c r="H1117" i="13"/>
  <c r="H1123" i="13"/>
  <c r="H1125" i="13"/>
  <c r="H1127" i="13"/>
  <c r="H1135" i="13"/>
  <c r="H1149" i="13"/>
  <c r="H1150" i="13"/>
  <c r="H1151" i="13"/>
  <c r="H1154" i="13"/>
  <c r="H1156" i="13"/>
  <c r="H1162" i="13"/>
  <c r="H1171" i="13"/>
  <c r="H1175" i="13"/>
  <c r="H1177" i="13"/>
  <c r="H1189" i="13"/>
  <c r="H1205" i="13"/>
  <c r="H1213" i="13"/>
  <c r="H1225" i="13"/>
  <c r="H1233" i="13"/>
  <c r="H1240" i="13"/>
  <c r="H1254" i="13"/>
  <c r="H1262" i="13"/>
  <c r="H1263" i="13"/>
  <c r="H1265" i="13"/>
  <c r="H1266" i="13"/>
  <c r="H1268" i="13"/>
  <c r="H1271" i="13"/>
  <c r="H1279" i="13"/>
  <c r="H1307" i="13"/>
  <c r="H1308" i="13"/>
  <c r="H1309" i="13"/>
  <c r="H1310" i="13"/>
  <c r="H1311" i="13"/>
  <c r="H1312" i="13"/>
  <c r="H1314" i="13"/>
  <c r="H1316" i="13"/>
  <c r="H1348" i="13"/>
  <c r="H1358" i="13"/>
  <c r="H1362" i="13"/>
  <c r="H1364" i="13"/>
  <c r="H1366" i="13"/>
  <c r="H1368" i="13"/>
  <c r="H1369" i="13"/>
  <c r="H1372" i="13"/>
  <c r="H1381" i="13"/>
  <c r="H1387" i="13"/>
  <c r="H1389" i="13"/>
  <c r="H1416" i="13"/>
  <c r="H1424" i="13"/>
  <c r="H1433" i="13"/>
  <c r="H1446" i="13"/>
  <c r="H1448" i="13"/>
  <c r="H1452" i="13"/>
  <c r="H1456" i="13"/>
  <c r="H1460" i="13"/>
  <c r="H1465" i="13"/>
  <c r="H1473" i="13"/>
  <c r="H1491" i="13"/>
  <c r="H1504" i="13"/>
  <c r="H1506" i="13"/>
  <c r="H1507" i="13"/>
  <c r="H1511" i="13"/>
  <c r="H1516" i="13"/>
  <c r="H1519" i="13"/>
  <c r="H1529" i="13"/>
  <c r="H1533" i="13"/>
  <c r="H1546" i="13"/>
  <c r="H1551" i="13"/>
  <c r="H1553" i="13"/>
  <c r="H1554" i="13"/>
  <c r="H1559" i="13"/>
  <c r="H1561" i="13"/>
  <c r="H1563" i="13"/>
  <c r="H1564" i="13"/>
  <c r="H1566" i="13"/>
  <c r="H1572" i="13"/>
  <c r="H1574" i="13"/>
  <c r="H1588" i="13"/>
  <c r="H1589" i="13"/>
  <c r="H1591" i="13"/>
  <c r="H1593" i="13"/>
  <c r="H1600" i="13"/>
  <c r="H1606" i="13"/>
  <c r="H1611" i="13"/>
  <c r="H1614" i="13"/>
  <c r="H1617" i="13"/>
  <c r="H1619" i="13"/>
  <c r="H1642" i="13"/>
  <c r="H1644" i="13"/>
  <c r="H1646" i="13"/>
  <c r="H1660" i="13"/>
  <c r="H1662" i="13"/>
  <c r="H1689" i="13"/>
  <c r="H1690" i="13"/>
  <c r="H1698" i="13"/>
  <c r="H1716" i="13"/>
  <c r="H1720" i="13"/>
  <c r="H1724" i="13"/>
  <c r="H1728" i="13"/>
  <c r="H1730" i="13"/>
  <c r="H1740" i="13"/>
  <c r="H1741" i="13"/>
  <c r="H1745" i="13"/>
  <c r="H1753" i="13"/>
  <c r="H1754" i="13"/>
  <c r="H1757" i="13"/>
  <c r="H1763" i="13"/>
  <c r="H1799" i="13"/>
  <c r="H1807" i="13"/>
  <c r="H1810" i="13"/>
  <c r="H1816" i="13"/>
  <c r="H1819" i="13"/>
  <c r="H1824" i="13"/>
  <c r="H1829" i="13"/>
  <c r="H1833" i="13"/>
  <c r="H1835" i="13"/>
  <c r="H1842" i="13"/>
  <c r="H1845" i="13"/>
  <c r="H1851" i="13"/>
  <c r="H1855" i="13"/>
  <c r="H1865" i="13"/>
  <c r="H1910" i="13"/>
  <c r="H1925" i="13"/>
  <c r="H1926" i="13"/>
  <c r="H1931" i="13"/>
  <c r="H1934" i="13"/>
  <c r="H1949" i="13"/>
  <c r="H1950" i="13"/>
  <c r="H1952" i="13"/>
  <c r="H1958" i="13"/>
  <c r="H1960" i="13"/>
  <c r="H1964" i="13"/>
  <c r="H1974" i="13"/>
  <c r="H1977" i="13"/>
  <c r="H1991" i="13"/>
  <c r="H1999" i="13"/>
  <c r="H2000" i="13"/>
  <c r="H2016" i="13"/>
  <c r="H2026" i="13"/>
  <c r="H2027" i="13"/>
  <c r="H2031" i="13"/>
  <c r="H2038" i="13"/>
  <c r="H2042" i="13"/>
  <c r="H2043" i="13"/>
  <c r="H2053" i="13"/>
  <c r="H2054" i="13"/>
  <c r="H2061" i="13"/>
  <c r="H2063" i="13"/>
  <c r="H2078" i="13"/>
  <c r="H2087" i="13"/>
  <c r="H2095" i="13"/>
  <c r="H2100" i="13"/>
  <c r="H2102" i="13"/>
  <c r="H2103" i="13"/>
  <c r="H2104" i="13"/>
  <c r="H2106" i="13"/>
  <c r="H2111" i="13"/>
  <c r="H2112" i="13"/>
  <c r="H2113" i="13"/>
  <c r="H2114" i="13"/>
  <c r="H2122" i="13"/>
  <c r="H2125" i="13"/>
  <c r="H2129" i="13"/>
  <c r="H2142" i="13"/>
  <c r="H2143" i="13"/>
  <c r="H2146" i="13"/>
  <c r="H2150" i="13"/>
  <c r="H2156" i="13"/>
  <c r="H2164" i="13"/>
  <c r="H2169" i="13"/>
  <c r="H2176" i="13"/>
  <c r="H2196" i="13"/>
  <c r="H2216" i="13"/>
  <c r="H2220" i="13"/>
  <c r="H2221" i="13"/>
  <c r="H2279" i="13"/>
  <c r="H2291" i="13"/>
  <c r="H2292" i="13"/>
  <c r="H2300" i="13"/>
  <c r="H2313" i="13"/>
  <c r="H2328" i="13"/>
  <c r="H2331" i="13"/>
  <c r="H2339" i="13"/>
  <c r="H2344" i="13"/>
  <c r="H2352" i="13"/>
  <c r="H2356" i="13"/>
  <c r="H2358" i="13"/>
  <c r="H2361" i="13"/>
  <c r="H2385" i="13"/>
  <c r="H2387" i="13"/>
  <c r="H2398" i="13"/>
  <c r="H2400" i="13"/>
  <c r="H2402" i="13"/>
  <c r="H2410" i="13"/>
  <c r="H2415" i="13"/>
  <c r="H2418" i="13"/>
  <c r="H2426" i="13"/>
  <c r="H2427" i="13"/>
  <c r="H2435" i="13"/>
  <c r="H2445" i="13"/>
  <c r="H2453" i="13"/>
  <c r="H2463" i="13"/>
  <c r="H2488" i="13"/>
  <c r="H2507" i="13"/>
  <c r="H2522" i="13"/>
  <c r="H2523" i="13"/>
  <c r="H2530" i="13"/>
  <c r="H2531" i="13"/>
  <c r="H2534" i="13"/>
  <c r="H2536" i="13"/>
  <c r="H2537" i="13"/>
  <c r="H2563" i="13"/>
  <c r="H2564" i="13"/>
  <c r="H2571" i="13"/>
  <c r="H2579" i="13"/>
  <c r="H2616" i="13"/>
  <c r="H2617" i="13"/>
  <c r="H2620" i="13"/>
  <c r="H2628" i="13"/>
  <c r="H2636" i="13"/>
  <c r="H2657" i="13"/>
  <c r="H2669" i="13"/>
  <c r="H2671" i="13"/>
  <c r="H2672" i="13"/>
  <c r="H2679" i="13"/>
  <c r="H2695" i="13"/>
  <c r="H2704" i="13"/>
  <c r="H2717" i="13"/>
  <c r="H2722" i="13"/>
  <c r="H2725" i="13"/>
  <c r="H2729" i="13"/>
  <c r="H2730" i="13"/>
  <c r="H2735" i="13"/>
  <c r="H2772" i="13"/>
  <c r="H2783" i="13"/>
  <c r="H2786" i="13"/>
  <c r="H2790" i="13"/>
  <c r="H2802" i="13"/>
  <c r="H2806" i="13"/>
  <c r="H2809" i="13"/>
  <c r="H2853" i="13"/>
  <c r="H2884" i="13"/>
  <c r="H2892" i="13"/>
  <c r="H2894" i="13"/>
  <c r="H2902" i="13"/>
  <c r="H2912" i="13"/>
  <c r="H2914" i="13"/>
  <c r="H2920" i="13"/>
  <c r="H2923" i="13"/>
  <c r="H2941" i="13"/>
  <c r="H2972" i="13"/>
  <c r="H2980" i="13"/>
  <c r="G22" i="10"/>
  <c r="G19" i="10"/>
  <c r="G12" i="10"/>
  <c r="H486" i="7"/>
  <c r="H484" i="7"/>
  <c r="H482" i="7"/>
  <c r="H480" i="7"/>
  <c r="H477" i="7"/>
  <c r="H475" i="7"/>
  <c r="H463" i="7"/>
  <c r="H462" i="7"/>
  <c r="H461" i="7"/>
  <c r="H458" i="7"/>
  <c r="H456" i="7"/>
  <c r="H449" i="7"/>
  <c r="H445" i="7"/>
  <c r="H443" i="7"/>
  <c r="H439" i="7"/>
  <c r="H438" i="7"/>
  <c r="H432" i="7"/>
  <c r="H429" i="7"/>
  <c r="H425" i="7"/>
  <c r="H420" i="7"/>
  <c r="H413" i="7"/>
  <c r="H401" i="7"/>
  <c r="H391" i="7"/>
  <c r="H374" i="7"/>
  <c r="H369" i="7"/>
  <c r="H368" i="7"/>
  <c r="H363" i="7"/>
  <c r="H357" i="7"/>
  <c r="H356" i="7"/>
  <c r="H354" i="7"/>
  <c r="H353" i="7"/>
  <c r="H343" i="7"/>
  <c r="H342" i="7"/>
  <c r="H340" i="7"/>
  <c r="H339" i="7"/>
  <c r="H333" i="7"/>
  <c r="H323" i="7"/>
  <c r="H321" i="7"/>
  <c r="H320" i="7"/>
  <c r="H308" i="7"/>
  <c r="H301" i="7"/>
  <c r="H299" i="7"/>
  <c r="H297" i="7"/>
  <c r="H292" i="7"/>
  <c r="H287" i="7"/>
  <c r="H278" i="7"/>
  <c r="H274" i="7"/>
  <c r="H273" i="7"/>
  <c r="H271" i="7"/>
  <c r="H268" i="7"/>
  <c r="H259" i="7"/>
  <c r="H256" i="7"/>
  <c r="H254" i="7"/>
  <c r="H253" i="7"/>
  <c r="H249" i="7"/>
  <c r="H238" i="7"/>
  <c r="H235" i="7"/>
  <c r="H231" i="7"/>
  <c r="H228" i="7"/>
  <c r="H224" i="7"/>
  <c r="H221" i="7"/>
  <c r="H218" i="7"/>
  <c r="H212" i="7"/>
  <c r="H200" i="7"/>
  <c r="H190" i="7"/>
  <c r="H185" i="7"/>
  <c r="H181" i="7"/>
  <c r="H179" i="7"/>
  <c r="H178" i="7"/>
  <c r="H168" i="7"/>
  <c r="H167" i="7"/>
  <c r="H164" i="7"/>
  <c r="H158" i="7"/>
  <c r="H149" i="7"/>
  <c r="H147" i="7"/>
  <c r="H146" i="7"/>
  <c r="H145" i="7"/>
  <c r="H142" i="7"/>
  <c r="H140" i="7"/>
  <c r="H135" i="7"/>
  <c r="H126" i="7"/>
  <c r="H105" i="7"/>
  <c r="H103" i="7"/>
  <c r="H101" i="7"/>
  <c r="H83" i="7"/>
  <c r="H82" i="7"/>
  <c r="H80" i="7"/>
  <c r="H77" i="7"/>
  <c r="H76" i="7"/>
  <c r="H73" i="7"/>
  <c r="H70" i="7"/>
  <c r="H60" i="7"/>
  <c r="H55" i="7"/>
  <c r="H51" i="7"/>
  <c r="H50" i="7"/>
  <c r="H49" i="7"/>
  <c r="H45" i="7"/>
  <c r="H44" i="7"/>
  <c r="H38" i="7"/>
  <c r="H32" i="7"/>
  <c r="H25" i="7"/>
  <c r="H21" i="7"/>
  <c r="H16" i="7"/>
  <c r="H14" i="7"/>
  <c r="H10" i="7"/>
  <c r="H56" i="6"/>
  <c r="H54" i="6"/>
  <c r="H53" i="6"/>
  <c r="H40" i="6"/>
  <c r="H35" i="6"/>
  <c r="H34" i="6"/>
  <c r="H33" i="6"/>
  <c r="H31" i="6"/>
  <c r="H30" i="6"/>
  <c r="H21" i="6"/>
  <c r="H18" i="6"/>
  <c r="H17" i="6"/>
  <c r="H12" i="6"/>
  <c r="H112" i="11"/>
  <c r="H111" i="11"/>
  <c r="H109" i="11"/>
  <c r="H108" i="11"/>
  <c r="H106" i="11"/>
  <c r="H96" i="11"/>
  <c r="H95" i="11"/>
  <c r="H91" i="11"/>
  <c r="H86" i="11"/>
  <c r="H85" i="11"/>
  <c r="H75" i="11"/>
  <c r="H68" i="11"/>
  <c r="H66" i="11"/>
  <c r="H57" i="11"/>
  <c r="H48" i="11"/>
  <c r="H36" i="11"/>
  <c r="H33" i="11"/>
  <c r="H32" i="11"/>
  <c r="H31" i="11"/>
  <c r="H29" i="11"/>
  <c r="H27" i="11"/>
  <c r="H22" i="11"/>
  <c r="H20" i="11"/>
  <c r="H18" i="11"/>
  <c r="H16" i="11"/>
  <c r="H11" i="11"/>
  <c r="H1364" i="5"/>
  <c r="H1363" i="5"/>
  <c r="H1361" i="5"/>
  <c r="H1360" i="5"/>
  <c r="H1354" i="5"/>
  <c r="H1340" i="5"/>
  <c r="H1334" i="5"/>
  <c r="H1327" i="5"/>
  <c r="H1323" i="5"/>
  <c r="H1320" i="5"/>
  <c r="H1311" i="5"/>
  <c r="H1310" i="5"/>
  <c r="H1305" i="5"/>
  <c r="H1304" i="5"/>
  <c r="H1301" i="5"/>
  <c r="H1299" i="5"/>
  <c r="H1298" i="5"/>
  <c r="H1294" i="5"/>
  <c r="H1289" i="5"/>
  <c r="H1284" i="5"/>
  <c r="H1280" i="5"/>
  <c r="H1269" i="5"/>
  <c r="H1264" i="5"/>
  <c r="H1259" i="5"/>
  <c r="H1249" i="5"/>
  <c r="H1239" i="5"/>
  <c r="H1238" i="5"/>
  <c r="H1236" i="5"/>
  <c r="H1235" i="5"/>
  <c r="H1232" i="5"/>
  <c r="H1229" i="5"/>
  <c r="H1226" i="5"/>
  <c r="H1211" i="5"/>
  <c r="H1210" i="5"/>
  <c r="H1208" i="5"/>
  <c r="H1204" i="5"/>
  <c r="H1195" i="5"/>
  <c r="H1194" i="5"/>
  <c r="H1193" i="5"/>
  <c r="H1189" i="5"/>
  <c r="H1183" i="5"/>
  <c r="H1182" i="5"/>
  <c r="H1179" i="5"/>
  <c r="H1170" i="5"/>
  <c r="H1169" i="5"/>
  <c r="H1166" i="5"/>
  <c r="H1164" i="5"/>
  <c r="H1157" i="5"/>
  <c r="H1155" i="5"/>
  <c r="H1151" i="5"/>
  <c r="H1145" i="5"/>
  <c r="H1144" i="5"/>
  <c r="H1142" i="5"/>
  <c r="H1131" i="5"/>
  <c r="H1129" i="5"/>
  <c r="H1125" i="5"/>
  <c r="H1124" i="5"/>
  <c r="H1120" i="5"/>
  <c r="H1113" i="5"/>
  <c r="H1098" i="5"/>
  <c r="H1089" i="5"/>
  <c r="H1088" i="5"/>
  <c r="H1087" i="5"/>
  <c r="H1086" i="5"/>
  <c r="H1084" i="5"/>
  <c r="H1083" i="5"/>
  <c r="H1077" i="5"/>
  <c r="H1073" i="5"/>
  <c r="H1068" i="5"/>
  <c r="H1067" i="5"/>
  <c r="H1066" i="5"/>
  <c r="H1063" i="5"/>
  <c r="H1062" i="5"/>
  <c r="H1061" i="5"/>
  <c r="H1056" i="5"/>
  <c r="H1049" i="5"/>
  <c r="H1034" i="5"/>
  <c r="H1032" i="5"/>
  <c r="H1031" i="5"/>
  <c r="H1030" i="5"/>
  <c r="H1018" i="5"/>
  <c r="H1014" i="5"/>
  <c r="H1013" i="5"/>
  <c r="H1012" i="5"/>
  <c r="H1011" i="5"/>
  <c r="H1008" i="5"/>
  <c r="H994" i="5"/>
  <c r="H993" i="5"/>
  <c r="H990" i="5"/>
  <c r="H989" i="5"/>
  <c r="H980" i="5"/>
  <c r="H976" i="5"/>
  <c r="H975" i="5"/>
  <c r="H969" i="5"/>
  <c r="H965" i="5"/>
  <c r="H962" i="5"/>
  <c r="H955" i="5"/>
  <c r="H953" i="5"/>
  <c r="H944" i="5"/>
  <c r="H943" i="5"/>
  <c r="H941" i="5"/>
  <c r="H940" i="5"/>
  <c r="H939" i="5"/>
  <c r="H924" i="5"/>
  <c r="H920" i="5"/>
  <c r="H911" i="5"/>
  <c r="H910" i="5"/>
  <c r="H905" i="5"/>
  <c r="H889" i="5"/>
  <c r="H884" i="5"/>
  <c r="H883" i="5"/>
  <c r="H878" i="5"/>
  <c r="H869" i="5"/>
  <c r="H867" i="5"/>
  <c r="H866" i="5"/>
  <c r="H864" i="5"/>
  <c r="H854" i="5"/>
  <c r="H849" i="5"/>
  <c r="H844" i="5"/>
  <c r="H843" i="5"/>
  <c r="H837" i="5"/>
  <c r="H828" i="5"/>
  <c r="H827" i="5"/>
  <c r="H826" i="5"/>
  <c r="H825" i="5"/>
  <c r="H824" i="5"/>
  <c r="H821" i="5"/>
  <c r="H815" i="5"/>
  <c r="H814" i="5"/>
  <c r="H810" i="5"/>
  <c r="H808" i="5"/>
  <c r="H804" i="5"/>
  <c r="H803" i="5"/>
  <c r="H801" i="5"/>
  <c r="H797" i="5"/>
  <c r="H792" i="5"/>
  <c r="H790" i="5"/>
  <c r="H783" i="5"/>
  <c r="H780" i="5"/>
  <c r="H779" i="5"/>
  <c r="H778" i="5"/>
  <c r="H773" i="5"/>
  <c r="H769" i="5"/>
  <c r="H754" i="5"/>
  <c r="H752" i="5"/>
  <c r="H751" i="5"/>
  <c r="H750" i="5"/>
  <c r="H749" i="5"/>
  <c r="H748" i="5"/>
  <c r="H739" i="5"/>
  <c r="H729" i="5"/>
  <c r="H724" i="5"/>
  <c r="H711" i="5"/>
  <c r="H708" i="5"/>
  <c r="H695" i="5"/>
  <c r="H686" i="5"/>
  <c r="H681" i="5"/>
  <c r="H677" i="5"/>
  <c r="H676" i="5"/>
  <c r="H675" i="5"/>
  <c r="H670" i="5"/>
  <c r="H666" i="5"/>
  <c r="H659" i="5"/>
  <c r="H645" i="5"/>
  <c r="H644" i="5"/>
  <c r="H643" i="5"/>
  <c r="H640" i="5"/>
  <c r="H639" i="5"/>
  <c r="H634" i="5"/>
  <c r="H622" i="5"/>
  <c r="H621" i="5"/>
  <c r="H617" i="5"/>
  <c r="H603" i="5"/>
  <c r="H602" i="5"/>
  <c r="H601" i="5"/>
  <c r="H598" i="5"/>
  <c r="H596" i="5"/>
  <c r="H591" i="5"/>
  <c r="H585" i="5"/>
  <c r="H582" i="5"/>
  <c r="H581" i="5"/>
  <c r="H576" i="5"/>
  <c r="H572" i="5"/>
  <c r="H570" i="5"/>
  <c r="H569" i="5"/>
  <c r="H567" i="5"/>
  <c r="H565" i="5"/>
  <c r="H558" i="5"/>
  <c r="H556" i="5"/>
  <c r="H552" i="5"/>
  <c r="H541" i="5"/>
  <c r="H539" i="5"/>
  <c r="H538" i="5"/>
  <c r="H537" i="5"/>
  <c r="H536" i="5"/>
  <c r="H535" i="5"/>
  <c r="H534" i="5"/>
  <c r="H532" i="5"/>
  <c r="H515" i="5"/>
  <c r="H506" i="5"/>
  <c r="H504" i="5"/>
  <c r="H502" i="5"/>
  <c r="H500" i="5"/>
  <c r="H487" i="5"/>
  <c r="H485" i="5"/>
  <c r="H484" i="5"/>
  <c r="H482" i="5"/>
  <c r="H466" i="5"/>
  <c r="H457" i="5"/>
  <c r="H454" i="5"/>
  <c r="H453" i="5"/>
  <c r="H452" i="5"/>
  <c r="H451" i="5"/>
  <c r="H450" i="5"/>
  <c r="H439" i="5"/>
  <c r="H437" i="5"/>
  <c r="H434" i="5"/>
  <c r="H433" i="5"/>
  <c r="H432" i="5"/>
  <c r="H412" i="5"/>
  <c r="H410" i="5"/>
  <c r="H409" i="5"/>
  <c r="H408" i="5"/>
  <c r="H407" i="5"/>
  <c r="H405" i="5"/>
  <c r="H403" i="5"/>
  <c r="H396" i="5"/>
  <c r="H394" i="5"/>
  <c r="H391" i="5"/>
  <c r="H382" i="5"/>
  <c r="H379" i="5"/>
  <c r="H357" i="5"/>
  <c r="H355" i="5"/>
  <c r="H352" i="5"/>
  <c r="H341" i="5"/>
  <c r="H339" i="5"/>
  <c r="H332" i="5"/>
  <c r="H330" i="5"/>
  <c r="H326" i="5"/>
  <c r="H323" i="5"/>
  <c r="H314" i="5"/>
  <c r="H313" i="5"/>
  <c r="H304" i="5"/>
  <c r="H303" i="5"/>
  <c r="H292" i="5"/>
  <c r="H288" i="5"/>
  <c r="H283" i="5"/>
  <c r="H278" i="5"/>
  <c r="H277" i="5"/>
  <c r="H272" i="5"/>
  <c r="H271" i="5"/>
  <c r="H261" i="5"/>
  <c r="H250" i="5"/>
  <c r="H249" i="5"/>
  <c r="H245" i="5"/>
  <c r="H244" i="5"/>
  <c r="H235" i="5"/>
  <c r="H232" i="5"/>
  <c r="H230" i="5"/>
  <c r="H229" i="5"/>
  <c r="H225" i="5"/>
  <c r="H219" i="5"/>
  <c r="H202" i="5"/>
  <c r="H200" i="5"/>
  <c r="H199" i="5"/>
  <c r="H198" i="5"/>
  <c r="H195" i="5"/>
  <c r="H185" i="5"/>
  <c r="H184" i="5"/>
  <c r="H182" i="5"/>
  <c r="H175" i="5"/>
  <c r="H173" i="5"/>
  <c r="H172" i="5"/>
  <c r="H170" i="5"/>
  <c r="H161" i="5"/>
  <c r="H158" i="5"/>
  <c r="H152" i="5"/>
  <c r="H147" i="5"/>
  <c r="H141" i="5"/>
  <c r="H136" i="5"/>
  <c r="H132" i="5"/>
  <c r="H129" i="5"/>
  <c r="H126" i="5"/>
  <c r="H119" i="5"/>
  <c r="H116" i="5"/>
  <c r="H110" i="5"/>
  <c r="H107" i="5"/>
  <c r="H106" i="5"/>
  <c r="H101" i="5"/>
  <c r="H97" i="5"/>
  <c r="H94" i="5"/>
  <c r="H88" i="5"/>
  <c r="H77" i="5"/>
  <c r="H70" i="5"/>
  <c r="H67" i="5"/>
  <c r="H56" i="5"/>
  <c r="H54" i="5"/>
  <c r="H44" i="5"/>
  <c r="H41" i="5"/>
  <c r="H40" i="5"/>
  <c r="H34" i="5"/>
  <c r="H31" i="5"/>
  <c r="H29" i="5"/>
  <c r="H15" i="5"/>
  <c r="H14" i="5"/>
  <c r="H3005" i="13"/>
  <c r="H2988" i="13"/>
  <c r="H2986" i="13"/>
  <c r="H2983" i="13"/>
  <c r="H2982" i="13"/>
  <c r="H2981" i="13"/>
  <c r="H2979" i="13"/>
  <c r="H2977" i="13"/>
  <c r="H2970" i="13"/>
  <c r="H2968" i="13"/>
  <c r="H2966" i="13"/>
  <c r="H2961" i="13"/>
  <c r="H2959" i="13"/>
  <c r="H2957" i="13"/>
  <c r="H2948" i="13"/>
  <c r="H2947" i="13"/>
  <c r="H2944" i="13"/>
  <c r="H2942" i="13"/>
  <c r="H2935" i="13"/>
  <c r="H2932" i="13"/>
  <c r="H2931" i="13"/>
  <c r="H2929" i="13"/>
  <c r="H2928" i="13"/>
  <c r="H2922" i="13"/>
  <c r="H2911" i="13"/>
  <c r="H2910" i="13"/>
  <c r="H2901" i="13"/>
  <c r="H2900" i="13"/>
  <c r="H2897" i="13"/>
  <c r="H2895" i="13"/>
  <c r="H2890" i="13"/>
  <c r="H2888" i="13"/>
  <c r="H2885" i="13"/>
  <c r="H2881" i="13"/>
  <c r="H2879" i="13"/>
  <c r="H2878" i="13"/>
  <c r="H2875" i="13"/>
  <c r="H2869" i="13"/>
  <c r="H2866" i="13"/>
  <c r="H2865" i="13"/>
  <c r="H2862" i="13"/>
  <c r="H2849" i="13"/>
  <c r="H2848" i="13"/>
  <c r="H2847" i="13"/>
  <c r="H2838" i="13"/>
  <c r="H2836" i="13"/>
  <c r="H2834" i="13"/>
  <c r="H2833" i="13"/>
  <c r="H2829" i="13"/>
  <c r="H2827" i="13"/>
  <c r="H2823" i="13"/>
  <c r="H2817" i="13"/>
  <c r="H2814" i="13"/>
  <c r="H2812" i="13"/>
  <c r="H2810" i="13"/>
  <c r="H2799" i="13"/>
  <c r="H2797" i="13"/>
  <c r="H2795" i="13"/>
  <c r="H2792" i="13"/>
  <c r="H2788" i="13"/>
  <c r="H2785" i="13"/>
  <c r="H2781" i="13"/>
  <c r="H2774" i="13"/>
  <c r="H2769" i="13"/>
  <c r="H2768" i="13"/>
  <c r="H2763" i="13"/>
  <c r="H2762" i="13"/>
  <c r="H2757" i="13"/>
  <c r="H2753" i="13"/>
  <c r="H2752" i="13"/>
  <c r="H2748" i="13"/>
  <c r="H2743" i="13"/>
  <c r="H2742" i="13"/>
  <c r="H2741" i="13"/>
  <c r="H2739" i="13"/>
  <c r="H2738" i="13"/>
  <c r="H2726" i="13"/>
  <c r="H2723" i="13"/>
  <c r="H2706" i="13"/>
  <c r="H2703" i="13"/>
  <c r="H2701" i="13"/>
  <c r="H2700" i="13"/>
  <c r="H2699" i="13"/>
  <c r="H2686" i="13"/>
  <c r="H2683" i="13"/>
  <c r="H2680" i="13"/>
  <c r="H2677" i="13"/>
  <c r="H2676" i="13"/>
  <c r="H2673" i="13"/>
  <c r="H2667" i="13"/>
  <c r="H2666" i="13"/>
  <c r="H2662" i="13"/>
  <c r="H2644" i="13"/>
  <c r="H2642" i="13"/>
  <c r="H2639" i="13"/>
  <c r="H2638" i="13"/>
  <c r="H2627" i="13"/>
  <c r="H2625" i="13"/>
  <c r="H2624" i="13"/>
  <c r="H2622" i="13"/>
  <c r="H2618" i="13"/>
  <c r="H2606" i="13"/>
  <c r="H2605" i="13"/>
  <c r="H2602" i="13"/>
  <c r="H2600" i="13"/>
  <c r="H2599" i="13"/>
  <c r="H2596" i="13"/>
  <c r="H2595" i="13"/>
  <c r="H2586" i="13"/>
  <c r="H2585" i="13"/>
  <c r="H2581" i="13"/>
  <c r="H2574" i="13"/>
  <c r="H2572" i="13"/>
  <c r="H2570" i="13"/>
  <c r="H2561" i="13"/>
  <c r="H2560" i="13"/>
  <c r="H2559" i="13"/>
  <c r="H2550" i="13"/>
  <c r="H2548" i="13"/>
  <c r="H2546" i="13"/>
  <c r="H2545" i="13"/>
  <c r="H2544" i="13"/>
  <c r="H2543" i="13"/>
  <c r="H2541" i="13"/>
  <c r="H2539" i="13"/>
  <c r="H2527" i="13"/>
  <c r="H2525" i="13"/>
  <c r="H2524" i="13"/>
  <c r="H2506" i="13"/>
  <c r="H2505" i="13"/>
  <c r="H2504" i="13"/>
  <c r="H2495" i="13"/>
  <c r="H2494" i="13"/>
  <c r="H2490" i="13"/>
  <c r="H2489" i="13"/>
  <c r="H2483" i="13"/>
  <c r="H2479" i="13"/>
  <c r="H2478" i="13"/>
  <c r="H2476" i="13"/>
  <c r="H2474" i="13"/>
  <c r="H2472" i="13"/>
  <c r="H2469" i="13"/>
  <c r="H2467" i="13"/>
  <c r="H2462" i="13"/>
  <c r="H2452" i="13"/>
  <c r="H2448" i="13"/>
  <c r="H2443" i="13"/>
  <c r="H2439" i="13"/>
  <c r="H2438" i="13"/>
  <c r="H2434" i="13"/>
  <c r="H2428" i="13"/>
  <c r="H2425" i="13"/>
  <c r="H2423" i="13"/>
  <c r="H2421" i="13"/>
  <c r="H2408" i="13"/>
  <c r="H2406" i="13"/>
  <c r="H2404" i="13"/>
  <c r="H2395" i="13"/>
  <c r="H2393" i="13"/>
  <c r="H2389" i="13"/>
  <c r="H2380" i="13"/>
  <c r="H2378" i="13"/>
  <c r="H2376" i="13"/>
  <c r="H2373" i="13"/>
  <c r="H2371" i="13"/>
  <c r="H2369" i="13"/>
  <c r="H2367" i="13"/>
  <c r="H2366" i="13"/>
  <c r="H2362" i="13"/>
  <c r="H2347" i="13"/>
  <c r="H2345" i="13"/>
  <c r="H2343" i="13"/>
  <c r="H2330" i="13"/>
  <c r="H2327" i="13"/>
  <c r="H2324" i="13"/>
  <c r="H2321" i="13"/>
  <c r="H2315" i="13"/>
  <c r="H2314" i="13"/>
  <c r="H2309" i="13"/>
  <c r="H2308" i="13"/>
  <c r="H2299" i="13"/>
  <c r="H2298" i="13"/>
  <c r="H2289" i="13"/>
  <c r="H2288" i="13"/>
  <c r="H2287" i="13"/>
  <c r="H2282" i="13"/>
  <c r="H2278" i="13"/>
  <c r="H2277" i="13"/>
  <c r="H2268" i="13"/>
  <c r="H2259" i="13"/>
  <c r="H2258" i="13"/>
  <c r="H2253" i="13"/>
  <c r="H2252" i="13"/>
  <c r="H2249" i="13"/>
  <c r="H2248" i="13"/>
  <c r="H2247" i="13"/>
  <c r="H2246" i="13"/>
  <c r="H2243" i="13"/>
  <c r="H2232" i="13"/>
  <c r="H2230" i="13"/>
  <c r="H2229" i="13"/>
  <c r="H2228" i="13"/>
  <c r="H2227" i="13"/>
  <c r="H2223" i="13"/>
  <c r="H2218" i="13"/>
  <c r="H2217" i="13"/>
  <c r="H2207" i="13"/>
  <c r="H2204" i="13"/>
  <c r="H2195" i="13"/>
  <c r="H2191" i="13"/>
  <c r="H2190" i="13"/>
  <c r="H2186" i="13"/>
  <c r="H2184" i="13"/>
  <c r="H2180" i="13"/>
  <c r="H2179" i="13"/>
  <c r="H2177" i="13"/>
  <c r="H2174" i="13"/>
  <c r="H2160" i="13"/>
  <c r="H2158" i="13"/>
  <c r="H2157" i="13"/>
  <c r="H2155" i="13"/>
  <c r="H2154" i="13"/>
  <c r="H2151" i="13"/>
  <c r="H2141" i="13"/>
  <c r="H2139" i="13"/>
  <c r="H2137" i="13"/>
  <c r="H2120" i="13"/>
  <c r="H2115" i="13"/>
  <c r="H2110" i="13"/>
  <c r="H2108" i="13"/>
  <c r="H2101" i="13"/>
  <c r="H2099" i="13"/>
  <c r="H2086" i="13"/>
  <c r="H2085" i="13"/>
  <c r="H2084" i="13"/>
  <c r="H2073" i="13"/>
  <c r="H2071" i="13"/>
  <c r="H2069" i="13"/>
  <c r="H2067" i="13"/>
  <c r="H2066" i="13"/>
  <c r="H2062" i="13"/>
  <c r="H2060" i="13"/>
  <c r="H2050" i="13"/>
  <c r="H2048" i="13"/>
  <c r="H2044" i="13"/>
  <c r="H2041" i="13"/>
  <c r="H2039" i="13"/>
  <c r="H2037" i="13"/>
  <c r="H2032" i="13"/>
  <c r="H2028" i="13"/>
  <c r="H2015" i="13"/>
  <c r="H2014" i="13"/>
  <c r="H2005" i="13"/>
  <c r="H1995" i="13"/>
  <c r="H1993" i="13"/>
  <c r="H1990" i="13"/>
  <c r="H1989" i="13"/>
  <c r="H1986" i="13"/>
  <c r="H1984" i="13"/>
  <c r="H1980" i="13"/>
  <c r="H1961" i="13"/>
  <c r="H1957" i="13"/>
  <c r="H1954" i="13"/>
  <c r="H1948" i="13"/>
  <c r="H1947" i="13"/>
  <c r="H1945" i="13"/>
  <c r="H1936" i="13"/>
  <c r="H1927" i="13"/>
  <c r="H1920" i="13"/>
  <c r="H1908" i="13"/>
  <c r="H1907" i="13"/>
  <c r="H1906" i="13"/>
  <c r="H1903" i="13"/>
  <c r="H1896" i="13"/>
  <c r="H1891" i="13"/>
  <c r="H1887" i="13"/>
  <c r="H1886" i="13"/>
  <c r="H1874" i="13"/>
  <c r="H1871" i="13"/>
  <c r="H1868" i="13"/>
  <c r="H1864" i="13"/>
  <c r="H1861" i="13"/>
  <c r="H1858" i="13"/>
  <c r="H1849" i="13"/>
  <c r="H1839" i="13"/>
  <c r="H1838" i="13"/>
  <c r="H1828" i="13"/>
  <c r="H1817" i="13"/>
  <c r="H1815" i="13"/>
  <c r="H1812" i="13"/>
  <c r="H1798" i="13"/>
  <c r="H1785" i="13"/>
  <c r="H1781" i="13"/>
  <c r="H1776" i="13"/>
  <c r="H1775" i="13"/>
  <c r="H1771" i="13"/>
  <c r="H1769" i="13"/>
  <c r="H1766" i="13"/>
  <c r="H1765" i="13"/>
  <c r="H1764" i="13"/>
  <c r="H1762" i="13"/>
  <c r="H1760" i="13"/>
  <c r="H1750" i="13"/>
  <c r="H1748" i="13"/>
  <c r="H1747" i="13"/>
  <c r="H1736" i="13"/>
  <c r="H1727" i="13"/>
  <c r="H1726" i="13"/>
  <c r="H1721" i="13"/>
  <c r="H1715" i="13"/>
  <c r="H1709" i="13"/>
  <c r="H1700" i="13"/>
  <c r="H1699" i="13"/>
  <c r="H1697" i="13"/>
  <c r="H1695" i="13"/>
  <c r="H1693" i="13"/>
  <c r="H1688" i="13"/>
  <c r="H1686" i="13"/>
  <c r="H1670" i="13"/>
  <c r="H1669" i="13"/>
  <c r="H1668" i="13"/>
  <c r="H1667" i="13"/>
  <c r="H1666" i="13"/>
  <c r="H1663" i="13"/>
  <c r="H1657" i="13"/>
  <c r="H1651" i="13"/>
  <c r="H1650" i="13"/>
  <c r="H1645" i="13"/>
  <c r="H1641" i="13"/>
  <c r="H1640" i="13"/>
  <c r="H1639" i="13"/>
  <c r="H1635" i="13"/>
  <c r="H1626" i="13"/>
  <c r="H1625" i="13"/>
  <c r="H1624" i="13"/>
  <c r="H1622" i="13"/>
  <c r="H1620" i="13"/>
  <c r="H1608" i="13"/>
  <c r="H1602" i="13"/>
  <c r="H1601" i="13"/>
  <c r="H1599" i="13"/>
  <c r="H1597" i="13"/>
  <c r="H1596" i="13"/>
  <c r="H1595" i="13"/>
  <c r="H1590" i="13"/>
  <c r="H1586" i="13"/>
  <c r="H1579" i="13"/>
  <c r="H1575" i="13"/>
  <c r="H1570" i="13"/>
  <c r="H1569" i="13"/>
  <c r="H1568" i="13"/>
  <c r="H1548" i="13"/>
  <c r="H1547" i="13"/>
  <c r="H1541" i="13"/>
  <c r="H1534" i="13"/>
  <c r="H1532" i="13"/>
  <c r="H1527" i="13"/>
  <c r="H1515" i="13"/>
  <c r="H1514" i="13"/>
  <c r="H1512" i="13"/>
  <c r="H1510" i="13"/>
  <c r="H1505" i="13"/>
  <c r="H1501" i="13"/>
  <c r="H1500" i="13"/>
  <c r="H1494" i="13"/>
  <c r="H1484" i="13"/>
  <c r="H1482" i="13"/>
  <c r="H1481" i="13"/>
  <c r="H1480" i="13"/>
  <c r="H1479" i="13"/>
  <c r="H1478" i="13"/>
  <c r="H1468" i="13"/>
  <c r="H1467" i="13"/>
  <c r="H1464" i="13"/>
  <c r="H1463" i="13"/>
  <c r="H1454" i="13"/>
  <c r="H1450" i="13"/>
  <c r="H1445" i="13"/>
  <c r="H1443" i="13"/>
  <c r="H1441" i="13"/>
  <c r="H1432" i="13"/>
  <c r="H1429" i="13"/>
  <c r="H1428" i="13"/>
  <c r="H1426" i="13"/>
  <c r="H1423" i="13"/>
  <c r="H1422" i="13"/>
  <c r="H1419" i="13"/>
  <c r="H1413" i="13"/>
  <c r="H1409" i="13"/>
  <c r="H1407" i="13"/>
  <c r="H1406" i="13"/>
  <c r="H1400" i="13"/>
  <c r="H1397" i="13"/>
  <c r="H1396" i="13"/>
  <c r="H1395" i="13"/>
  <c r="H1386" i="13"/>
  <c r="H1384" i="13"/>
  <c r="H1383" i="13"/>
  <c r="H1380" i="13"/>
  <c r="H1374" i="13"/>
  <c r="H1371" i="13"/>
  <c r="H1370" i="13"/>
  <c r="H1365" i="13"/>
  <c r="H1352" i="13"/>
  <c r="H1341" i="13"/>
  <c r="H1336" i="13"/>
  <c r="H1324" i="13"/>
  <c r="H1322" i="13"/>
  <c r="H1319" i="13"/>
  <c r="H1318" i="13"/>
  <c r="H1317" i="13"/>
  <c r="H1315" i="13"/>
  <c r="H1297" i="13"/>
  <c r="H1293" i="13"/>
  <c r="H1288" i="13"/>
  <c r="H1287" i="13"/>
  <c r="H1286" i="13"/>
  <c r="H1281" i="13"/>
  <c r="H1276" i="13"/>
  <c r="H1274" i="13"/>
  <c r="H1272" i="13"/>
  <c r="H1270" i="13"/>
  <c r="H1269" i="13"/>
  <c r="H1267" i="13"/>
  <c r="H1251" i="13"/>
  <c r="H1250" i="13"/>
  <c r="H1248" i="13"/>
  <c r="H1244" i="13"/>
  <c r="H1241" i="13"/>
  <c r="H1239" i="13"/>
  <c r="H1238" i="13"/>
  <c r="H1237" i="13"/>
  <c r="H1227" i="13"/>
  <c r="H1226" i="13"/>
  <c r="H1223" i="13"/>
  <c r="H1222" i="13"/>
  <c r="H1221" i="13"/>
  <c r="H1216" i="13"/>
  <c r="H1211" i="13"/>
  <c r="H1204" i="13"/>
  <c r="H1201" i="13"/>
  <c r="H1195" i="13"/>
  <c r="H1185" i="13"/>
  <c r="H1183" i="13"/>
  <c r="H1182" i="13"/>
  <c r="H1179" i="13"/>
  <c r="H1170" i="13"/>
  <c r="H1164" i="13"/>
  <c r="H1161" i="13"/>
  <c r="H1160" i="13"/>
  <c r="H1159" i="13"/>
  <c r="H1158" i="13"/>
  <c r="H1157" i="13"/>
  <c r="H1155" i="13"/>
  <c r="H1144" i="13"/>
  <c r="H1134" i="13"/>
  <c r="H1133" i="13"/>
  <c r="H1129" i="13"/>
  <c r="H1118" i="13"/>
  <c r="H1112" i="13"/>
  <c r="H1108" i="13"/>
  <c r="H1103" i="13"/>
  <c r="H1099" i="13"/>
  <c r="H1094" i="13"/>
  <c r="H1093" i="13"/>
  <c r="H1089" i="13"/>
  <c r="H1083" i="13"/>
  <c r="H1080" i="13"/>
  <c r="H1079" i="13"/>
  <c r="H1078" i="13"/>
  <c r="H1077" i="13"/>
  <c r="H1074" i="13"/>
  <c r="H1065" i="13"/>
  <c r="H1059" i="13"/>
  <c r="H1056" i="13"/>
  <c r="H1054" i="13"/>
  <c r="H1053" i="13"/>
  <c r="H1052" i="13"/>
  <c r="H1050" i="13"/>
  <c r="H1039" i="13"/>
  <c r="H1037" i="13"/>
  <c r="H1035" i="13"/>
  <c r="H1028" i="13"/>
  <c r="H1026" i="13"/>
  <c r="H1022" i="13"/>
  <c r="H1016" i="13"/>
  <c r="H1003" i="13"/>
  <c r="H1001" i="13"/>
  <c r="H1000" i="13"/>
  <c r="H997" i="13"/>
  <c r="H994" i="13"/>
  <c r="H991" i="13"/>
  <c r="H988" i="13"/>
  <c r="H985" i="13"/>
  <c r="H984" i="13"/>
  <c r="H975" i="13"/>
  <c r="H971" i="13"/>
  <c r="H970" i="13"/>
  <c r="H964" i="13"/>
  <c r="H959" i="13"/>
  <c r="H958" i="13"/>
  <c r="H946" i="13"/>
  <c r="H945" i="13"/>
  <c r="H944" i="13"/>
  <c r="H941" i="13"/>
  <c r="H934" i="13"/>
  <c r="H931" i="13"/>
  <c r="H927" i="13"/>
  <c r="H925" i="13"/>
  <c r="H924" i="13"/>
  <c r="H921" i="13"/>
  <c r="H920" i="13"/>
  <c r="H915" i="13"/>
  <c r="H914" i="13"/>
  <c r="H898" i="13"/>
  <c r="H897" i="13"/>
  <c r="H895" i="13"/>
  <c r="H894" i="13"/>
  <c r="H883" i="13"/>
  <c r="H878" i="13"/>
  <c r="H877" i="13"/>
  <c r="H872" i="13"/>
  <c r="H867" i="13"/>
  <c r="H865" i="13"/>
  <c r="H863" i="13"/>
  <c r="H860" i="13"/>
  <c r="H853" i="13"/>
  <c r="H850" i="13"/>
  <c r="H848" i="13"/>
  <c r="H847" i="13"/>
  <c r="H841" i="13"/>
  <c r="H835" i="13"/>
  <c r="H834" i="13"/>
  <c r="H821" i="13"/>
  <c r="H817" i="13"/>
  <c r="H815" i="13"/>
  <c r="H814" i="13"/>
  <c r="H812" i="13"/>
  <c r="H811" i="13"/>
  <c r="H810" i="13"/>
  <c r="H795" i="13"/>
  <c r="H793" i="13"/>
  <c r="H791" i="13"/>
  <c r="H784" i="13"/>
  <c r="H782" i="13"/>
  <c r="H781" i="13"/>
  <c r="H780" i="13"/>
  <c r="H777" i="13"/>
  <c r="H764" i="13"/>
  <c r="H763" i="13"/>
  <c r="H762" i="13"/>
  <c r="H761" i="13"/>
  <c r="H757" i="13"/>
  <c r="H752" i="13"/>
  <c r="H750" i="13"/>
  <c r="H748" i="13"/>
  <c r="H746" i="13"/>
  <c r="H743" i="13"/>
  <c r="H736" i="13"/>
  <c r="H733" i="13"/>
  <c r="H731" i="13"/>
  <c r="H730" i="13"/>
  <c r="H729" i="13"/>
  <c r="H717" i="13"/>
  <c r="H707" i="13"/>
  <c r="H704" i="13"/>
  <c r="H697" i="13"/>
  <c r="H695" i="13"/>
  <c r="H679" i="13"/>
  <c r="H678" i="13"/>
  <c r="H675" i="13"/>
  <c r="H673" i="13"/>
  <c r="H672" i="13"/>
  <c r="H669" i="13"/>
  <c r="H649" i="13"/>
  <c r="H646" i="13"/>
  <c r="H645" i="13"/>
  <c r="H643" i="13"/>
  <c r="H634" i="13"/>
  <c r="H633" i="13"/>
  <c r="H621" i="13"/>
  <c r="H617" i="13"/>
  <c r="H615" i="13"/>
  <c r="H612" i="13"/>
  <c r="H611" i="13"/>
  <c r="H598" i="13"/>
  <c r="H593" i="13"/>
  <c r="H584" i="13"/>
  <c r="H581" i="13"/>
  <c r="H580" i="13"/>
  <c r="H577" i="13"/>
  <c r="H575" i="13"/>
  <c r="H571" i="13"/>
  <c r="H565" i="13"/>
  <c r="H561" i="13"/>
  <c r="H559" i="13"/>
  <c r="H552" i="13"/>
  <c r="H550" i="13"/>
  <c r="H540" i="13"/>
  <c r="H534" i="13"/>
  <c r="H533" i="13"/>
  <c r="H528" i="13"/>
  <c r="H522" i="13"/>
  <c r="H521" i="13"/>
  <c r="H515" i="13"/>
  <c r="H512" i="13"/>
  <c r="H500" i="13"/>
  <c r="H498" i="13"/>
  <c r="H494" i="13"/>
  <c r="H493" i="13"/>
  <c r="H487" i="13"/>
  <c r="H483" i="13"/>
  <c r="H477" i="13"/>
  <c r="H474" i="13"/>
  <c r="H471" i="13"/>
  <c r="H470" i="13"/>
  <c r="H468" i="13"/>
  <c r="H467" i="13"/>
  <c r="H465" i="13"/>
  <c r="H456" i="13"/>
  <c r="H444" i="13"/>
  <c r="H443" i="13"/>
  <c r="H434" i="13"/>
  <c r="H433" i="13"/>
  <c r="H432" i="13"/>
  <c r="H430" i="13"/>
  <c r="H420" i="13"/>
  <c r="H418" i="13"/>
  <c r="H411" i="13"/>
  <c r="H408" i="13"/>
  <c r="H398" i="13"/>
  <c r="H395" i="13"/>
  <c r="H389" i="13"/>
  <c r="H383" i="13"/>
  <c r="H378" i="13"/>
  <c r="H369" i="13"/>
  <c r="H363" i="13"/>
  <c r="H360" i="13"/>
  <c r="H358" i="13"/>
  <c r="H357" i="13"/>
  <c r="H345" i="13"/>
  <c r="H338" i="13"/>
  <c r="H334" i="13"/>
  <c r="H333" i="13"/>
  <c r="H331" i="13"/>
  <c r="H327" i="13"/>
  <c r="H324" i="13"/>
  <c r="H320" i="13"/>
  <c r="H309" i="13"/>
  <c r="H303" i="13"/>
  <c r="H297" i="13"/>
  <c r="H291" i="13"/>
  <c r="H286" i="13"/>
  <c r="H285" i="13"/>
  <c r="H281" i="13"/>
  <c r="H280" i="13"/>
  <c r="H279" i="13"/>
  <c r="H276" i="13"/>
  <c r="H275" i="13"/>
  <c r="H266" i="13"/>
  <c r="H265" i="13"/>
  <c r="H262" i="13"/>
  <c r="H261" i="13"/>
  <c r="H248" i="13"/>
  <c r="H243" i="13"/>
  <c r="H242" i="13"/>
  <c r="H241" i="13"/>
  <c r="H236" i="13"/>
  <c r="H230" i="13"/>
  <c r="H229" i="13"/>
  <c r="H227" i="13"/>
  <c r="H223" i="13"/>
  <c r="H217" i="13"/>
  <c r="H212" i="13"/>
  <c r="H207" i="13"/>
  <c r="H198" i="13"/>
  <c r="H196" i="13"/>
  <c r="H195" i="13"/>
  <c r="H180" i="13"/>
  <c r="H178" i="13"/>
  <c r="H176" i="13"/>
  <c r="H173" i="13"/>
  <c r="H164" i="13"/>
  <c r="H161" i="13"/>
  <c r="H157" i="13"/>
  <c r="H151" i="13"/>
  <c r="H150" i="13"/>
  <c r="H146" i="13"/>
  <c r="H140" i="13"/>
  <c r="H137" i="13"/>
  <c r="H135" i="13"/>
  <c r="H134" i="13"/>
  <c r="H133" i="13"/>
  <c r="H131" i="13"/>
  <c r="H118" i="13"/>
  <c r="H117" i="13"/>
  <c r="H116" i="13"/>
  <c r="H112" i="13"/>
  <c r="H95" i="13"/>
  <c r="H91" i="13"/>
  <c r="H89" i="13"/>
  <c r="H85" i="13"/>
  <c r="H82" i="13"/>
  <c r="H80" i="13"/>
  <c r="H78" i="13"/>
  <c r="H76" i="13"/>
  <c r="H75" i="13"/>
  <c r="H66" i="13"/>
  <c r="H61" i="13"/>
  <c r="H50" i="13"/>
  <c r="H48" i="13"/>
  <c r="H38" i="13"/>
  <c r="H36" i="13"/>
  <c r="H35" i="13"/>
  <c r="H33" i="13"/>
  <c r="H32" i="13"/>
  <c r="H18" i="13"/>
  <c r="H17" i="13"/>
  <c r="H15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  <author>Genya</author>
    <author>1</author>
    <author>Евгений</author>
    <author>itadm</author>
    <author>мак</author>
    <author>evgeniy</author>
    <author>ЖЕНЯ</author>
  </authors>
  <commentList>
    <comment ref="F51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никель 24,5
хром 20,2
молик 4,5
медь 1,5
марганец 1,3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27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0,25 
№24: ХРОМ                                                         18,93 
№25: МАРГАНЕЦ                                                      1,98 
№26: ЖЕЛЕЗО                                                       69,59 
№28: НИКЕЛЬ                                                        9,03 
№42: МОЛИБДЕН                                                      0,21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30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0,51 
№24: ХРОМ                                                         16,54 
№26: ЖЕЛЕЗО                                                       69,99 
№28: НИКЕЛЬ                                                       10,99 
№42: МОЛИБДЕН                                                      1,97</t>
        </r>
        <r>
          <rPr>
            <sz val="9"/>
            <color indexed="81"/>
            <rFont val="Tahoma"/>
            <family val="2"/>
            <charset val="204"/>
          </rPr>
          <t xml:space="preserve">
№14: КРЕМНИЙ                                                        0,5 
№24: ХРОМ                                                         17,14 
№26: ЖЕЛЕЗО                                                       69,99 
№28: НИКЕЛЬ                                                       10,48 
№42: МОЛИБДЕН                                                      1,89</t>
        </r>
      </text>
    </comment>
    <comment ref="F201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хром 20,4
никель 45
ниобий - 1
марганец 0,33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09" authorId="1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0,39 
№24: ХРОМ                                                         18,02 
№25: МАРГАНЕЦ                                                      1,34 
№26: ЖЕЛЕЗО                                                       67,91 
№28: НИКЕЛЬ                                                       10,33 
№42: МОЛИБДЕН                                                      2,01</t>
        </r>
        <r>
          <rPr>
            <sz val="9"/>
            <color indexed="81"/>
            <rFont val="Tahoma"/>
            <family val="2"/>
            <charset val="204"/>
          </rPr>
          <t xml:space="preserve">
№14: КРЕМНИЙ                                                       0,34 
№24: ХРОМ                                                         16,67 
№26: ЖЕЛЕЗО                                                       70,05 
№28: НИКЕЛЬ                                                       10,84 
№42: МОЛИБДЕН                                                       2,1</t>
        </r>
      </text>
    </comment>
    <comment ref="F211" authorId="2" shapeId="0" xr:uid="{00000000-0006-0000-0000-000007000000}">
      <text>
        <r>
          <rPr>
            <b/>
            <sz val="8"/>
            <color indexed="81"/>
            <rFont val="Tahoma"/>
            <family val="2"/>
            <charset val="204"/>
          </rPr>
          <t>никель 33; мо-3; ниоб - 1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F258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0,36 
№24: ХРОМ                                                         16,32 
№26: ЖЕЛЕЗО                                                       70,15 
№28: НИКЕЛЬ                                                       11,18 
№42: МОЛИБДЕН                                                      1,99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59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0,29 
№22: ТИТАН                                                         0,86 
№24: ХРОМ                                                          16,5 
№25: МАРГАНЕЦ                                                      0,01 
№26: ЖЕЛЕЗО                                                       68,65 
№28: НИКЕЛЬ                                                        11,5 
№42: МОЛИБДЕН                                                       2,2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304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0,34 
№22: ТИТАН                                                         0,75 
№24: ХРОМ                                                         18,01 
№25: МАРГАНЕЦ                                                      1,26 
№26: ЖЕЛЕЗО                                                       67,03 
№28: НИКЕЛЬ                                                       10,57 
№42: МОЛИБДЕН                                                      2,03</t>
        </r>
      </text>
    </comment>
    <comment ref="H308" authorId="2" shapeId="0" xr:uid="{00000000-0006-0000-0000-00000B000000}">
      <text>
        <r>
          <rPr>
            <b/>
            <sz val="8"/>
            <color indexed="81"/>
            <rFont val="Tahoma"/>
            <family val="2"/>
            <charset val="204"/>
          </rPr>
          <t>№14: КРЕМНИЙ                                                       0,82 
№22: ТИТАН                                                         0,88 
№24: ХРОМ                                                         22,93 
№25: МАРГАНЕЦ                                                      0,47 
№26: ЖЕЛЕЗО                                                       42,63 
№28: НИКЕЛЬ                                                       26,34 
№29: МЕДЬ                                                          3,13 
№42: МОЛИБДЕН                                                       2,8</t>
        </r>
      </text>
    </comment>
    <comment ref="H309" authorId="2" shapeId="0" xr:uid="{00000000-0006-0000-0000-00000C000000}">
      <text>
        <r>
          <rPr>
            <b/>
            <sz val="8"/>
            <color indexed="81"/>
            <rFont val="Tahoma"/>
            <family val="2"/>
            <charset val="204"/>
          </rPr>
          <t>вес не точно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F314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 xml:space="preserve">полированая
№14: КРЕМНИЙ                                                        0,4 
№22: ТИТАН                                                         1,09 
№24: ХРОМ                                                         17,75 
№26: ЖЕЛЕЗО                                                       67,93 
№28: НИКЕЛЬ                                                       10,75 
№42: МОЛИБДЕН                                                      2,07
</t>
        </r>
        <r>
          <rPr>
            <sz val="9"/>
            <color indexed="81"/>
            <rFont val="Tahoma"/>
            <family val="2"/>
            <charset val="204"/>
          </rPr>
          <t xml:space="preserve">
шлифованая 
№22: ТИТАН                                                         0,34 
№24: ХРОМ                                                         17,42 
№25: МАРГАНЕЦ                                                      0,44 
№26: ЖЕЛЕЗО                                                       68,16 
№28: НИКЕЛЬ                                                        11,4 
№42: МОЛИБДЕН                                                      2,25</t>
        </r>
      </text>
    </comment>
    <comment ref="H316" authorId="2" shapeId="0" xr:uid="{00000000-0006-0000-0000-00000E000000}">
      <text>
        <r>
          <rPr>
            <b/>
            <sz val="8"/>
            <color indexed="81"/>
            <rFont val="Tahoma"/>
            <family val="2"/>
            <charset val="204"/>
          </rPr>
          <t>вес не точно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F325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длинная
№14: КРЕМНИЙ                                                       0,34 
№22: ТИТАН                                                         0,85 
№24: ХРОМ                                                          22,1 
№26: ЖЕЛЕЗО                                                       43,58 
№28: НИКЕЛЬ                                                       27,15 
№29: МЕДЬ                                                          3,32 
№42: МОЛИБДЕН                                                      2,67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328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0,15 
№22: ТИТАН                                                          0,8 
№24: ХРОМ                                                         16,91 
№26: ЖЕЛЕЗО                                                       68,24 
№28: НИКЕЛЬ                                                       11,84 
№42: МОЛИБДЕН                                                      2,07</t>
        </r>
      </text>
    </comment>
    <comment ref="F329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0,23 
№24: ХРОМ                                                         16,77 
№26: ЖЕЛЕЗО                                                        69,9 
№28: НИКЕЛЬ                                                       11,12 
№42: МОЛИБДЕН                                                      1,99
№14: КРЕМНИЙ                                                       0,52 
№24: ХРОМ                                                         16,35 
№26: ЖЕЛЕЗО                                                       70,18 
№28: НИКЕЛЬ                                                       10,92 
№42: МОЛИБДЕН                                                      2,03 
№14: КРЕМНИЙ                                                        0,3 
№24: ХРОМ                                                         17,07 
№26: ЖЕЛЕЗО                                                       69,25 
№28: НИКЕЛЬ                                                       11,25 
№42: МОЛИБДЕН                                                      2,13
№14: КРЕМНИЙ                                                       0,32 
№24: ХРОМ                                                         16,44 
№26: ЖЕЛЕЗО                                                       70,29 
№28: НИКЕЛЬ                                                       11,01 
№42: МОЛИБДЕН                                                      1,95
№14: КРЕМНИЙ                                                       0,39 
№24: ХРОМ                                                         16,78 
№26: ЖЕЛЕЗО                                                       69,83 
№28: НИКЕЛЬ                                                       11,16 
№42: МОЛИБДЕН                                                      1,84</t>
        </r>
      </text>
    </comment>
    <comment ref="F429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0,44 
№22: ТИТАН                                                         0,41 
№24: ХРОМ                                                         23,23 
№26: ЖЕЛЕЗО                                                       70,04 
№28: НИКЕЛЬ                                                        5,76 
№42: МОЛИБДЕН                                                      0,13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430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0,13 
№22: ТИТАН                                                         0,71 
№24: ХРОМ                                                         22,43 
№25: МАРГАНЕЦ                                                      0,88 
№26: ЖЕЛЕЗО                                                       69,88 
№28: НИКЕЛЬ                                                        5,87 
№42: МОЛИБДЕН                                                      0,09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473" authorId="1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0,14 
№24: ХРОМ                                                         43
№25: МАРГАНЕЦ                                                      0,68 
№28: НИКЕЛЬ                                                       55
№42: МОЛИБДЕН                                                      1,2</t>
        </r>
      </text>
    </comment>
    <comment ref="H570" authorId="3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вес не точно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615" authorId="3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хром 20, никель 30,титан 0,6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624" authorId="2" shapeId="0" xr:uid="{00000000-0006-0000-0000-000017000000}">
      <text>
        <r>
          <rPr>
            <b/>
            <sz val="8"/>
            <color indexed="81"/>
            <rFont val="Tahoma"/>
            <family val="2"/>
            <charset val="204"/>
          </rPr>
          <t>вес не точно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F698" authorId="0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анализ 19.01.17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752" authorId="0" shapeId="0" xr:uid="{00000000-0006-0000-0000-000019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0,16 
№24: ХРОМ                                                         18,72 
№26: ЖЕЛЕЗО                                                       32,71 
№28: НИКЕЛЬ                                                        47,1 
№41: НИОБИЙ                                                        1,31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833" authorId="2" shapeId="0" xr:uid="{00000000-0006-0000-0000-00001A000000}">
      <text>
        <r>
          <rPr>
            <b/>
            <sz val="8"/>
            <color indexed="81"/>
            <rFont val="Tahoma"/>
            <family val="2"/>
            <charset val="204"/>
          </rPr>
          <t>Хром - 10,5
Никель - 20
Железо 64,5
Кремний - 4,3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F942" authorId="0" shapeId="0" xr:uid="{00000000-0006-0000-0000-00001B000000}">
      <text>
        <r>
          <rPr>
            <b/>
            <sz val="9"/>
            <color indexed="81"/>
            <rFont val="Tahoma"/>
            <family val="2"/>
            <charset val="204"/>
          </rPr>
          <t>никель 40
хром 24
молибден 3,2
медь 1,7
титан 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977" authorId="0" shapeId="0" xr:uid="{00000000-0006-0000-0000-00001C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0,26 
№24: ХРОМ                                                          17,4 
№25: МАРГАНЕЦ                                                      1,12 
№26: ЖЕЛЕЗО                                                        67,92
№28: НИКЕЛЬ                                                       11,24 
№42: МОЛИБДЕН                                                      2,06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985" authorId="1" shapeId="0" xr:uid="{00000000-0006-0000-0000-00001D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0,71 
№22: ТИТАН                                                         0,79 
№24: ХРОМ                                                         23,61 
№25: МАРГАНЕЦ                                                      0,66 
№26: ЖЕЛЕЗО                                                       41,15 
№28: НИКЕЛЬ                                                       26,86 
№29: МЕДЬ                                                          3,35 
№42: МОЛИБДЕН                                                      2,87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006" authorId="0" shapeId="0" xr:uid="{00000000-0006-0000-0000-00001E000000}">
      <text>
        <r>
          <rPr>
            <b/>
            <sz val="9"/>
            <color indexed="81"/>
            <rFont val="Tahoma"/>
            <family val="2"/>
            <charset val="204"/>
          </rPr>
          <t xml:space="preserve">2,99м
№14: КРЕМНИЙ                                                       0,51 
№22: ТИТАН                                                          0,6 
№24: ХРОМ                                                         18,56 
№26: ЖЕЛЕЗО                                                       65,35 
№28: НИКЕЛЬ                                                       12,81 
№42: МОЛИБДЕН                                                      2,17 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010" authorId="1" shapeId="0" xr:uid="{00000000-0006-0000-0000-00001F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0,13 
№24: ХРОМ                                                         23,83 
№25: МАРГАНЕЦ                                                      1,67 
№26: ЖЕЛЕЗО                                                       54,49 
№28: НИКЕЛЬ                                                       19,74 
№42: МОЛИБДЕН                                                      0,13</t>
        </r>
      </text>
    </comment>
    <comment ref="F1022" authorId="4" shapeId="0" xr:uid="{00000000-0006-0000-0000-000020000000}">
      <text>
        <r>
          <rPr>
            <b/>
            <sz val="9"/>
            <color indexed="81"/>
            <rFont val="Tahoma"/>
            <family val="2"/>
            <charset val="204"/>
          </rPr>
          <t>никель 10
титана нет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026" authorId="4" shapeId="0" xr:uid="{00000000-0006-0000-0000-000021000000}">
      <text>
        <r>
          <rPr>
            <b/>
            <sz val="9"/>
            <color indexed="81"/>
            <rFont val="Tahoma"/>
            <family val="2"/>
            <charset val="204"/>
          </rPr>
          <t>хром 18
никель 10,5</t>
        </r>
      </text>
    </comment>
    <comment ref="F1034" authorId="1" shapeId="0" xr:uid="{00000000-0006-0000-0000-000022000000}">
      <text>
        <r>
          <rPr>
            <b/>
            <sz val="9"/>
            <color indexed="81"/>
            <rFont val="Tahoma"/>
            <family val="2"/>
            <charset val="204"/>
          </rPr>
          <t>тит - 0,65
хром 23,2
никель 29
медь 2,8
молик 2,7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035" authorId="0" shapeId="0" xr:uid="{00000000-0006-0000-0000-000023000000}">
      <text>
        <r>
          <rPr>
            <b/>
            <sz val="9"/>
            <color indexed="81"/>
            <rFont val="Tahoma"/>
            <family val="2"/>
            <charset val="204"/>
          </rPr>
          <t>анализ 01.08.17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036" authorId="1" shapeId="0" xr:uid="{00000000-0006-0000-0000-000024000000}">
      <text>
        <r>
          <rPr>
            <b/>
            <sz val="9"/>
            <color indexed="81"/>
            <rFont val="Tahoma"/>
            <family val="2"/>
            <charset val="204"/>
          </rPr>
          <t>тит - 0,65
хром 23,2
никель 29
медь 2,8
молик 2,7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037" authorId="1" shapeId="0" xr:uid="{00000000-0006-0000-0000-000025000000}">
      <text>
        <r>
          <rPr>
            <b/>
            <sz val="9"/>
            <color indexed="81"/>
            <rFont val="Tahoma"/>
            <family val="2"/>
            <charset val="204"/>
          </rPr>
          <t>тит - 0,65
хром 23,2
никель 29
медь 2,8
молик 2,7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095" authorId="0" shapeId="0" xr:uid="{00000000-0006-0000-0000-000026000000}">
      <text>
        <r>
          <rPr>
            <b/>
            <sz val="9"/>
            <color indexed="81"/>
            <rFont val="Tahoma"/>
            <family val="2"/>
            <charset val="204"/>
          </rPr>
          <t xml:space="preserve">№24: ХРОМ                                                         24,29 
№25: МАРГАНЕЦ                                                      1,36 
№26: ЖЕЛЕЗО                                                       55,75 
№28: НИКЕЛЬ                                                        18,6 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096" authorId="0" shapeId="0" xr:uid="{00000000-0006-0000-0000-000027000000}">
      <text>
        <r>
          <rPr>
            <b/>
            <sz val="9"/>
            <color indexed="81"/>
            <rFont val="Tahoma"/>
            <family val="2"/>
            <charset val="204"/>
          </rPr>
          <t xml:space="preserve">№14: КРЕМНИЙ                                                       0,85 
№22: ТИТАН                                                         0,73 
№24: ХРОМ                                                          16,9 
№26: ЖЕЛЕЗО                                                       81,51 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100" authorId="4" shapeId="0" xr:uid="{00000000-0006-0000-0000-000028000000}">
      <text>
        <r>
          <rPr>
            <b/>
            <sz val="9"/>
            <color indexed="81"/>
            <rFont val="Tahoma"/>
            <family val="2"/>
            <charset val="204"/>
          </rPr>
          <t>никель 44
хром 21
ниобий 1,2</t>
        </r>
      </text>
    </comment>
    <comment ref="F1114" authorId="1" shapeId="0" xr:uid="{00000000-0006-0000-0000-000029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0,58 
№22: ТИТАН                                                         0,11 
№24: ХРОМ                                                         25,29 
№25: МАРГАНЕЦ                                                      0,59 
№26: ЖЕЛЕЗО                                                       47,24 
№28: НИКЕЛЬ                                                       24,21 
№29: МЕДЬ                                                          0,17 
№41: НИОБИЙ                                                        1,81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136" authorId="1" shapeId="0" xr:uid="{00000000-0006-0000-0000-00002A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0,75 
№22: ТИТАН                                                         0,92 
№24: ХРОМ                                                         23,53 
№25: МАРГАНЕЦ                                                      0,66 
№26: ЖЕЛЕЗО                                                       40,57 
№28: НИКЕЛЬ                                                       27,53 
№29: МЕДЬ                                                          3,34 
№42: МОЛИБДЕН                                                      2,68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193" authorId="0" shapeId="0" xr:uid="{00000000-0006-0000-0000-00002B000000}">
      <text>
        <r>
          <rPr>
            <b/>
            <sz val="9"/>
            <color indexed="81"/>
            <rFont val="Tahoma"/>
            <family val="2"/>
            <charset val="204"/>
          </rPr>
          <t xml:space="preserve">№14: КРЕМНИЙ                                                       0,38 
№22: ТИТАН                                                         0,89 
№24: ХРОМ                                                         18,53 
№25: МАРГАНЕЦ                                                      1,37 
№26: ЖЕЛЕЗО                                                       64,39 
№28: НИКЕЛЬ                                                       12,57 
№42: МОЛИБДЕН                                                      1,86 </t>
        </r>
        <r>
          <rPr>
            <sz val="9"/>
            <color indexed="81"/>
            <rFont val="Tahoma"/>
            <family val="2"/>
            <charset val="204"/>
          </rPr>
          <t xml:space="preserve">
№22: ТИТАН                                                         0,74 
№24: ХРОМ                                                         18,11 
№25: МАРГАНЕЦ                                                      1,38 
№26: ЖЕЛЕЗО                                                       64,42 
№28: НИКЕЛЬ                                                       13,49 
№42: МОЛИБДЕН                                                      1,86</t>
        </r>
      </text>
    </comment>
    <comment ref="F1254" authorId="0" shapeId="0" xr:uid="{00000000-0006-0000-0000-00002C000000}">
      <text>
        <r>
          <rPr>
            <b/>
            <sz val="9"/>
            <color indexed="81"/>
            <rFont val="Tahoma"/>
            <family val="2"/>
            <charset val="204"/>
          </rPr>
          <t>№22: ТИТАН                                                         0,77 
№24: ХРОМ                                                         16,96 
№26: ЖЕЛЕЗО                                                       68,94 
№28: НИКЕЛЬ                                                       11,34 
№42: МОЛИБДЕН                                                      1,99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313" authorId="0" shapeId="0" xr:uid="{00000000-0006-0000-0000-00002D000000}">
      <text>
        <r>
          <rPr>
            <b/>
            <sz val="9"/>
            <color indexed="81"/>
            <rFont val="Tahoma"/>
            <family val="2"/>
            <charset val="204"/>
          </rPr>
          <t>хром 22
никель 5,3
молибден 3,2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320" authorId="0" shapeId="0" xr:uid="{00000000-0006-0000-0000-00002E000000}">
      <text>
        <r>
          <rPr>
            <b/>
            <sz val="9"/>
            <color indexed="81"/>
            <rFont val="Tahoma"/>
            <family val="2"/>
            <charset val="204"/>
          </rPr>
          <t xml:space="preserve">маркировка, гост 994081, центравис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1334" authorId="5" shapeId="0" xr:uid="{00000000-0006-0000-0000-00002F000000}">
      <text>
        <r>
          <rPr>
            <b/>
            <sz val="9"/>
            <color indexed="81"/>
            <rFont val="Tahoma"/>
            <family val="2"/>
            <charset val="204"/>
          </rPr>
          <t>вес не точно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1337" authorId="5" shapeId="0" xr:uid="{00000000-0006-0000-0000-000030000000}">
      <text>
        <r>
          <rPr>
            <b/>
            <sz val="9"/>
            <color indexed="81"/>
            <rFont val="Tahoma"/>
            <family val="2"/>
            <charset val="204"/>
          </rPr>
          <t>вес не точно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367" authorId="0" shapeId="0" xr:uid="{00000000-0006-0000-0000-000031000000}">
      <text>
        <r>
          <rPr>
            <b/>
            <sz val="9"/>
            <color indexed="81"/>
            <rFont val="Tahoma"/>
            <family val="2"/>
            <charset val="204"/>
          </rPr>
          <t>никель 10
титан 0,7
хром 19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368" authorId="0" shapeId="0" xr:uid="{00000000-0006-0000-0000-000032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0,33 
№22: ТИТАН                                                          0,7 
№24: ХРОМ                                                         17,06 
№25: МАРГАНЕЦ                                                      1,18 
№26: ЖЕЛЕЗО                                                       69,50 
№28: НИКЕЛЬ                                                       11,12 
№42: МОЛИБДЕН                                                      0,11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385" authorId="0" shapeId="0" xr:uid="{00000000-0006-0000-0000-000033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0,81 
№22: ТИТАН                                                          0,7 
№24: ХРОМ                                                          22,4 
№26: ЖЕЛЕЗО                                                       42,91 
№28: НИКЕЛЬ                                                       27,38 
№29: МЕДЬ                                                          3,21 
№42: МОЛИБДЕН                                                      2,59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425" authorId="0" shapeId="0" xr:uid="{00000000-0006-0000-0000-000034000000}">
      <text>
        <r>
          <rPr>
            <b/>
            <sz val="9"/>
            <color indexed="81"/>
            <rFont val="Tahoma"/>
            <family val="2"/>
            <charset val="204"/>
          </rPr>
          <t>0,55х1,1м
№22: ТИТАН                                                         0,31 
№24: ХРОМ                                                         20,45 
№25: МАРГАНЕЦ                                                      0,67 
№26: ЖЕЛЕЗО                                                        0,76 
№28: НИКЕЛЬ                                                       77,54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444" authorId="0" shapeId="0" xr:uid="{00000000-0006-0000-0000-000035000000}">
      <text>
        <r>
          <rPr>
            <b/>
            <sz val="9"/>
            <color indexed="81"/>
            <rFont val="Tahoma"/>
            <family val="2"/>
            <charset val="204"/>
          </rPr>
          <t>химия дзмо</t>
        </r>
        <r>
          <rPr>
            <sz val="9"/>
            <color indexed="81"/>
            <rFont val="Tahoma"/>
            <family val="2"/>
            <charset val="204"/>
          </rPr>
          <t xml:space="preserve">
углерод 0,29-0,31</t>
        </r>
      </text>
    </comment>
    <comment ref="F1457" authorId="0" shapeId="0" xr:uid="{00000000-0006-0000-0000-000036000000}">
      <text>
        <r>
          <rPr>
            <b/>
            <sz val="9"/>
            <color indexed="81"/>
            <rFont val="Tahoma"/>
            <family val="2"/>
            <charset val="204"/>
          </rPr>
          <t>дзмо
углерод 0,4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465" authorId="0" shapeId="0" xr:uid="{00000000-0006-0000-0000-000037000000}">
      <text>
        <r>
          <rPr>
            <b/>
            <sz val="9"/>
            <color indexed="81"/>
            <rFont val="Tahoma"/>
            <family val="2"/>
            <charset val="204"/>
          </rPr>
          <t>№22: ТИТАН                                                         0,92 
№24: ХРОМ                                                         24,51 
№26: ЖЕЛЕЗО                                                       41,38 
№28: НИКЕЛЬ                                                       27,43 
№29: МЕДЬ                                                          3,01 
№42: МОЛИБДЕН                                                      2,76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493" authorId="0" shapeId="0" xr:uid="{00000000-0006-0000-0000-000038000000}">
      <text>
        <r>
          <rPr>
            <b/>
            <sz val="9"/>
            <color indexed="81"/>
            <rFont val="Tahoma"/>
            <family val="2"/>
            <charset val="204"/>
          </rPr>
          <t>0,38х0,63м(10кг) без угла 20х60мм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493" authorId="0" shapeId="0" xr:uid="{00000000-0006-0000-0000-000039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0,49 
№22: ТИТАН                                                         0,39 
№24: ХРОМ                                                          19,4 
№25: МАРГАНЕЦ                                                         0 
№26: ЖЕЛЕЗО                                                        0,91 
№28: НИКЕЛЬ                                                        78,8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502" authorId="0" shapeId="0" xr:uid="{00000000-0006-0000-0000-00003A000000}">
      <text>
        <r>
          <rPr>
            <b/>
            <sz val="9"/>
            <color indexed="81"/>
            <rFont val="Tahoma"/>
            <family val="2"/>
            <charset val="204"/>
          </rPr>
          <t>углерод 0,04
химия дзмо</t>
        </r>
      </text>
    </comment>
    <comment ref="F1524" authorId="0" shapeId="0" xr:uid="{00000000-0006-0000-0000-00003B000000}">
      <text>
        <r>
          <rPr>
            <b/>
            <sz val="9"/>
            <color indexed="81"/>
            <rFont val="Tahoma"/>
            <family val="2"/>
            <charset val="204"/>
          </rPr>
          <t>углерод 0,07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554" authorId="0" shapeId="0" xr:uid="{00000000-0006-0000-0000-00003C000000}">
      <text>
        <r>
          <rPr>
            <b/>
            <sz val="9"/>
            <color indexed="81"/>
            <rFont val="Tahoma"/>
            <family val="2"/>
            <charset val="204"/>
          </rPr>
          <t>№24: ХРОМ                                                         15,77 
№25: МАРГАНЕЦ                                                       0,5 
№26: ЖЕЛЕЗО                                                        0,51 
№28: НИКЕЛЬ                                                       65,89 
№42: МОЛИБДЕН                                                      14,1 
№74: ВОЛЬФРАМ                                                      3,24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555" authorId="0" shapeId="0" xr:uid="{00000000-0006-0000-0000-00003D000000}">
      <text>
        <r>
          <rPr>
            <b/>
            <sz val="9"/>
            <color indexed="81"/>
            <rFont val="Tahoma"/>
            <family val="2"/>
            <charset val="204"/>
          </rPr>
          <t>№13: АЛЮМИНИЙ                                                      1,06 
№22: ТИТАН                                                         2,87 
№24: ХРОМ                                                         18,37 
№25: МАРГАНЕЦ                                                      0,35 
№26: ЖЕЛЕЗО                                                        1,27 
№28: НИКЕЛЬ                                                        68,1 
№42: МОЛИБДЕН                                                      3,85 
№74: ВОЛЬФРАМ                                                      4,14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556" authorId="0" shapeId="0" xr:uid="{00000000-0006-0000-0000-00003E000000}">
      <text>
        <r>
          <rPr>
            <b/>
            <sz val="9"/>
            <color indexed="81"/>
            <rFont val="Tahoma"/>
            <family val="2"/>
            <charset val="204"/>
          </rPr>
          <t>тит 0,2
хром 21
железо 1,5
марг 0,3
кремний 1
никель 76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573" authorId="0" shapeId="0" xr:uid="{00000000-0006-0000-0000-00003F000000}">
      <text>
        <r>
          <rPr>
            <b/>
            <sz val="9"/>
            <color indexed="81"/>
            <rFont val="Tahoma"/>
            <family val="2"/>
            <charset val="204"/>
          </rPr>
          <t>хром 20
никель 12
кремний 1,5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605" authorId="1" shapeId="0" xr:uid="{00000000-0006-0000-0000-000040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0,17 
№22: ТИТАН                                                         0,18 
№24: ХРОМ                                                         24,53 
№25: МАРГАНЕЦ                                                      6,06 
№26: ЖЕЛЕЗО                                                       54,15 
№28: НИКЕЛЬ                                                       14,84 
№29: МЕДЬ                                                          0,06 
№42: МОЛИБДЕН                                                      0,02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606" authorId="0" shapeId="0" xr:uid="{00000000-0006-0000-0000-000041000000}">
      <text>
        <r>
          <rPr>
            <b/>
            <sz val="9"/>
            <color indexed="81"/>
            <rFont val="Tahoma"/>
            <family val="2"/>
            <charset val="204"/>
          </rPr>
          <t>никель 9,7
титан 0,67
хром 18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668" authorId="2" shapeId="0" xr:uid="{00000000-0006-0000-0000-000042000000}">
      <text>
        <r>
          <rPr>
            <b/>
            <sz val="8"/>
            <color indexed="81"/>
            <rFont val="Tahoma"/>
            <family val="2"/>
            <charset val="204"/>
          </rPr>
          <t>Марг - 0,4; Хром - 20,3; Ник - 75; Тит - 3; Жел - 0,7%; алюминий 1,1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F1681" authorId="0" shapeId="0" xr:uid="{00000000-0006-0000-0000-000044000000}">
      <text>
        <r>
          <rPr>
            <b/>
            <sz val="9"/>
            <color indexed="81"/>
            <rFont val="Tahoma"/>
            <family val="2"/>
            <charset val="204"/>
          </rPr>
          <t>хром 8
Марганец 13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682" authorId="0" shapeId="0" xr:uid="{00000000-0006-0000-0000-000045000000}">
      <text>
        <r>
          <rPr>
            <b/>
            <sz val="9"/>
            <color indexed="81"/>
            <rFont val="Tahoma"/>
            <family val="2"/>
            <charset val="204"/>
          </rPr>
          <t>хром 8
Марганец 13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697" authorId="4" shapeId="0" xr:uid="{00000000-0006-0000-0000-000046000000}">
      <text>
        <r>
          <rPr>
            <b/>
            <sz val="9"/>
            <color indexed="81"/>
            <rFont val="Tahoma"/>
            <family val="2"/>
            <charset val="204"/>
          </rPr>
          <t>углерод 0,32</t>
        </r>
      </text>
    </comment>
    <comment ref="F1759" authorId="0" shapeId="0" xr:uid="{00000000-0006-0000-0000-000047000000}">
      <text>
        <r>
          <rPr>
            <b/>
            <sz val="9"/>
            <color indexed="81"/>
            <rFont val="Tahoma"/>
            <family val="2"/>
            <charset val="204"/>
          </rPr>
          <t>углерод 0,19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768" authorId="0" shapeId="0" xr:uid="{00000000-0006-0000-0000-000048000000}">
      <text>
        <r>
          <rPr>
            <b/>
            <sz val="9"/>
            <color indexed="81"/>
            <rFont val="Tahoma"/>
            <family val="2"/>
            <charset val="204"/>
          </rPr>
          <t>0,21 углерод
химия дзмо</t>
        </r>
      </text>
    </comment>
    <comment ref="F1783" authorId="0" shapeId="0" xr:uid="{00000000-0006-0000-0000-000049000000}">
      <text>
        <r>
          <rPr>
            <b/>
            <sz val="9"/>
            <color indexed="81"/>
            <rFont val="Tahoma"/>
            <family val="2"/>
            <charset val="204"/>
          </rPr>
          <t>углерод 0,23 и 0,25
дзмо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786" authorId="0" shapeId="0" xr:uid="{00000000-0006-0000-0000-00004A000000}">
      <text>
        <r>
          <rPr>
            <b/>
            <sz val="9"/>
            <color indexed="81"/>
            <rFont val="Tahoma"/>
            <family val="2"/>
            <charset val="204"/>
          </rPr>
          <t>углерод 0,24 
дзмо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819" authorId="0" shapeId="0" xr:uid="{00000000-0006-0000-0000-00004B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 0,1 
№24: ХРОМ                                                         18,83 
№25: МАРГАНЕЦ                                                      1,62 
№26: ЖЕЛЕЗО                                                        70,4 
№28: НИКЕЛЬ                                                        8,26 
№29: МЕДЬ                                                          0,48 
№42: МОЛИБДЕН                                                      0,31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821" authorId="0" shapeId="0" xr:uid="{00000000-0006-0000-0000-00004C000000}">
      <text>
        <r>
          <rPr>
            <b/>
            <sz val="9"/>
            <color indexed="81"/>
            <rFont val="Tahoma"/>
            <family val="2"/>
            <charset val="204"/>
          </rPr>
          <t>углерод 0,19 дзмо</t>
        </r>
      </text>
    </comment>
    <comment ref="F1822" authorId="0" shapeId="0" xr:uid="{00000000-0006-0000-0000-00004D000000}">
      <text>
        <r>
          <rPr>
            <b/>
            <sz val="9"/>
            <color indexed="81"/>
            <rFont val="Tahoma"/>
            <family val="2"/>
            <charset val="204"/>
          </rPr>
          <t>0,3 дзмо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827" authorId="0" shapeId="0" xr:uid="{00000000-0006-0000-0000-00004E000000}">
      <text>
        <r>
          <rPr>
            <b/>
            <sz val="9"/>
            <color indexed="81"/>
            <rFont val="Tahoma"/>
            <family val="2"/>
            <charset val="204"/>
          </rPr>
          <t>углерод 0,95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847" authorId="0" shapeId="0" xr:uid="{00000000-0006-0000-0000-00004F000000}">
      <text>
        <r>
          <rPr>
            <b/>
            <sz val="9"/>
            <color indexed="81"/>
            <rFont val="Tahoma"/>
            <family val="2"/>
            <charset val="204"/>
          </rPr>
          <t>углерод 0,3 дзмо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848" authorId="0" shapeId="0" xr:uid="{00000000-0006-0000-0000-000050000000}">
      <text>
        <r>
          <rPr>
            <b/>
            <sz val="9"/>
            <color indexed="81"/>
            <rFont val="Tahoma"/>
            <family val="2"/>
            <charset val="204"/>
          </rPr>
          <t>углерод 0,94 дзмо</t>
        </r>
      </text>
    </comment>
    <comment ref="F1853" authorId="4" shapeId="0" xr:uid="{00000000-0006-0000-0000-000051000000}">
      <text>
        <r>
          <rPr>
            <b/>
            <sz val="9"/>
            <color indexed="81"/>
            <rFont val="Tahoma"/>
            <family val="2"/>
            <charset val="204"/>
          </rPr>
          <t>хром - 20
никель 12,7
кремний - 1,9</t>
        </r>
      </text>
    </comment>
    <comment ref="F1869" authorId="5" shapeId="0" xr:uid="{00000000-0006-0000-0000-000052000000}">
      <text>
        <r>
          <rPr>
            <b/>
            <sz val="9"/>
            <color indexed="81"/>
            <rFont val="Tahoma"/>
            <family val="2"/>
            <charset val="204"/>
          </rPr>
          <t xml:space="preserve">ник - 60
хром - 19
коб - 6,5
вольф - 5,8
мо - 4
ал - 2,3
тит 1,25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871" authorId="0" shapeId="0" xr:uid="{00000000-0006-0000-0000-000053000000}">
      <text>
        <r>
          <rPr>
            <b/>
            <sz val="9"/>
            <color indexed="81"/>
            <rFont val="Tahoma"/>
            <family val="2"/>
            <charset val="204"/>
          </rPr>
          <t>углерод 0,28
дзмо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882" authorId="0" shapeId="0" xr:uid="{00000000-0006-0000-0000-000054000000}">
      <text>
        <r>
          <rPr>
            <b/>
            <sz val="9"/>
            <color indexed="81"/>
            <rFont val="Tahoma"/>
            <family val="2"/>
            <charset val="204"/>
          </rPr>
          <t>углерод 0,18 - дзмо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897" authorId="0" shapeId="0" xr:uid="{00000000-0006-0000-0000-000055000000}">
      <text>
        <r>
          <rPr>
            <b/>
            <sz val="9"/>
            <color indexed="81"/>
            <rFont val="Tahoma"/>
            <family val="2"/>
            <charset val="204"/>
          </rPr>
          <t>углерод 0,18 - дзмо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899" authorId="0" shapeId="0" xr:uid="{00000000-0006-0000-0000-000056000000}">
      <text>
        <r>
          <rPr>
            <b/>
            <sz val="9"/>
            <color indexed="81"/>
            <rFont val="Tahoma"/>
            <family val="2"/>
            <charset val="204"/>
          </rPr>
          <t>дзмо углерод 0,3%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926" authorId="0" shapeId="0" xr:uid="{00000000-0006-0000-0000-000057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0,44 
№22: ТИТАН                                                         0,92 
№24: ХРОМ                                                         23,27 
№26: ЖЕЛЕЗО                                                       42,58 
№28: НИКЕЛЬ                                                       27,31 
№29: МЕДЬ                                                          3,12 
№42: МОЛИБДЕН                                                      2,36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949" authorId="0" shapeId="0" xr:uid="{00000000-0006-0000-0000-000058000000}">
      <text>
        <r>
          <rPr>
            <b/>
            <sz val="9"/>
            <color indexed="81"/>
            <rFont val="Tahoma"/>
            <family val="2"/>
            <charset val="204"/>
          </rPr>
          <t>0,73+0,87+0,95м=8кг 
№13: АЛЮМИНИЙ                                                      0,68 
№22: ТИТАН                                                         3,27 
№24: ХРОМ                                                         19,42 
№25: МАРГАНЕЦ                                                      0,37 
№26: ЖЕЛЕЗО                                                        0,75 
№28: НИКЕЛЬ                                                       75,52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950" authorId="0" shapeId="0" xr:uid="{00000000-0006-0000-0000-000059000000}">
      <text>
        <r>
          <rPr>
            <b/>
            <sz val="9"/>
            <color indexed="81"/>
            <rFont val="Tahoma"/>
            <family val="2"/>
            <charset val="204"/>
          </rPr>
          <t>№13: АЛЮМИНИЙ                                                      0,66 
№14: КРЕМНИЙ                                                       0,65 
№22: ТИТАН                                                         3,04 
№24: ХРОМ                                                         20,67 
№25: МАРГАНЕЦ                                                      0,39 
№26: ЖЕЛЕЗО                                                        1,07 
№28: НИКЕЛЬ                                                       73,51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955" authorId="0" shapeId="0" xr:uid="{00000000-0006-0000-0000-00005A000000}">
      <text>
        <r>
          <rPr>
            <b/>
            <sz val="9"/>
            <color indexed="81"/>
            <rFont val="Tahoma"/>
            <family val="2"/>
            <charset val="204"/>
          </rPr>
          <t>№13: АЛЮМИНИЙ                                                      1,0 
№22: ТИТАН                                                         2,88 
№24: ХРОМ                                                          19,6 
№25: МАРГАНЕЦ                                                      0,32 
№26: ЖЕЛЕЗО                                                        0,88 
№28: НИКЕЛЬ                                                        75,3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959" authorId="0" shapeId="0" xr:uid="{00000000-0006-0000-0000-00005B000000}">
      <text>
        <r>
          <rPr>
            <b/>
            <sz val="9"/>
            <color indexed="81"/>
            <rFont val="Tahoma"/>
            <family val="2"/>
            <charset val="204"/>
          </rPr>
          <t>дзмо
углерод 0,24</t>
        </r>
      </text>
    </comment>
    <comment ref="F1964" authorId="0" shapeId="0" xr:uid="{00000000-0006-0000-0000-00005C000000}">
      <text>
        <r>
          <rPr>
            <b/>
            <sz val="9"/>
            <color indexed="81"/>
            <rFont val="Tahoma"/>
            <family val="2"/>
            <charset val="204"/>
          </rPr>
          <t>хром 17,5
молик 4,6
вольфрам 2,5
титан 2,3
алюм 1,8
ниобий 1,1</t>
        </r>
      </text>
    </comment>
    <comment ref="F1965" authorId="0" shapeId="0" xr:uid="{00000000-0006-0000-0000-00005D000000}">
      <text>
        <r>
          <rPr>
            <b/>
            <sz val="9"/>
            <color indexed="81"/>
            <rFont val="Tahoma"/>
            <family val="2"/>
            <charset val="204"/>
          </rPr>
          <t>№13: АЛЮМИНИЙ                                                      0,95 
№14: КРЕМНИЙ                                                       0,19 
№22: ТИТАН                                                         2,93 
№24: ХРОМ                                                         19,65 
№25: МАРГАНЕЦ                                                      0,38 
№26: ЖЕЛЕЗО                                                        0,72 
№28: НИКЕЛЬ                                                       75,18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973" authorId="0" shapeId="0" xr:uid="{00000000-0006-0000-0000-00005E000000}">
      <text>
        <r>
          <rPr>
            <b/>
            <sz val="9"/>
            <color indexed="81"/>
            <rFont val="Tahoma"/>
            <family val="2"/>
            <charset val="204"/>
          </rPr>
          <t>химия дзмо, 0,22%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974" authorId="4" shapeId="0" xr:uid="{00000000-0006-0000-0000-00005F000000}">
      <text>
        <r>
          <rPr>
            <b/>
            <sz val="9"/>
            <color indexed="81"/>
            <rFont val="Tahoma"/>
            <family val="2"/>
            <charset val="204"/>
          </rPr>
          <t>углерод 0,34, дзмо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976" authorId="0" shapeId="0" xr:uid="{00000000-0006-0000-0000-000060000000}">
      <text>
        <r>
          <rPr>
            <b/>
            <sz val="9"/>
            <color indexed="81"/>
            <rFont val="Tahoma"/>
            <family val="2"/>
            <charset val="204"/>
          </rPr>
          <t>углерод 0,41 дзмо</t>
        </r>
      </text>
    </comment>
    <comment ref="F1987" authorId="0" shapeId="0" xr:uid="{00000000-0006-0000-0000-000061000000}">
      <text>
        <r>
          <rPr>
            <b/>
            <sz val="9"/>
            <color indexed="81"/>
            <rFont val="Tahoma"/>
            <family val="2"/>
            <charset val="204"/>
          </rPr>
          <t>№13: АЛЮМИНИЙ                                                       0,7 
№22: ТИТАН                                                         3,09 
№24: ХРОМ                                                         19,44 
№25: МАРГАНЕЦ                                                      0,54 
№26: ЖЕЛЕЗО                                                        0,98 
№28: НИКЕЛЬ                                                       75,25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990" authorId="0" shapeId="0" xr:uid="{00000000-0006-0000-0000-000062000000}">
      <text>
        <r>
          <rPr>
            <b/>
            <sz val="9"/>
            <color indexed="81"/>
            <rFont val="Tahoma"/>
            <family val="2"/>
            <charset val="204"/>
          </rPr>
          <t>0,21 дзмо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999" authorId="1" shapeId="0" xr:uid="{00000000-0006-0000-0000-000063000000}">
      <text>
        <r>
          <rPr>
            <b/>
            <sz val="9"/>
            <color indexed="81"/>
            <rFont val="Tahoma"/>
            <family val="2"/>
            <charset val="204"/>
          </rPr>
          <t>ал - 0,81
тит 2,9
хром - 19,7
марг - 0,25
жел - 0,75
никель - 75,6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000" authorId="0" shapeId="0" xr:uid="{00000000-0006-0000-0000-000064000000}">
      <text>
        <r>
          <rPr>
            <b/>
            <sz val="9"/>
            <color indexed="81"/>
            <rFont val="Tahoma"/>
            <family val="2"/>
            <charset val="204"/>
          </rPr>
          <t>1,69м
№13: АЛЮМИНИЙ                                                      1,52 
№14: КРЕМНИЙ                                                       0,54 
№22: ТИТАН                                                         3,34 
№24: ХРОМ                                                         20,04 
№25: МАРГАНЕЦ                                                      0,42 
№26: ЖЕЛЕЗО                                                        0,46 
№28: НИКЕЛЬ                                                       73,67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001" authorId="0" shapeId="0" xr:uid="{00000000-0006-0000-0000-000065000000}">
      <text>
        <r>
          <rPr>
            <b/>
            <sz val="9"/>
            <color indexed="81"/>
            <rFont val="Tahoma"/>
            <family val="2"/>
            <charset val="204"/>
          </rPr>
          <t>№13: АЛЮМИНИЙ                                                      1,03 
№22: ТИТАН                                                         3,14 
№24: ХРОМ                                                         19,83 
№25: МАРГАНЕЦ                                                      0,46 
№26: ЖЕЛЕЗО                                                        0,89 
№28: НИКЕЛЬ                                                       74,66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004" authorId="6" shapeId="0" xr:uid="{00000000-0006-0000-0000-000066000000}">
      <text>
        <r>
          <rPr>
            <b/>
            <sz val="9"/>
            <color indexed="81"/>
            <rFont val="Tahoma"/>
            <family val="2"/>
            <charset val="204"/>
          </rPr>
          <t>№13: АЛЮМИНИЙ                                                      1,05 
№14: КРЕМНИЙ                                                        0,3 
№22: ТИТАН                                                         2,65 
№24: ХРОМ                                                         19,32 
№25: МАРГАНЕЦ                                                      0,32 
№26: ЖЕЛЕЗО                                                        0,55 
№28: НИКЕЛЬ                                                       75,81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010" authorId="0" shapeId="0" xr:uid="{00000000-0006-0000-0000-000067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0,32 
№24: ХРОМ                                                         16,59 
№26: ЖЕЛЕЗО                                                       81,27 
№28: НИКЕЛЬ                                                        1,83</t>
        </r>
      </text>
    </comment>
    <comment ref="F2017" authorId="6" shapeId="0" xr:uid="{00000000-0006-0000-0000-000068000000}">
      <text>
        <r>
          <rPr>
            <b/>
            <sz val="9"/>
            <color indexed="81"/>
            <rFont val="Tahoma"/>
            <family val="2"/>
            <charset val="204"/>
          </rPr>
          <t>№13: АЛЮМИНИЙ                                                       2,8 
№14: КРЕМНИЙ                                                       0,32 
№24: ХРОМ                                                         26,89 
№25: МАРГАНЕЦ                                                      0,25 
№26: ЖЕЛЕЗО                                                        0,19 
№28: НИКЕЛЬ                                                       69,55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028" authorId="0" shapeId="0" xr:uid="{00000000-0006-0000-0000-000069000000}">
      <text>
        <r>
          <rPr>
            <b/>
            <sz val="9"/>
            <color indexed="81"/>
            <rFont val="Tahoma"/>
            <family val="2"/>
            <charset val="204"/>
          </rPr>
          <t>хром 18
никель 5
марганец 12
молик 1,4
ванадий 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058" authorId="0" shapeId="0" xr:uid="{00000000-0006-0000-0000-00006A000000}">
      <text>
        <r>
          <rPr>
            <b/>
            <sz val="9"/>
            <color indexed="81"/>
            <rFont val="Tahoma"/>
            <family val="2"/>
            <charset val="204"/>
          </rPr>
          <t>углерод 0,2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093" authorId="0" shapeId="0" xr:uid="{00000000-0006-0000-0000-00006B000000}">
      <text>
        <r>
          <rPr>
            <b/>
            <sz val="9"/>
            <color indexed="81"/>
            <rFont val="Tahoma"/>
            <family val="2"/>
            <charset val="204"/>
          </rPr>
          <t>химия дзмо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096" authorId="0" shapeId="0" xr:uid="{00000000-0006-0000-0000-00006C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0,35 
№23: ВАНАДИЙ                                                       0,23 
№24: ХРОМ                                                         11,31 
№26: ЖЕЛЕЗО                                                       84,22 
№28: НИКЕЛЬ                                                        1,71 
№42: МОЛИБДЕН                                                      0,35 
№74: ВОЛЬФРАМ                                                      1,83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107" authorId="0" shapeId="0" xr:uid="{00000000-0006-0000-0000-00006D000000}">
      <text>
        <r>
          <rPr>
            <b/>
            <sz val="9"/>
            <color indexed="81"/>
            <rFont val="Tahoma"/>
            <family val="2"/>
            <charset val="204"/>
          </rPr>
          <t>углерод 0,2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127" authorId="0" shapeId="0" xr:uid="{00000000-0006-0000-0000-00006E000000}">
      <text>
        <r>
          <rPr>
            <b/>
            <sz val="9"/>
            <color indexed="81"/>
            <rFont val="Tahoma"/>
            <family val="2"/>
            <charset val="204"/>
          </rPr>
          <t>клейма и маркировки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129" authorId="1" shapeId="0" xr:uid="{00000000-0006-0000-0000-00006F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2,35 
№22: ТИТАН                                                         0,13 
№24: ХРОМ                                                         19,95 
№25: МАРГАНЕЦ                                                      1,42 
№26: ЖЕЛЕЗО                                                       61,95 
№28: НИКЕЛЬ                                                       14,02 
№29: МЕДЬ                                                          0,17 
№42: МОЛИБДЕН                                                      0,01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140" authorId="0" shapeId="0" xr:uid="{00000000-0006-0000-0000-000070000000}">
      <text>
        <r>
          <rPr>
            <b/>
            <sz val="9"/>
            <color indexed="81"/>
            <rFont val="Tahoma"/>
            <family val="2"/>
            <charset val="204"/>
          </rPr>
          <t>углерод 0,28 - дзмо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141" authorId="4" shapeId="0" xr:uid="{00000000-0006-0000-0000-000071000000}">
      <text>
        <r>
          <rPr>
            <b/>
            <sz val="9"/>
            <color indexed="81"/>
            <rFont val="Tahoma"/>
            <family val="2"/>
            <charset val="204"/>
          </rPr>
          <t>углерод 0,44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176" authorId="0" shapeId="0" xr:uid="{00000000-0006-0000-0000-000072000000}">
      <text>
        <r>
          <rPr>
            <b/>
            <sz val="9"/>
            <color indexed="81"/>
            <rFont val="Tahoma"/>
            <family val="2"/>
            <charset val="204"/>
          </rPr>
          <t>химия дзмо, 0,2%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2181" authorId="4" shapeId="0" xr:uid="{00000000-0006-0000-0000-000073000000}">
      <text>
        <r>
          <rPr>
            <b/>
            <sz val="9"/>
            <color indexed="81"/>
            <rFont val="Tahoma"/>
            <family val="2"/>
            <charset val="204"/>
          </rPr>
          <t>вес не точно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186" authorId="1" shapeId="0" xr:uid="{00000000-0006-0000-0000-000074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2,56 
№22: ТИТАН                                                         0,68 
№24: ХРОМ                                                         23,61 
№25: МАРГАНЕЦ                                                      0,46 
№26: ЖЕЛЕЗО                                                        1,45 
№28: НИКЕЛЬ                                                       56,79 
№42: МОЛИБДЕН                                                      0,98 
№74: ВОЛЬФРАМ                                                     13,47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187" authorId="6" shapeId="0" xr:uid="{00000000-0006-0000-0000-000075000000}">
      <text>
        <r>
          <rPr>
            <b/>
            <sz val="9"/>
            <color indexed="81"/>
            <rFont val="Tahoma"/>
            <family val="2"/>
            <charset val="204"/>
          </rPr>
          <t xml:space="preserve"> (Cr-27,4 Ni-68,5 Si-0,5 Fe-0,8 Al-2,8) 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218" authorId="0" shapeId="0" xr:uid="{00000000-0006-0000-0000-000076000000}">
      <text>
        <r>
          <rPr>
            <b/>
            <sz val="9"/>
            <color indexed="81"/>
            <rFont val="Tahoma"/>
            <family val="2"/>
            <charset val="204"/>
          </rPr>
          <t xml:space="preserve">медь 27,5
никель 67
железо 2,8
марганец 1,7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232" authorId="4" shapeId="0" xr:uid="{00000000-0006-0000-0000-000077000000}">
      <text>
        <r>
          <rPr>
            <b/>
            <sz val="9"/>
            <color indexed="81"/>
            <rFont val="Tahoma"/>
            <family val="2"/>
            <charset val="204"/>
          </rPr>
          <t>хром 20
вольфрам 10
молибден 4,5
титан 1,4
алюм 2
никель 62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250" authorId="1" shapeId="0" xr:uid="{00000000-0006-0000-0000-000078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2,14 
№22: ТИТАН                                                         0,55 
№24: ХРОМ                                                         23,88 
№25: МАРГАНЕЦ                                                      0,74 
№26: ЖЕЛЕЗО                                                        0,89 
№28: НИКЕЛЬ                                                       57,46 
№42: МОЛИБДЕН                                                      0,14 
№74: ВОЛЬФРАМ                                                      14,2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251" authorId="1" shapeId="0" xr:uid="{00000000-0006-0000-0000-000079000000}">
      <text>
        <r>
          <rPr>
            <b/>
            <sz val="9"/>
            <color indexed="81"/>
            <rFont val="Tahoma"/>
            <family val="2"/>
            <charset val="204"/>
          </rPr>
          <t xml:space="preserve">1,67м
№13: АЛЮМИНИЙ                                                       0,9 
№14: КРЕМНИЙ                                                       0,47 
№22: ТИТАН                                                         2,76 
№24: ХРОМ                                                         20,16 
№25: МАРГАНЕЦ                                                      0,31 
№26: ЖЕЛЕЗО                                                        0,29 
№28: НИКЕЛЬ                                                       75,11
</t>
        </r>
        <r>
          <rPr>
            <sz val="9"/>
            <color indexed="81"/>
            <rFont val="Tahoma"/>
            <family val="2"/>
            <charset val="204"/>
          </rPr>
          <t xml:space="preserve">
0,72м - химию проверял!!!
</t>
        </r>
      </text>
    </comment>
    <comment ref="F2264" authorId="4" shapeId="0" xr:uid="{00000000-0006-0000-0000-00007A000000}">
      <text>
        <r>
          <rPr>
            <b/>
            <sz val="9"/>
            <color indexed="81"/>
            <rFont val="Tahoma"/>
            <family val="2"/>
            <charset val="204"/>
          </rPr>
          <t>углерод 0,14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287" authorId="6" shapeId="0" xr:uid="{00000000-0006-0000-0000-00007B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0,75 
№24: ХРОМ                                                         17,27 
№25: МАРГАНЕЦ                                                      1,22 
№26: ЖЕЛЕЗО                                                        49,7 
№28: НИКЕЛЬ                                                       24,82 
№42: МОЛИБДЕН                                                      6,24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321" authorId="0" shapeId="0" xr:uid="{00000000-0006-0000-0000-00007C000000}">
      <text>
        <r>
          <rPr>
            <b/>
            <sz val="9"/>
            <color indexed="81"/>
            <rFont val="Tahoma"/>
            <family val="2"/>
            <charset val="204"/>
          </rPr>
          <t>хром 21,2
никель 5,3
тит 0,6</t>
        </r>
      </text>
    </comment>
    <comment ref="F2353" authorId="0" shapeId="0" xr:uid="{00000000-0006-0000-0000-00007D000000}">
      <text>
        <r>
          <rPr>
            <b/>
            <sz val="9"/>
            <color indexed="81"/>
            <rFont val="Tahoma"/>
            <family val="2"/>
            <charset val="204"/>
          </rPr>
          <t>1,47м - 0,21 углерода</t>
        </r>
        <r>
          <rPr>
            <sz val="9"/>
            <color indexed="81"/>
            <rFont val="Tahoma"/>
            <family val="2"/>
            <charset val="204"/>
          </rPr>
          <t xml:space="preserve">
0,98 и 1,3м - 0,21 углерод</t>
        </r>
      </text>
    </comment>
    <comment ref="F2383" authorId="6" shapeId="0" xr:uid="{00000000-0006-0000-0000-00007E000000}">
      <text>
        <r>
          <rPr>
            <b/>
            <sz val="9"/>
            <color indexed="81"/>
            <rFont val="Tahoma"/>
            <family val="2"/>
            <charset val="204"/>
          </rPr>
          <t>№13: АЛЮМИНИЙ                                                      0,75 
№14: КРЕМНИЙ                                                       0,53 
№22: ТИТАН                                                         0,64 
№24: ХРОМ                                                          20,1 
№25: МАРГАНЕЦ                                                      0,43 
№26: ЖЕЛЕЗО                                                        1,0 
№28: НИКЕЛЬ                                                       73,59 
№41: НИОБИЙ                                                         1,0 
№42: МОЛИБДЕН                                                      2,33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390" authorId="0" shapeId="0" xr:uid="{00000000-0006-0000-0000-00007F000000}">
      <text>
        <r>
          <rPr>
            <b/>
            <sz val="9"/>
            <color indexed="81"/>
            <rFont val="Tahoma"/>
            <family val="2"/>
            <charset val="204"/>
          </rPr>
          <t>химия ДЗМО 15.11.18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392" authorId="7" shapeId="0" xr:uid="{00000000-0006-0000-0000-000080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0,44 
№24: ХРОМ                                                         17,46 
№26: ЖЕЛЕЗО                                                        80,5 
№28: НИКЕЛЬ                                                        1,45 
№42: МОЛИБДЕН                                                      0,16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393" authorId="0" shapeId="0" xr:uid="{00000000-0006-0000-0000-000081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0,38 
№22: ТИТАН                                                         0,55 
№24: ХРОМ                                                         20,17 
№26: ЖЕЛЕЗО                                                       72,66 
№28: НИКЕЛЬ                                                        6,23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398" authorId="1" shapeId="0" xr:uid="{00000000-0006-0000-0000-000082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0,48 
№22: ТИТАН                                                         0,89 
№24: ХРОМ                                                         24,26 
№25: МАРГАНЕЦ                                                      0,52 
№26: ЖЕЛЕЗО                                                        40,5 
№28: НИКЕЛЬ                                                       27,19 
№29: МЕДЬ                                                          3,24 
№42: МОЛИБДЕН                                                      2,92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424" authorId="0" shapeId="0" xr:uid="{00000000-0006-0000-0000-000083000000}">
      <text>
        <r>
          <rPr>
            <b/>
            <sz val="9"/>
            <color indexed="81"/>
            <rFont val="Tahoma"/>
            <family val="2"/>
            <charset val="204"/>
          </rPr>
          <t>химия ДЗМО 15.11.18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426" authorId="0" shapeId="0" xr:uid="{00000000-0006-0000-0000-000084000000}">
      <text>
        <r>
          <rPr>
            <b/>
            <sz val="9"/>
            <color indexed="81"/>
            <rFont val="Tahoma"/>
            <family val="2"/>
            <charset val="204"/>
          </rPr>
          <t>химия ДЗМО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427" authorId="0" shapeId="0" xr:uid="{00000000-0006-0000-0000-000085000000}">
      <text>
        <r>
          <rPr>
            <b/>
            <sz val="9"/>
            <color indexed="81"/>
            <rFont val="Tahoma"/>
            <family val="2"/>
            <charset val="204"/>
          </rPr>
          <t>химия дзмо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428" authorId="4" shapeId="0" xr:uid="{00000000-0006-0000-0000-000086000000}">
      <text>
        <r>
          <rPr>
            <b/>
            <sz val="9"/>
            <color indexed="81"/>
            <rFont val="Tahoma"/>
            <family val="2"/>
            <charset val="204"/>
          </rPr>
          <t>углерод 0,29 Дзмо</t>
        </r>
      </text>
    </comment>
    <comment ref="F2429" authorId="0" shapeId="0" xr:uid="{00000000-0006-0000-0000-000087000000}">
      <text>
        <r>
          <rPr>
            <b/>
            <sz val="9"/>
            <color indexed="81"/>
            <rFont val="Tahoma"/>
            <family val="2"/>
            <charset val="204"/>
          </rPr>
          <t>углерод 0,42, дзмо</t>
        </r>
      </text>
    </comment>
    <comment ref="F2433" authorId="0" shapeId="0" xr:uid="{00000000-0006-0000-0000-000088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0,48 
№22: ТИТАН                                                         0,88 
№24: ХРОМ                                                         21,45 
№26: ЖЕЛЕЗО                                                       71,84 
№28: НИКЕЛЬ                                                        4,92 
№29: МЕДЬ                                                          0,43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435" authorId="1" shapeId="0" xr:uid="{00000000-0006-0000-0000-000089000000}">
      <text>
        <r>
          <rPr>
            <sz val="9"/>
            <color indexed="81"/>
            <rFont val="Tahoma"/>
            <family val="2"/>
            <charset val="204"/>
          </rPr>
          <t xml:space="preserve">№14: КРЕМНИЙ                                                        0,5 
№24: ХРОМ                                                          17,1 
№25: МАРГАНЕЦ                                                      1,77 
№26: ЖЕЛЕЗО                                                       68,32 
№28: НИКЕЛЬ                                                       10,16 
№42: МОЛИБДЕН                                                      2,14
</t>
        </r>
      </text>
    </comment>
    <comment ref="F2441" authorId="1" shapeId="0" xr:uid="{00000000-0006-0000-0000-00008A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0,24 
№22: ТИТАН                                                         0,79 
№24: ХРОМ                                                         23,99 
№25: МАРГАНЕЦ                                                      0,65 
№26: ЖЕЛЕЗО                                                       41,91 
№28: НИКЕЛЬ                                                       26,71 
№29: МЕДЬ                                                          2,83 
№42: МОЛИБДЕН                                                      2,88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459" authorId="0" shapeId="0" xr:uid="{00000000-0006-0000-0000-00008B000000}">
      <text>
        <r>
          <rPr>
            <b/>
            <sz val="9"/>
            <color indexed="81"/>
            <rFont val="Tahoma"/>
            <family val="2"/>
            <charset val="204"/>
          </rPr>
          <t>углерод 0,24% дзмо</t>
        </r>
      </text>
    </comment>
    <comment ref="F2473" authorId="1" shapeId="0" xr:uid="{00000000-0006-0000-0000-00008C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2,76 
№22: ТИТАН                                                         0,72 
№24: ХРОМ                                                          19,2 
№25: МАРГАНЕЦ                                                      0,83 
№26: ЖЕЛЕЗО                                                       62,79 
№28: НИКЕЛЬ                                                       13,32 
№29: МЕДЬ                                                          0,26 
№42: МОЛИБДЕН                                                      0,12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478" authorId="0" shapeId="0" xr:uid="{00000000-0006-0000-0000-00008D000000}">
      <text>
        <r>
          <rPr>
            <b/>
            <sz val="9"/>
            <color indexed="81"/>
            <rFont val="Tahoma"/>
            <family val="2"/>
            <charset val="204"/>
          </rPr>
          <t>№13: АЛЮМИНИЙ                                                       0,6 
№22: ТИТАН                                                         3,05 
№24: ХРОМ                                                         20,13 
№25: МАРГАНЕЦ                                                      0,01 
№26: ЖЕЛЕЗО                                                        0,92 
№28: НИКЕЛЬ                                                       75,31</t>
        </r>
      </text>
    </comment>
    <comment ref="H2506" authorId="0" shapeId="0" xr:uid="{00000000-0006-0000-0000-00008E000000}">
      <text>
        <r>
          <rPr>
            <b/>
            <sz val="9"/>
            <color indexed="81"/>
            <rFont val="Tahoma"/>
            <family val="2"/>
            <charset val="204"/>
          </rPr>
          <t>вес не точно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511" authorId="0" shapeId="0" xr:uid="{00000000-0006-0000-0000-00008F000000}">
      <text>
        <r>
          <rPr>
            <b/>
            <sz val="9"/>
            <color indexed="81"/>
            <rFont val="Tahoma"/>
            <family val="2"/>
            <charset val="204"/>
          </rPr>
          <t>химия ДЗМО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519" authorId="0" shapeId="0" xr:uid="{00000000-0006-0000-0000-000090000000}">
      <text>
        <r>
          <rPr>
            <b/>
            <sz val="9"/>
            <color indexed="81"/>
            <rFont val="Tahoma"/>
            <family val="2"/>
            <charset val="204"/>
          </rPr>
          <t>химия ДЗМО</t>
        </r>
      </text>
    </comment>
    <comment ref="F2534" authorId="4" shapeId="0" xr:uid="{00000000-0006-0000-0000-000091000000}">
      <text>
        <r>
          <rPr>
            <b/>
            <sz val="9"/>
            <color indexed="81"/>
            <rFont val="Tahoma"/>
            <family val="2"/>
            <charset val="204"/>
          </rPr>
          <t>углерод 0,46
дзмо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545" authorId="0" shapeId="0" xr:uid="{00000000-0006-0000-0000-000092000000}">
      <text>
        <r>
          <rPr>
            <b/>
            <sz val="9"/>
            <color indexed="81"/>
            <rFont val="Tahoma"/>
            <family val="2"/>
            <charset val="204"/>
          </rPr>
          <t>химия дзмо
0,22 углерода</t>
        </r>
      </text>
    </comment>
    <comment ref="F2546" authorId="0" shapeId="0" xr:uid="{00000000-0006-0000-0000-000093000000}">
      <text>
        <r>
          <rPr>
            <b/>
            <sz val="9"/>
            <color indexed="81"/>
            <rFont val="Tahoma"/>
            <family val="2"/>
            <charset val="204"/>
          </rPr>
          <t>никель 53
хром 43,5
молибден 1,2
кремний 0,6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550" authorId="0" shapeId="0" xr:uid="{00000000-0006-0000-0000-000094000000}">
      <text>
        <r>
          <rPr>
            <b/>
            <sz val="9"/>
            <color indexed="81"/>
            <rFont val="Tahoma"/>
            <family val="2"/>
            <charset val="204"/>
          </rPr>
          <t>никель 9,2%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557" authorId="4" shapeId="0" xr:uid="{00000000-0006-0000-0000-000095000000}">
      <text>
        <r>
          <rPr>
            <b/>
            <sz val="9"/>
            <color indexed="81"/>
            <rFont val="Tahoma"/>
            <family val="2"/>
            <charset val="204"/>
          </rPr>
          <t>углерод 0,31</t>
        </r>
      </text>
    </comment>
    <comment ref="F2568" authorId="0" shapeId="0" xr:uid="{00000000-0006-0000-0000-000096000000}">
      <text>
        <r>
          <rPr>
            <b/>
            <sz val="9"/>
            <color indexed="81"/>
            <rFont val="Tahoma"/>
            <family val="2"/>
            <charset val="204"/>
          </rPr>
          <t>никель 24,3
хром 19,5
молик - 4
марг 1,8
медь 1,3
кремний 0,7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613" authorId="0" shapeId="0" xr:uid="{00000000-0006-0000-0000-000097000000}">
      <text>
        <r>
          <rPr>
            <b/>
            <sz val="9"/>
            <color indexed="81"/>
            <rFont val="Tahoma"/>
            <family val="2"/>
            <charset val="204"/>
          </rPr>
          <t>никель 13
молик 3
хром 18,5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618" authorId="0" shapeId="0" xr:uid="{00000000-0006-0000-0000-000098000000}">
      <text>
        <r>
          <rPr>
            <b/>
            <sz val="9"/>
            <color indexed="81"/>
            <rFont val="Tahoma"/>
            <family val="2"/>
            <charset val="204"/>
          </rPr>
          <t>№13: АЛЮМИНИЙ                                                       1,0 
№22: ТИТАН                                                         2,76 
№24: ХРОМ                                                         19,37 
№26: ЖЕЛЕЗО                                                        0,78 
№28: НИКЕЛЬ                                                       76,39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621" authorId="0" shapeId="0" xr:uid="{00000000-0006-0000-0000-000099000000}">
      <text>
        <r>
          <rPr>
            <b/>
            <sz val="9"/>
            <color indexed="81"/>
            <rFont val="Tahoma"/>
            <family val="2"/>
            <charset val="204"/>
          </rPr>
          <t>углерод 0,059
никель 13
хром 22
марганец 1,7
химия ДЗМО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626" authorId="4" shapeId="0" xr:uid="{00000000-0006-0000-0000-00009A000000}">
      <text>
        <r>
          <rPr>
            <b/>
            <sz val="9"/>
            <color indexed="81"/>
            <rFont val="Tahoma"/>
            <family val="2"/>
            <charset val="204"/>
          </rPr>
          <t>титана 0,25%</t>
        </r>
      </text>
    </comment>
    <comment ref="F2640" authorId="3" shapeId="0" xr:uid="{00000000-0006-0000-0000-00009B000000}">
      <text>
        <r>
          <rPr>
            <b/>
            <sz val="9"/>
            <color indexed="81"/>
            <rFont val="Tahoma"/>
            <family val="2"/>
            <charset val="204"/>
          </rPr>
          <t>алюм 2
марг 2,5
жел 0,4
никель 94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644" authorId="6" shapeId="0" xr:uid="{00000000-0006-0000-0000-00009C000000}">
      <text>
        <r>
          <rPr>
            <b/>
            <sz val="9"/>
            <color indexed="81"/>
            <rFont val="Tahoma"/>
            <family val="2"/>
            <charset val="204"/>
          </rPr>
          <t>№24: ХРОМ                                                          9,81 
№25: МАРГАНЕЦ                                                      0,23 
№26: ЖЕЛЕЗО                                                        0,29 
№27: КОБАЛЬТ                                                       0,72 
№28: НИКЕЛЬ                                                       88,95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679" authorId="1" shapeId="0" xr:uid="{00000000-0006-0000-0000-00009D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0,95 
№22: ТИТАН                                                         0,21 
№24: ХРОМ                                                         20,93 
№25: МАРГАНЕЦ                                                      0,47 
№26: ЖЕЛЕЗО                                                        1,39 
№28: НИКЕЛЬ                                                       76,05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704" authorId="0" shapeId="0" xr:uid="{00000000-0006-0000-0000-00009E000000}">
      <text>
        <r>
          <rPr>
            <b/>
            <sz val="9"/>
            <color indexed="81"/>
            <rFont val="Tahoma"/>
            <family val="2"/>
            <charset val="204"/>
          </rPr>
          <t>5,4кг - железная кат
1,4кг - алюмин кат</t>
        </r>
      </text>
    </comment>
    <comment ref="F2745" authorId="0" shapeId="0" xr:uid="{00000000-0006-0000-0000-00009F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0,89 
№22: ТИТАН                                                         0,48 
№24: ХРОМ                                                         19,71 
№25: МАРГАНЕЦ                                                      0,01 
№26: ЖЕЛЕЗО                                                        1,15 
№28: НИКЕЛЬ                                                       77,77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806" authorId="0" shapeId="0" xr:uid="{00000000-0006-0000-0000-0000A0000000}">
      <text>
        <r>
          <rPr>
            <b/>
            <sz val="9"/>
            <color indexed="81"/>
            <rFont val="Tahoma"/>
            <family val="2"/>
            <charset val="204"/>
          </rPr>
          <t>анализ 29,4кг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849" authorId="1" shapeId="0" xr:uid="{00000000-0006-0000-0000-0000A1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   1 
№22: ТИТАН                                                         0,12 
№24: ХРОМ                                                         23,86 
№25: МАРГАНЕЦ                                                      1,74 
№26: ЖЕЛЕЗО                                                       60,34 
№28: НИКЕЛЬ                                                       12,59 
№29: МЕДЬ                                                          0,23 
№42: МОЛИБДЕН                                                      0,12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861" authorId="0" shapeId="0" xr:uid="{00000000-0006-0000-0000-0000A2000000}">
      <text>
        <r>
          <rPr>
            <b/>
            <sz val="9"/>
            <color indexed="81"/>
            <rFont val="Tahoma"/>
            <family val="2"/>
            <charset val="204"/>
          </rPr>
          <t>марганец 5,5
медь 2,7
железо 0,3
никель 91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870" authorId="6" shapeId="0" xr:uid="{00000000-0006-0000-0000-0000A3000000}">
      <text>
        <r>
          <rPr>
            <b/>
            <sz val="9"/>
            <color indexed="81"/>
            <rFont val="Tahoma"/>
            <family val="2"/>
            <charset val="204"/>
          </rPr>
          <t>№13: АЛЮМИНИЙ                                                      0,78 
№14: КРЕМНИЙ                                                       0,51 
№22: ТИТАН                                                         0,58 
№24: ХРОМ                                                          19,1 
№25: МАРГАНЕЦ                                                      0,18 
№26: ЖЕЛЕЗО                                                        0,91 
№28: НИКЕЛЬ                                                       74,74 
№41: НИОБИЙ                                                        1,22 
№42: МОЛИБДЕН                                                      1,98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911" authorId="1" shapeId="0" xr:uid="{00000000-0006-0000-0000-0000A4000000}">
      <text>
        <r>
          <rPr>
            <b/>
            <sz val="9"/>
            <color indexed="81"/>
            <rFont val="Tahoma"/>
            <family val="2"/>
            <charset val="204"/>
          </rPr>
          <t xml:space="preserve">№14: КРЕМНИЙ                                                       2,47 
№24: ХРОМ                                                        22,6
№25: МАРГАНЕЦ                                                      1,6
№26: ЖЕЛЕЗО                                                      58,9
№28: НИКЕЛЬ                                                       14,5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917" authorId="4" shapeId="0" xr:uid="{00000000-0006-0000-0000-0000A5000000}">
      <text>
        <r>
          <rPr>
            <b/>
            <sz val="9"/>
            <color indexed="81"/>
            <rFont val="Tahoma"/>
            <family val="2"/>
            <charset val="204"/>
          </rPr>
          <t xml:space="preserve">никель 11,2
хром 18
молик 2,6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926" authorId="6" shapeId="0" xr:uid="{00000000-0006-0000-0000-0000A6000000}">
      <text>
        <r>
          <rPr>
            <b/>
            <sz val="9"/>
            <color indexed="81"/>
            <rFont val="Tahoma"/>
            <family val="2"/>
            <charset val="204"/>
          </rPr>
          <t>№13: АЛЮМИНИЙ                                                      1,02
№14: КРЕМНИЙ                                                       0,51 
№22: ТИТАН                                                         0,66 
№24: ХРОМ                                                          19,8
№26: ЖЕЛЕЗО                                                       1,2 
№28: НИКЕЛЬ                                                       73,3 
№41: НИОБИЙ                                                        1,01
№42: МОЛИБДЕН                                                    2,11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928" authorId="6" shapeId="0" xr:uid="{00000000-0006-0000-0000-0000A7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0,66 
№24: ХРОМ                                                         19,09 
№25: МАРГАНЕЦ                                                      1,58 
№26: ЖЕЛЕЗО                                                          65 
№28: НИКЕЛЬ                                                       11,35 
№42: МОЛИБДЕН                                                      2,31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948" authorId="6" shapeId="0" xr:uid="{00000000-0006-0000-0000-0000A8000000}">
      <text>
        <r>
          <rPr>
            <b/>
            <sz val="9"/>
            <color indexed="81"/>
            <rFont val="Tahoma"/>
            <family val="2"/>
            <charset val="204"/>
          </rPr>
          <t>№13: АЛЮМИНИЙ                                                      0,78 
№14: КРЕМНИЙ                                                       0,51 
№22: ТИТАН                                                         0,58 
№24: ХРОМ                                                          19,1 
№25: МАРГАНЕЦ                                                      0,18 
№26: ЖЕЛЕЗО                                                        0,91 
№28: НИКЕЛЬ                                                       74,74 
№41: НИОБИЙ                                                        1,22 
№42: МОЛИБДЕН                                                      1,98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960" authorId="1" shapeId="0" xr:uid="{00000000-0006-0000-0000-0000A9000000}">
      <text>
        <r>
          <rPr>
            <b/>
            <sz val="9"/>
            <color indexed="81"/>
            <rFont val="Tahoma"/>
            <family val="2"/>
            <charset val="204"/>
          </rPr>
          <t>Cr-18 Ni-11,3 Mn-1,7 Si-0,4 Mo-2,18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  <author>itadm</author>
    <author>Genya</author>
    <author>evgeniy</author>
  </authors>
  <commentList>
    <comment ref="F6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99,85%</t>
        </r>
      </text>
    </comment>
    <comment ref="F21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>магний 6,3%</t>
        </r>
      </text>
    </comment>
    <comment ref="F35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04"/>
          </rPr>
          <t>магний 6,4%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43" authorId="1" shapeId="0" xr:uid="{00000000-0006-0000-0100-000004000000}">
      <text>
        <r>
          <rPr>
            <b/>
            <sz val="9"/>
            <color indexed="81"/>
            <rFont val="Tahoma"/>
            <family val="2"/>
            <charset val="204"/>
          </rPr>
          <t>магний 3,8
марганец 0,7
железо 0,3</t>
        </r>
      </text>
    </comment>
    <comment ref="F44" authorId="1" shapeId="0" xr:uid="{00000000-0006-0000-0100-000005000000}">
      <text>
        <r>
          <rPr>
            <b/>
            <sz val="9"/>
            <color indexed="81"/>
            <rFont val="Tahoma"/>
            <family val="2"/>
            <charset val="204"/>
          </rPr>
          <t>магний 4
марганец 0,7
железо 0,3</t>
        </r>
      </text>
    </comment>
    <comment ref="B89" authorId="0" shapeId="0" xr:uid="{00000000-0006-0000-0100-000006000000}">
      <text>
        <r>
          <rPr>
            <b/>
            <sz val="9"/>
            <color indexed="81"/>
            <rFont val="Tahoma"/>
            <family val="2"/>
            <charset val="204"/>
          </rPr>
          <t>частично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06" authorId="1" shapeId="0" xr:uid="{00000000-0006-0000-0100-000007000000}">
      <text>
        <r>
          <rPr>
            <b/>
            <sz val="9"/>
            <color indexed="81"/>
            <rFont val="Tahoma"/>
            <family val="2"/>
            <charset val="204"/>
          </rPr>
          <t>очень мягкий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12" authorId="0" shapeId="0" xr:uid="{00000000-0006-0000-0100-000008000000}">
      <text>
        <r>
          <rPr>
            <b/>
            <sz val="9"/>
            <color indexed="81"/>
            <rFont val="Tahoma"/>
            <family val="2"/>
            <charset val="204"/>
          </rPr>
          <t>марганец 1,36
магний 0,7
железо 0,46
кремний 0,2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26" authorId="0" shapeId="0" xr:uid="{00000000-0006-0000-0100-000009000000}">
      <text>
        <r>
          <rPr>
            <b/>
            <sz val="9"/>
            <color indexed="81"/>
            <rFont val="Tahoma"/>
            <family val="2"/>
            <charset val="204"/>
          </rPr>
          <t>магний 4,5-5,5%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318" authorId="0" shapeId="0" xr:uid="{00000000-0006-0000-0100-00000A000000}">
      <text>
        <r>
          <rPr>
            <b/>
            <sz val="9"/>
            <color indexed="81"/>
            <rFont val="Tahoma"/>
            <family val="2"/>
            <charset val="204"/>
          </rPr>
          <t>клеймо АА 5083</t>
        </r>
      </text>
    </comment>
    <comment ref="F331" authorId="0" shapeId="0" xr:uid="{00000000-0006-0000-0100-00000B000000}">
      <text>
        <r>
          <rPr>
            <b/>
            <sz val="9"/>
            <color indexed="81"/>
            <rFont val="Tahoma"/>
            <family val="2"/>
            <charset val="204"/>
          </rPr>
          <t>общего назначения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343" authorId="0" shapeId="0" xr:uid="{00000000-0006-0000-0100-00000C000000}">
      <text>
        <r>
          <rPr>
            <b/>
            <sz val="9"/>
            <color indexed="81"/>
            <rFont val="Tahoma"/>
            <family val="2"/>
            <charset val="204"/>
          </rPr>
          <t>общего назначения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354" authorId="0" shapeId="0" xr:uid="{00000000-0006-0000-0100-00000D000000}">
      <text>
        <r>
          <rPr>
            <sz val="9"/>
            <color indexed="81"/>
            <rFont val="Tahoma"/>
            <family val="2"/>
            <charset val="204"/>
          </rPr>
          <t xml:space="preserve">броф 6,5-0,15
</t>
        </r>
      </text>
    </comment>
    <comment ref="F360" authorId="0" shapeId="0" xr:uid="{00000000-0006-0000-0100-00000E000000}">
      <text>
        <r>
          <rPr>
            <b/>
            <sz val="9"/>
            <color indexed="81"/>
            <rFont val="Tahoma"/>
            <family val="2"/>
            <charset val="204"/>
          </rPr>
          <t>7-0,15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384" authorId="0" shapeId="0" xr:uid="{00000000-0006-0000-0100-00000F000000}">
      <text>
        <r>
          <rPr>
            <b/>
            <sz val="9"/>
            <color indexed="81"/>
            <rFont val="Tahoma"/>
            <family val="2"/>
            <charset val="204"/>
          </rPr>
          <t>7-0,15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385" authorId="2" shapeId="0" xr:uid="{00000000-0006-0000-0100-000010000000}">
      <text>
        <r>
          <rPr>
            <b/>
            <sz val="9"/>
            <color indexed="81"/>
            <rFont val="Tahoma"/>
            <family val="2"/>
            <charset val="204"/>
          </rPr>
          <t>№24: ХРОМ                                                          0,82 
№26: ЖЕЛЕЗО                                                        0,31 
№29: МЕДЬ                                                         98,86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395" authorId="3" shapeId="0" xr:uid="{00000000-0006-0000-0100-000011000000}">
      <text>
        <r>
          <rPr>
            <b/>
            <sz val="9"/>
            <color indexed="81"/>
            <rFont val="Tahoma"/>
            <family val="2"/>
            <charset val="204"/>
          </rPr>
          <t>№13: АЛЮМИНИЙ                                                      9,47 
№25: МАРГАНЕЦ                                                      2,03 
№26: ЖЕЛЕЗО                                                         0,5 
№28: НИКЕЛЬ                                                        0,12 
№29: МЕДЬ                                                         87,54 
№30: ЦИНК                                                          0,34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484" authorId="0" shapeId="0" xr:uid="{00000000-0006-0000-0100-000012000000}">
      <text>
        <r>
          <rPr>
            <b/>
            <sz val="9"/>
            <color indexed="81"/>
            <rFont val="Tahoma"/>
            <family val="2"/>
            <charset val="204"/>
          </rPr>
          <t>никель 4,8
марганец 1,2
железо 4,5
алюминий 9,7</t>
        </r>
      </text>
    </comment>
    <comment ref="F485" authorId="0" shapeId="0" xr:uid="{00000000-0006-0000-0100-000013000000}">
      <text>
        <r>
          <rPr>
            <b/>
            <sz val="9"/>
            <color indexed="81"/>
            <rFont val="Tahoma"/>
            <family val="2"/>
            <charset val="204"/>
          </rPr>
          <t>никель 4,4
марганец 1
железо 4,5</t>
        </r>
      </text>
    </comment>
    <comment ref="F507" authorId="0" shapeId="0" xr:uid="{00000000-0006-0000-0100-000014000000}">
      <text>
        <r>
          <rPr>
            <b/>
            <sz val="9"/>
            <color indexed="81"/>
            <rFont val="Tahoma"/>
            <family val="2"/>
            <charset val="204"/>
          </rPr>
          <t>10-0,5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548" authorId="0" shapeId="0" xr:uid="{00000000-0006-0000-0100-000015000000}">
      <text>
        <r>
          <rPr>
            <b/>
            <sz val="9"/>
            <color indexed="81"/>
            <rFont val="Tahoma"/>
            <family val="2"/>
            <charset val="204"/>
          </rPr>
          <t>олово 11%
фосфор 0,3%</t>
        </r>
      </text>
    </comment>
    <comment ref="F549" authorId="0" shapeId="0" xr:uid="{00000000-0006-0000-0100-000016000000}">
      <text>
        <r>
          <rPr>
            <b/>
            <sz val="9"/>
            <color indexed="81"/>
            <rFont val="Tahoma"/>
            <family val="2"/>
            <charset val="204"/>
          </rPr>
          <t>олово 10%
фосфор 0,2%</t>
        </r>
      </text>
    </comment>
    <comment ref="F567" authorId="0" shapeId="0" xr:uid="{00000000-0006-0000-0100-000017000000}">
      <text>
        <r>
          <rPr>
            <b/>
            <sz val="9"/>
            <color indexed="81"/>
            <rFont val="Tahoma"/>
            <family val="2"/>
            <charset val="204"/>
          </rPr>
          <t>№13: АЛЮМИНИЙ                                                      8,38 
№25: МАРГАНЕЦ                                                      0,16 
№26: ЖЕЛЕЗО                                                        2,98 
№29: МЕДЬ                                                         88,48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599" authorId="1" shapeId="0" xr:uid="{00000000-0006-0000-0100-000018000000}">
      <text>
        <r>
          <rPr>
            <b/>
            <sz val="9"/>
            <color indexed="81"/>
            <rFont val="Tahoma"/>
            <charset val="1"/>
          </rPr>
          <t>7-0,2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608" authorId="2" shapeId="0" xr:uid="{00000000-0006-0000-0100-000019000000}">
      <text>
        <r>
          <rPr>
            <b/>
            <sz val="9"/>
            <color indexed="81"/>
            <rFont val="Tahoma"/>
            <family val="2"/>
            <charset val="204"/>
          </rPr>
          <t>медь 94,5
цинк 3
олово 4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614" authorId="0" shapeId="0" xr:uid="{00000000-0006-0000-0100-00001A000000}">
      <text>
        <r>
          <rPr>
            <b/>
            <sz val="9"/>
            <color indexed="81"/>
            <rFont val="Tahoma"/>
            <family val="2"/>
            <charset val="204"/>
          </rPr>
          <t>10-1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640" authorId="0" shapeId="0" xr:uid="{00000000-0006-0000-0100-00001B000000}">
      <text>
        <r>
          <rPr>
            <b/>
            <sz val="9"/>
            <color indexed="81"/>
            <rFont val="Tahoma"/>
            <family val="2"/>
            <charset val="204"/>
          </rPr>
          <t>медь 80
цинк 9
алюм 4
железо 2,2
свинец 1,2
олово 1,1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683" authorId="0" shapeId="0" xr:uid="{00000000-0006-0000-0100-00001C000000}">
      <text>
        <r>
          <rPr>
            <b/>
            <sz val="9"/>
            <color indexed="81"/>
            <rFont val="Tahoma"/>
            <family val="2"/>
            <charset val="204"/>
          </rPr>
          <t>№28: НИКЕЛЬ                                                        0,43 
№29: МЕДЬ                                                         85,18 
№30: ЦИНК                                                           5,3 
№50: ОЛОВО                                                         4,77 
№82: СВИНЕЦ                                                        4,32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687" authorId="0" shapeId="0" xr:uid="{00000000-0006-0000-0100-00001D000000}">
      <text>
        <r>
          <rPr>
            <b/>
            <sz val="9"/>
            <color indexed="81"/>
            <rFont val="Tahoma"/>
            <family val="2"/>
            <charset val="204"/>
          </rPr>
          <t>никель 4%</t>
        </r>
      </text>
    </comment>
    <comment ref="F823" authorId="0" shapeId="0" xr:uid="{00000000-0006-0000-0100-00001E000000}">
      <text>
        <r>
          <rPr>
            <b/>
            <sz val="9"/>
            <color indexed="81"/>
            <rFont val="Tahoma"/>
            <family val="2"/>
            <charset val="204"/>
          </rPr>
          <t>медь 79,5%
никель 18%
титан 0,6%</t>
        </r>
      </text>
    </comment>
    <comment ref="F824" authorId="0" shapeId="0" xr:uid="{00000000-0006-0000-0100-00001F000000}">
      <text>
        <r>
          <rPr>
            <b/>
            <sz val="9"/>
            <color indexed="81"/>
            <rFont val="Tahoma"/>
            <family val="2"/>
            <charset val="204"/>
          </rPr>
          <t>медь 80,3%
никель 18,5%
титан 0,6%</t>
        </r>
      </text>
    </comment>
    <comment ref="F827" authorId="0" shapeId="0" xr:uid="{00000000-0006-0000-0100-000020000000}">
      <text>
        <r>
          <rPr>
            <b/>
            <sz val="9"/>
            <color indexed="81"/>
            <rFont val="Tahoma"/>
            <family val="2"/>
            <charset val="204"/>
          </rPr>
          <t xml:space="preserve">медь 27,5
никель 67
железо 2,8
марганец 1,7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828" authorId="0" shapeId="0" xr:uid="{00000000-0006-0000-0100-000021000000}">
      <text>
        <r>
          <rPr>
            <b/>
            <sz val="9"/>
            <color indexed="81"/>
            <rFont val="Tahoma"/>
            <family val="2"/>
            <charset val="204"/>
          </rPr>
          <t>медь 69
никель 30
марг 0,7
желез 1</t>
        </r>
      </text>
    </comment>
    <comment ref="F902" authorId="0" shapeId="0" xr:uid="{00000000-0006-0000-0100-000022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2,76 
№25: МАРГАНЕЦ                                                      1,32 
№26: ЖЕЛЕЗО                                                        0,66 
№29: МЕДЬ                                                         95,26</t>
        </r>
        <r>
          <rPr>
            <sz val="9"/>
            <color indexed="81"/>
            <rFont val="Tahoma"/>
            <family val="2"/>
            <charset val="204"/>
          </rPr>
          <t xml:space="preserve">
                                             </t>
        </r>
      </text>
    </comment>
    <comment ref="F903" authorId="0" shapeId="0" xr:uid="{00000000-0006-0000-0100-000023000000}">
      <text>
        <r>
          <rPr>
            <b/>
            <sz val="9"/>
            <color indexed="81"/>
            <rFont val="Tahoma"/>
            <family val="2"/>
            <charset val="204"/>
          </rPr>
          <t xml:space="preserve">
№14: КРЕМНИЙ                                                       2,53 
№25: МАРГАНЕЦ                                                      1,39 
№26: ЖЕЛЕЗО                                                        0,66 
№29: МЕДЬ                                                           95,42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909" authorId="1" shapeId="0" xr:uid="{00000000-0006-0000-0100-000024000000}">
      <text>
        <r>
          <rPr>
            <b/>
            <sz val="9"/>
            <color indexed="81"/>
            <rFont val="Tahoma"/>
            <family val="2"/>
            <charset val="204"/>
          </rPr>
          <t xml:space="preserve">медь - 82,5
марганец - 13
никель  - 2,5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910" authorId="1" shapeId="0" xr:uid="{00000000-0006-0000-0100-000025000000}">
      <text>
        <r>
          <rPr>
            <b/>
            <sz val="9"/>
            <color indexed="81"/>
            <rFont val="Tahoma"/>
            <charset val="1"/>
          </rPr>
          <t>6-0,15</t>
        </r>
      </text>
    </comment>
    <comment ref="F911" authorId="1" shapeId="0" xr:uid="{00000000-0006-0000-0100-000026000000}">
      <text>
        <r>
          <rPr>
            <b/>
            <sz val="9"/>
            <color indexed="81"/>
            <rFont val="Tahoma"/>
            <charset val="1"/>
          </rPr>
          <t>6-0,15</t>
        </r>
      </text>
    </comment>
    <comment ref="B921" authorId="0" shapeId="0" xr:uid="{00000000-0006-0000-0100-000027000000}">
      <text>
        <r>
          <rPr>
            <b/>
            <sz val="9"/>
            <color indexed="81"/>
            <rFont val="Tahoma"/>
            <family val="2"/>
            <charset val="204"/>
          </rPr>
          <t>54,3кг в г3</t>
        </r>
      </text>
    </comment>
    <comment ref="B972" authorId="0" shapeId="0" xr:uid="{00000000-0006-0000-0100-000028000000}">
      <text>
        <r>
          <rPr>
            <b/>
            <sz val="9"/>
            <color indexed="81"/>
            <rFont val="Tahoma"/>
            <family val="2"/>
            <charset val="204"/>
          </rPr>
          <t>5,5кг не в Г3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983" authorId="0" shapeId="0" xr:uid="{00000000-0006-0000-0100-000029000000}">
      <text>
        <r>
          <rPr>
            <b/>
            <sz val="9"/>
            <color indexed="81"/>
            <rFont val="Tahoma"/>
            <family val="2"/>
            <charset val="204"/>
          </rPr>
          <t>7-0,2</t>
        </r>
      </text>
    </comment>
    <comment ref="H984" authorId="0" shapeId="0" xr:uid="{00000000-0006-0000-0100-00002A000000}">
      <text>
        <r>
          <rPr>
            <b/>
            <sz val="9"/>
            <color indexed="81"/>
            <rFont val="Tahoma"/>
            <family val="2"/>
            <charset val="204"/>
          </rPr>
          <t>7-0,2</t>
        </r>
      </text>
    </comment>
    <comment ref="H985" authorId="0" shapeId="0" xr:uid="{00000000-0006-0000-0100-00002B000000}">
      <text>
        <r>
          <rPr>
            <b/>
            <sz val="9"/>
            <color indexed="81"/>
            <rFont val="Tahoma"/>
            <family val="2"/>
            <charset val="204"/>
          </rPr>
          <t>7-0,2</t>
        </r>
      </text>
    </comment>
    <comment ref="F987" authorId="1" shapeId="0" xr:uid="{00000000-0006-0000-0100-00002C000000}">
      <text>
        <r>
          <rPr>
            <b/>
            <sz val="9"/>
            <color indexed="81"/>
            <rFont val="Tahoma"/>
            <family val="2"/>
            <charset val="204"/>
          </rPr>
          <t>7-0,15</t>
        </r>
      </text>
    </comment>
    <comment ref="F988" authorId="1" shapeId="0" xr:uid="{00000000-0006-0000-0100-00002D000000}">
      <text>
        <r>
          <rPr>
            <b/>
            <sz val="9"/>
            <color indexed="81"/>
            <rFont val="Tahoma"/>
            <family val="2"/>
            <charset val="204"/>
          </rPr>
          <t>6,5-0,15</t>
        </r>
      </text>
    </comment>
    <comment ref="F990" authorId="1" shapeId="0" xr:uid="{00000000-0006-0000-0100-00002E000000}">
      <text>
        <r>
          <rPr>
            <b/>
            <sz val="9"/>
            <color indexed="81"/>
            <rFont val="Tahoma"/>
            <charset val="1"/>
          </rPr>
          <t>7-0,2</t>
        </r>
      </text>
    </comment>
    <comment ref="F991" authorId="1" shapeId="0" xr:uid="{00000000-0006-0000-0100-00002F000000}">
      <text>
        <r>
          <rPr>
            <b/>
            <sz val="9"/>
            <color indexed="81"/>
            <rFont val="Tahoma"/>
            <charset val="1"/>
          </rPr>
          <t>6,5-0,15</t>
        </r>
      </text>
    </comment>
    <comment ref="F992" authorId="1" shapeId="0" xr:uid="{00000000-0006-0000-0100-000030000000}">
      <text>
        <r>
          <rPr>
            <b/>
            <sz val="9"/>
            <color indexed="81"/>
            <rFont val="Tahoma"/>
            <charset val="1"/>
          </rPr>
          <t>7,5-0,15</t>
        </r>
      </text>
    </comment>
    <comment ref="F993" authorId="1" shapeId="0" xr:uid="{00000000-0006-0000-0100-000031000000}">
      <text>
        <r>
          <rPr>
            <b/>
            <sz val="9"/>
            <color indexed="81"/>
            <rFont val="Tahoma"/>
            <charset val="1"/>
          </rPr>
          <t>6,5-0,15</t>
        </r>
      </text>
    </comment>
    <comment ref="F994" authorId="1" shapeId="0" xr:uid="{00000000-0006-0000-0100-000032000000}">
      <text>
        <r>
          <rPr>
            <b/>
            <sz val="9"/>
            <color indexed="81"/>
            <rFont val="Tahoma"/>
            <charset val="1"/>
          </rPr>
          <t>7,5-0,15</t>
        </r>
      </text>
    </comment>
    <comment ref="F998" authorId="0" shapeId="0" xr:uid="{00000000-0006-0000-0100-000033000000}">
      <text>
        <r>
          <rPr>
            <b/>
            <sz val="9"/>
            <color indexed="81"/>
            <rFont val="Tahoma"/>
            <family val="2"/>
            <charset val="204"/>
          </rPr>
          <t>6,5-0,15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999" authorId="1" shapeId="0" xr:uid="{00000000-0006-0000-0100-000034000000}">
      <text>
        <r>
          <rPr>
            <b/>
            <sz val="9"/>
            <color indexed="81"/>
            <rFont val="Tahoma"/>
            <charset val="1"/>
          </rPr>
          <t>7-0,2</t>
        </r>
      </text>
    </comment>
    <comment ref="F1000" authorId="0" shapeId="0" xr:uid="{00000000-0006-0000-0100-000035000000}">
      <text>
        <r>
          <rPr>
            <b/>
            <sz val="9"/>
            <color indexed="81"/>
            <rFont val="Tahoma"/>
            <family val="2"/>
            <charset val="204"/>
          </rPr>
          <t>6,5-0,15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001" authorId="0" shapeId="0" xr:uid="{00000000-0006-0000-0100-000036000000}">
      <text>
        <r>
          <rPr>
            <b/>
            <sz val="9"/>
            <color indexed="81"/>
            <rFont val="Tahoma"/>
            <family val="2"/>
            <charset val="204"/>
          </rPr>
          <t>олово 9
фосф 0,2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024" authorId="0" shapeId="0" xr:uid="{00000000-0006-0000-0100-000037000000}">
      <text>
        <r>
          <rPr>
            <b/>
            <sz val="9"/>
            <color indexed="81"/>
            <rFont val="Tahoma"/>
            <family val="2"/>
            <charset val="204"/>
          </rPr>
          <t>медь 93
алюминий 6,5
цинк 0,3
железо 0,1</t>
        </r>
      </text>
    </comment>
    <comment ref="F1025" authorId="1" shapeId="0" xr:uid="{00000000-0006-0000-0100-000038000000}">
      <text>
        <r>
          <rPr>
            <b/>
            <sz val="9"/>
            <color indexed="81"/>
            <rFont val="Tahoma"/>
            <family val="2"/>
            <charset val="204"/>
          </rPr>
          <t>цинк 4
олово 3,5
свинец 2
медь - ост</t>
        </r>
      </text>
    </comment>
    <comment ref="F1027" authorId="1" shapeId="0" xr:uid="{00000000-0006-0000-0100-000039000000}">
      <text>
        <r>
          <rPr>
            <b/>
            <sz val="9"/>
            <color indexed="81"/>
            <rFont val="Tahoma"/>
            <family val="2"/>
            <charset val="204"/>
          </rPr>
          <t>цинк 4
олово 4
свинец 2
медь - ост</t>
        </r>
      </text>
    </comment>
    <comment ref="F1028" authorId="0" shapeId="0" xr:uid="{00000000-0006-0000-0100-00003A000000}">
      <text>
        <r>
          <rPr>
            <b/>
            <sz val="9"/>
            <color indexed="81"/>
            <rFont val="Tahoma"/>
            <family val="2"/>
            <charset val="204"/>
          </rPr>
          <t>цинк - 3,5
олово 3,2
свин 1,5
медь ост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033" authorId="0" shapeId="0" xr:uid="{00000000-0006-0000-0100-00003B000000}">
      <text>
        <r>
          <rPr>
            <b/>
            <sz val="9"/>
            <color indexed="81"/>
            <rFont val="Tahoma"/>
            <family val="2"/>
            <charset val="204"/>
          </rPr>
          <t>0,8% хрома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038" authorId="0" shapeId="0" xr:uid="{00000000-0006-0000-0100-00003C000000}">
      <text>
        <r>
          <rPr>
            <b/>
            <sz val="9"/>
            <color indexed="81"/>
            <rFont val="Tahoma"/>
            <family val="2"/>
            <charset val="204"/>
          </rPr>
          <t>никель 18,5
медь 80,5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123" authorId="3" shapeId="0" xr:uid="{00000000-0006-0000-0100-00003D000000}">
      <text>
        <r>
          <rPr>
            <b/>
            <sz val="9"/>
            <color indexed="81"/>
            <rFont val="Tahoma"/>
            <family val="2"/>
            <charset val="204"/>
          </rPr>
          <t>отверстие 1шт скраю 80мм от стороны 500 и 180мм от стороны 310мм</t>
        </r>
      </text>
    </comment>
    <comment ref="F1123" authorId="3" shapeId="0" xr:uid="{00000000-0006-0000-0100-00003E000000}">
      <text>
        <r>
          <rPr>
            <b/>
            <sz val="9"/>
            <color indexed="81"/>
            <rFont val="Tahoma"/>
            <family val="2"/>
            <charset val="204"/>
          </rPr>
          <t xml:space="preserve">медь 61
цинк 39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211" authorId="2" shapeId="0" xr:uid="{00000000-0006-0000-0100-00003F000000}">
      <text>
        <r>
          <rPr>
            <b/>
            <sz val="9"/>
            <color indexed="81"/>
            <rFont val="Tahoma"/>
            <family val="2"/>
            <charset val="204"/>
          </rPr>
          <t>медь 92
никель6
железо 1,2
марг 0,7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215" authorId="0" shapeId="0" xr:uid="{00000000-0006-0000-0100-000040000000}">
      <text>
        <r>
          <rPr>
            <b/>
            <sz val="9"/>
            <color indexed="81"/>
            <rFont val="Tahoma"/>
            <family val="2"/>
            <charset val="204"/>
          </rPr>
          <t>медь 77
цинк 21
алюминий 1,7</t>
        </r>
      </text>
    </comment>
    <comment ref="F1217" authorId="2" shapeId="0" xr:uid="{00000000-0006-0000-0100-000041000000}">
      <text>
        <r>
          <rPr>
            <b/>
            <sz val="9"/>
            <color indexed="81"/>
            <rFont val="Tahoma"/>
            <family val="2"/>
            <charset val="204"/>
          </rPr>
          <t>медь 92
никель6
железо 1,2
марг 0,7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220" authorId="0" shapeId="0" xr:uid="{00000000-0006-0000-0100-000042000000}">
      <text>
        <r>
          <rPr>
            <b/>
            <sz val="9"/>
            <color indexed="81"/>
            <rFont val="Tahoma"/>
            <family val="2"/>
            <charset val="204"/>
          </rPr>
          <t>медь 77
цинк 20
алюминий 2,1</t>
        </r>
      </text>
    </comment>
    <comment ref="F1223" authorId="2" shapeId="0" xr:uid="{00000000-0006-0000-0100-000043000000}">
      <text>
        <r>
          <rPr>
            <b/>
            <sz val="9"/>
            <color indexed="81"/>
            <rFont val="Tahoma"/>
            <family val="2"/>
            <charset val="204"/>
          </rPr>
          <t>медь 92
никель 6
железо 1,2
марг 0,7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224" authorId="0" shapeId="0" xr:uid="{00000000-0006-0000-0100-000044000000}">
      <text>
        <r>
          <rPr>
            <b/>
            <sz val="9"/>
            <color indexed="81"/>
            <rFont val="Tahoma"/>
            <family val="2"/>
            <charset val="204"/>
          </rPr>
          <t>медь 77
цинк 20
алюминий 2,1</t>
        </r>
      </text>
    </comment>
    <comment ref="F1230" authorId="0" shapeId="0" xr:uid="{00000000-0006-0000-0100-000045000000}">
      <text>
        <r>
          <rPr>
            <b/>
            <sz val="9"/>
            <color indexed="81"/>
            <rFont val="Tahoma"/>
            <family val="2"/>
            <charset val="204"/>
          </rPr>
          <t>медь 77
цинк 21
алюминий 1,7</t>
        </r>
      </text>
    </comment>
    <comment ref="F1322" authorId="1" shapeId="0" xr:uid="{00000000-0006-0000-0100-000046000000}">
      <text>
        <r>
          <rPr>
            <b/>
            <sz val="9"/>
            <color indexed="81"/>
            <rFont val="Tahoma"/>
            <family val="2"/>
            <charset val="204"/>
          </rPr>
          <t>олово 38-42%</t>
        </r>
      </text>
    </comment>
    <comment ref="F1323" authorId="1" shapeId="0" xr:uid="{00000000-0006-0000-0100-000047000000}">
      <text>
        <r>
          <rPr>
            <b/>
            <sz val="9"/>
            <color indexed="81"/>
            <rFont val="Tahoma"/>
            <family val="2"/>
            <charset val="204"/>
          </rPr>
          <t>олово 38-42%</t>
        </r>
      </text>
    </comment>
    <comment ref="F1326" authorId="1" shapeId="0" xr:uid="{00000000-0006-0000-0100-000048000000}">
      <text>
        <r>
          <rPr>
            <b/>
            <sz val="9"/>
            <color indexed="81"/>
            <rFont val="Tahoma"/>
            <family val="2"/>
            <charset val="204"/>
          </rPr>
          <t>олово 44-46%</t>
        </r>
      </text>
    </comment>
    <comment ref="F1328" authorId="1" shapeId="0" xr:uid="{00000000-0006-0000-0100-000049000000}">
      <text>
        <r>
          <rPr>
            <b/>
            <sz val="9"/>
            <color indexed="81"/>
            <rFont val="Tahoma"/>
            <family val="2"/>
            <charset val="204"/>
          </rPr>
          <t>олово 53-55%</t>
        </r>
      </text>
    </comment>
    <comment ref="F1331" authorId="1" shapeId="0" xr:uid="{00000000-0006-0000-0100-00004A000000}">
      <text>
        <r>
          <rPr>
            <b/>
            <sz val="9"/>
            <color indexed="81"/>
            <rFont val="Tahoma"/>
            <charset val="1"/>
          </rPr>
          <t>олово 63%, свинец 37%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1332" authorId="1" shapeId="0" xr:uid="{00000000-0006-0000-0100-00004B000000}">
      <text>
        <r>
          <rPr>
            <b/>
            <sz val="9"/>
            <color indexed="81"/>
            <rFont val="Tahoma"/>
            <charset val="1"/>
          </rPr>
          <t>олово 55%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1333" authorId="1" shapeId="0" xr:uid="{00000000-0006-0000-0100-00004C000000}">
      <text>
        <r>
          <rPr>
            <b/>
            <sz val="9"/>
            <color indexed="81"/>
            <rFont val="Tahoma"/>
            <family val="2"/>
            <charset val="204"/>
          </rPr>
          <t>олово 55-56%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346" authorId="0" shapeId="0" xr:uid="{00000000-0006-0000-0100-00004D000000}">
      <text>
        <r>
          <rPr>
            <b/>
            <sz val="9"/>
            <color indexed="81"/>
            <rFont val="Tahoma"/>
            <family val="2"/>
            <charset val="204"/>
          </rPr>
          <t>99,97%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347" authorId="0" shapeId="0" xr:uid="{00000000-0006-0000-0100-00004E000000}">
      <text>
        <r>
          <rPr>
            <b/>
            <sz val="9"/>
            <color indexed="81"/>
            <rFont val="Tahoma"/>
            <family val="2"/>
            <charset val="204"/>
          </rPr>
          <t>99,97%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  <author>evgeniy</author>
    <author>Genya</author>
  </authors>
  <commentList>
    <comment ref="F28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№13: АЛЮМИНИЙ                                                      1,49 
№22: ТИТАН                                                         3,74 
№24: ХРОМ                                                         12,74 
№25: МАРГАНЕЦ                                                      1,02 
№26: ЖЕЛЕЗО                                                       45,75 
№28: НИКЕЛЬ                                                       35,27</t>
        </r>
      </text>
    </comment>
    <comment ref="F31" authorId="0" shapeId="0" xr:uid="{00000000-0006-0000-0200-000002000000}">
      <text>
        <r>
          <rPr>
            <b/>
            <sz val="9"/>
            <color indexed="81"/>
            <rFont val="Tahoma"/>
            <family val="2"/>
            <charset val="204"/>
          </rPr>
          <t>№13: АЛЮМИНИЙ                                                      1,49 
№22: ТИТАН                                                         3,74 
№24: ХРОМ                                                         12,74 
№25: МАРГАНЕЦ                                                      1,02 
№26: ЖЕЛЕЗО                                                       45,75 
№28: НИКЕЛЬ                                                       35,27</t>
        </r>
      </text>
    </comment>
    <comment ref="F45" authorId="1" shapeId="0" xr:uid="{00000000-0006-0000-0200-000003000000}">
      <text>
        <r>
          <rPr>
            <b/>
            <sz val="9"/>
            <color indexed="81"/>
            <rFont val="Tahoma"/>
            <family val="2"/>
            <charset val="204"/>
          </rPr>
          <t xml:space="preserve">№14: КРЕМНИЙ                                                       1,48 
№22: ТИТАН                                                         0,27 
№24: ХРОМ                                                          4,48 
№25: МАРГАНЕЦ                                                      0,78 
№26: ЖЕЛЕЗО                                                       43,75 
№28: НИКЕЛЬ                                                       49,24 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61" authorId="2" shapeId="0" xr:uid="{00000000-0006-0000-0200-000004000000}">
      <text>
        <r>
          <rPr>
            <b/>
            <sz val="9"/>
            <color indexed="81"/>
            <rFont val="Tahoma"/>
            <family val="2"/>
            <charset val="204"/>
          </rPr>
          <t>№13: АЛЮМИНИЙ                                                      0,99 
№14: КРЕМНИЙ                                                       0,43 
№22: ТИТАН                                                         3,15 
№24: ХРОМ                                                         12,38 
№25: МАРГАНЕЦ                                                      1,14 
№26: ЖЕЛЕЗО                                                       45,92 
№28: НИКЕЛЬ                                                       35,99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F45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марганец 5,5
медь 2,7
железо 0,3
никель 91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itadm</author>
    <author>Hp</author>
    <author>Genya</author>
    <author>evgeniy</author>
  </authors>
  <commentList>
    <comment ref="F44" authorId="0" shapeId="0" xr:uid="{00000000-0006-0000-0400-000001000000}">
      <text>
        <r>
          <rPr>
            <b/>
            <sz val="9"/>
            <color indexed="81"/>
            <rFont val="Tahoma"/>
            <charset val="1"/>
          </rPr>
          <t>Grade 2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64" authorId="0" shapeId="0" xr:uid="{00000000-0006-0000-0400-000002000000}">
      <text>
        <r>
          <rPr>
            <b/>
            <sz val="9"/>
            <color indexed="81"/>
            <rFont val="Tahoma"/>
            <charset val="1"/>
          </rPr>
          <t>Grade 2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116" authorId="1" shapeId="0" xr:uid="{00000000-0006-0000-0400-000003000000}">
      <text>
        <r>
          <rPr>
            <b/>
            <sz val="9"/>
            <color indexed="81"/>
            <rFont val="Tahoma"/>
            <family val="2"/>
            <charset val="204"/>
          </rPr>
          <t>ал 4,3
ванадий 1,4
молибден 1
похожа на вт-5</t>
        </r>
      </text>
    </comment>
    <comment ref="F119" authorId="2" shapeId="0" xr:uid="{00000000-0006-0000-0400-000004000000}">
      <text>
        <r>
          <rPr>
            <b/>
            <sz val="9"/>
            <color indexed="81"/>
            <rFont val="Tahoma"/>
            <family val="2"/>
            <charset val="204"/>
          </rPr>
          <t>Образец: 11 - 133х25 - пт3В
   Дата съемки: 30.06.16 11:37
  Суммарная концентр-я 98,69%
————————————————————————————————————————————————————————————————————————
   Элемент                                                   Концентр-я 
                                                              норм.(%)  
————————————————————————————————————————————————————————————————————————
№13: АЛЮМИНИЙ                                                      3,88 
№22: ТИТАН                                                        94,24 
№23: ВАНАДИЙ                                                       1,55 
№26: ЖЕЛЕЗО                                                        0,33 
————————————————————————————————————————————————————————————————————————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31" authorId="2" shapeId="0" xr:uid="{00000000-0006-0000-0400-000005000000}">
      <text>
        <r>
          <rPr>
            <b/>
            <sz val="9"/>
            <color indexed="81"/>
            <rFont val="Tahoma"/>
            <family val="2"/>
            <charset val="204"/>
          </rPr>
          <t>анализ</t>
        </r>
      </text>
    </comment>
    <comment ref="F153" authorId="3" shapeId="0" xr:uid="{00000000-0006-0000-0400-000006000000}">
      <text>
        <r>
          <rPr>
            <b/>
            <sz val="9"/>
            <color indexed="81"/>
            <rFont val="Tahoma"/>
            <family val="2"/>
            <charset val="204"/>
          </rPr>
          <t>олово 2,7
алюм - 4,7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29" authorId="3" shapeId="0" xr:uid="{00000000-0006-0000-0400-000007000000}">
      <text>
        <r>
          <rPr>
            <b/>
            <sz val="9"/>
            <color indexed="81"/>
            <rFont val="Tahoma"/>
            <family val="2"/>
            <charset val="204"/>
          </rPr>
          <t>№13: АЛЮМИНИЙ                                                      4,49 
№22: ТИТАН                                                        94,17 
№25: МАРГАНЕЦ                                                      1,15 
№26: ЖЕЛЕЗО                                                        0,18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33" authorId="1" shapeId="0" xr:uid="{00000000-0006-0000-0400-000008000000}">
      <text>
        <r>
          <rPr>
            <b/>
            <sz val="9"/>
            <color indexed="81"/>
            <rFont val="Tahoma"/>
            <family val="2"/>
            <charset val="204"/>
          </rPr>
          <t>№13: АЛЮМИНИЙ                                                      4,98 
№22: ТИТАН                                                        89,54 
№23: ВАНАДИЙ                                                       1,69 
№26: ЖЕЛЕЗО                                                         0,5 
№40: ЦИРКОНИЙ                                                      0,23 
№42: МОЛИБДЕН                                                      3,05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50" authorId="1" shapeId="0" xr:uid="{00000000-0006-0000-0400-000009000000}">
      <text>
        <r>
          <rPr>
            <b/>
            <sz val="9"/>
            <color indexed="81"/>
            <rFont val="Tahoma"/>
            <family val="2"/>
            <charset val="204"/>
          </rPr>
          <t xml:space="preserve">№13: АЛЮМИНИЙ                                                      4,88 
№22: ТИТАН                                                        89,78 
№23: ВАНАДИЙ                                                       1,78 
№26: ЖЕЛЕЗО                                                         0,4 
№42: МОЛИБДЕН                                                      3,15 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57" authorId="1" shapeId="0" xr:uid="{00000000-0006-0000-0400-00000A000000}">
      <text>
        <r>
          <rPr>
            <sz val="9"/>
            <color indexed="81"/>
            <rFont val="Tahoma"/>
            <family val="2"/>
            <charset val="204"/>
          </rPr>
          <t xml:space="preserve">1,19м
№13: АЛЮМИНИЙ                                                      6,48 
№14: КРЕМНИЙ                                                       0,38 
№22: ТИТАН                                                        88,38 
№24: ХРОМ                                                          1,93 
№26: ЖЕЛЕЗО                                                         0,6 
№42: МОЛИБДЕН                                                      2,23 
</t>
        </r>
      </text>
    </comment>
    <comment ref="F258" authorId="2" shapeId="0" xr:uid="{00000000-0006-0000-0400-00000B000000}">
      <text>
        <r>
          <rPr>
            <b/>
            <sz val="9"/>
            <color indexed="81"/>
            <rFont val="Tahoma"/>
            <family val="2"/>
            <charset val="204"/>
          </rPr>
          <t>анализ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62" authorId="1" shapeId="0" xr:uid="{00000000-0006-0000-0400-00000C000000}">
      <text>
        <r>
          <rPr>
            <b/>
            <sz val="9"/>
            <color indexed="81"/>
            <rFont val="Tahoma"/>
            <family val="2"/>
            <charset val="204"/>
          </rPr>
          <t xml:space="preserve">№13: АЛЮМИНИЙ                                                      4,12 
№22: ТИТАН                                                        95,55 
№26: ЖЕЛЕЗО                                                        0,23 
кремний 0,1
</t>
        </r>
      </text>
    </comment>
    <comment ref="F263" authorId="1" shapeId="0" xr:uid="{00000000-0006-0000-0400-00000D000000}">
      <text>
        <r>
          <rPr>
            <b/>
            <sz val="9"/>
            <color indexed="81"/>
            <rFont val="Tahoma"/>
            <family val="2"/>
            <charset val="204"/>
          </rPr>
          <t xml:space="preserve">№13: АЛЮМИНИЙ                                                      5,44 
№22: ТИТАН                                                        89,53 
№23: ВАНАДИЙ                                                       4,64 
№26: ЖЕЛЕЗО                                                        0,39 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69" authorId="2" shapeId="0" xr:uid="{00000000-0006-0000-0400-00000E000000}">
      <text>
        <r>
          <rPr>
            <b/>
            <sz val="9"/>
            <color indexed="81"/>
            <rFont val="Tahoma"/>
            <family val="2"/>
            <charset val="204"/>
          </rPr>
          <t>№13: АЛЮМИНИЙ                                                      5,68 
№14: КРЕМНИЙ                                                       0,45 
№22: ТИТАН                                                        89,85 
№24: ХРОМ                                                          1,21 
№26: ЖЕЛЕЗО                                                        0,67 
№42: МОЛИБДЕН                                                      2,15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70" authorId="2" shapeId="0" xr:uid="{00000000-0006-0000-0400-00000F000000}">
      <text>
        <r>
          <rPr>
            <b/>
            <sz val="9"/>
            <color indexed="81"/>
            <rFont val="Tahoma"/>
            <family val="2"/>
            <charset val="204"/>
          </rPr>
          <t xml:space="preserve"> Образец: 5 - ф30 - вт3-1
   Дата съемки: 30.06.16 11:16
  Суммарная концентр-я 96,53%
————————————————————————————————————————————————————————————————————————
   Элемент                                                   Концентр-я 
                                                              норм.(%)  
————————————————————————————————————————————————————————————————————————
№13: АЛЮМИНИЙ                                                      5,81 
№14: КРЕМНИЙ                                                       1,37 
№22: ТИТАН                                                        88,03 
№24: ХРОМ                                                          1,62 
№26: ЖЕЛЕЗО                                                        0,43 
№42: МОЛИБДЕН                                                      2,74 
————————————————————————————————————————————————————————————————————————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81" authorId="1" shapeId="0" xr:uid="{00000000-0006-0000-0400-000010000000}">
      <text>
        <r>
          <rPr>
            <b/>
            <sz val="9"/>
            <color indexed="81"/>
            <rFont val="Tahoma"/>
            <family val="2"/>
            <charset val="204"/>
          </rPr>
          <t>№13: АЛЮМИНИЙ                                                      5,85 
№14: КРЕМНИЙ                                                        0,4 
№22: ТИТАН                                                         89,2 
№24: ХРОМ                                                          1,49 
№26: ЖЕЛЕЗО                                                        0,77 
№42: МОЛИБДЕН                                                       2,3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311" authorId="1" shapeId="0" xr:uid="{00000000-0006-0000-0400-000011000000}">
      <text>
        <r>
          <rPr>
            <b/>
            <sz val="9"/>
            <color indexed="81"/>
            <rFont val="Tahoma"/>
            <family val="2"/>
            <charset val="204"/>
          </rPr>
          <t>№13: АЛЮМИНИЙ                                                      3,87 
№14: КРЕМНИЙ                                                       0,19 
№22: ТИТАН                                                        94,36 
№25: МАРГАНЕЦ                                                      1,35 
№26: ЖЕЛЕЗО                                                        0,22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317" authorId="1" shapeId="0" xr:uid="{00000000-0006-0000-0400-000012000000}">
      <text>
        <r>
          <rPr>
            <b/>
            <sz val="9"/>
            <color indexed="81"/>
            <rFont val="Tahoma"/>
            <family val="2"/>
            <charset val="204"/>
          </rPr>
          <t>№13: АЛЮМИНИЙ                                                      5,48 
№22: ТИТАН                                                        89,33 
№23: ВАНАДИЙ                                                       1,42 
№26: ЖЕЛЕЗО                                                        0,32 
№42: МОЛИБДЕН                                                      3,44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332" authorId="2" shapeId="0" xr:uid="{00000000-0006-0000-0400-000013000000}">
      <text>
        <r>
          <rPr>
            <b/>
            <sz val="9"/>
            <color indexed="81"/>
            <rFont val="Tahoma"/>
            <family val="2"/>
            <charset val="204"/>
          </rPr>
          <t xml:space="preserve">2,71м
№13: АЛЮМИНИЙ                                                       4,7 
№22: ТИТАН                                                        89,39 
№23: ВАНАДИЙ                                                       1,92 
№40: ЦИРКОНИЙ                                                       0,5 
№42: МОЛИБДЕН                                                      3,49 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352" authorId="3" shapeId="0" xr:uid="{00000000-0006-0000-0400-000014000000}">
      <text>
        <r>
          <rPr>
            <b/>
            <sz val="9"/>
            <color indexed="81"/>
            <rFont val="Tahoma"/>
            <family val="2"/>
            <charset val="204"/>
          </rPr>
          <t>№13: АЛЮМИНИЙ                                                      5,31 
№14: КРЕМНИЙ                                                       0,12 
№22: ТИТАН                                                         89,2 
№23: ВАНАДИЙ                                                       1,87 
№42: МОЛИБДЕН                                                       3,5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367" authorId="1" shapeId="0" xr:uid="{00000000-0006-0000-0400-000015000000}">
      <text>
        <r>
          <rPr>
            <b/>
            <sz val="9"/>
            <color indexed="81"/>
            <rFont val="Tahoma"/>
            <family val="2"/>
            <charset val="204"/>
          </rPr>
          <t xml:space="preserve">анализ 27.07.17
№13: АЛЮМИНИЙ                                                      4,47 
№14: КРЕМНИЙ                                                       0,24 
№22: ТИТАН                                                        94,78 
№26: ЖЕЛЕЗО                                                        0,52 
</t>
        </r>
      </text>
    </comment>
    <comment ref="F371" authorId="2" shapeId="0" xr:uid="{00000000-0006-0000-0400-000016000000}">
      <text>
        <r>
          <rPr>
            <b/>
            <sz val="9"/>
            <color indexed="81"/>
            <rFont val="Tahoma"/>
            <family val="2"/>
            <charset val="204"/>
          </rPr>
          <t>Образец: 15 - ф72 - от-4
   Дата съемки: 30.06.16 11:47
  Суммарная концентр-я 105,82%
————————————————————————————————————————————————————————————————————————
   Элемент                                                   Концентр-я 
                                                              норм.(%)  
————————————————————————————————————————————————————————————————————————
№13: АЛЮМИНИЙ                                                      4,02 
№22: ТИТАН                                                         94,5 
№25: МАРГАНЕЦ                                                      1,26 
№26: ЖЕЛЕЗО                                                        0,21 
————————————————————————————————————————————————————————————————————————</t>
        </r>
      </text>
    </comment>
    <comment ref="F375" authorId="1" shapeId="0" xr:uid="{00000000-0006-0000-0400-000017000000}">
      <text>
        <r>
          <rPr>
            <b/>
            <sz val="9"/>
            <color indexed="81"/>
            <rFont val="Tahoma"/>
            <family val="2"/>
            <charset val="204"/>
          </rPr>
          <t>ал - 7
ванадий 4,8
цирконий 1,7
титан 85</t>
        </r>
      </text>
    </comment>
    <comment ref="F380" authorId="1" shapeId="0" xr:uid="{00000000-0006-0000-0400-000018000000}">
      <text>
        <r>
          <rPr>
            <b/>
            <sz val="9"/>
            <color indexed="81"/>
            <rFont val="Tahoma"/>
            <family val="2"/>
            <charset val="204"/>
          </rPr>
          <t>титан 85; ванадий 9,6, алюминий 3,5, железо 1,6</t>
        </r>
        <r>
          <rPr>
            <sz val="9"/>
            <color indexed="81"/>
            <rFont val="Tahoma"/>
            <family val="2"/>
            <charset val="204"/>
          </rPr>
          <t xml:space="preserve">
маркировка </t>
        </r>
      </text>
    </comment>
    <comment ref="F395" authorId="2" shapeId="0" xr:uid="{00000000-0006-0000-0400-000019000000}">
      <text>
        <r>
          <rPr>
            <b/>
            <sz val="9"/>
            <color indexed="81"/>
            <rFont val="Tahoma"/>
            <family val="2"/>
            <charset val="204"/>
          </rPr>
          <t>Образец: 16 - ф80 - пт3в
   Дата съемки: 30.06.16 11:53
  Суммарная концентр-я 90,49%
————————————————————————————————————————————————————————————————————————
   Элемент                                                   Концентр-я 
                                                              норм.(%)  
————————————————————————————————————————————————————————————————————————
№13: АЛЮМИНИЙ                                                      4,15 
№14: КРЕМНИЙ                                                       0,21 
№22: ТИТАН                                                        94,23 
№23: ВАНАДИЙ                                                       1,15 
№26: ЖЕЛЕЗО                                                        0,27 
————————————————————————————————————————————————————————————————————————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405" authorId="2" shapeId="0" xr:uid="{00000000-0006-0000-0400-00001A000000}">
      <text>
        <r>
          <rPr>
            <b/>
            <sz val="9"/>
            <color indexed="81"/>
            <rFont val="Tahoma"/>
            <family val="2"/>
            <charset val="204"/>
          </rPr>
          <t>№13: АЛЮМИНИЙ                                                      5,31 
№22: ТИТАН                                                        82,03 
№24: ХРОМ                                                          1,04 
№23: ВАНАДИЙ                                                       5,31 
№26: ЖЕЛЕЗО                                                        1,16 
№42: МОЛИБДЕН                                                      5,15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426" authorId="1" shapeId="0" xr:uid="{00000000-0006-0000-0400-00001B000000}">
      <text>
        <r>
          <rPr>
            <b/>
            <sz val="9"/>
            <color indexed="81"/>
            <rFont val="Tahoma"/>
            <family val="2"/>
            <charset val="204"/>
          </rPr>
          <t>№13: АЛЮМИНИЙ                                                      2,5 
№22: ТИТАН                                                        94,81 
№26: ЖЕЛЕЗО                                                        0,24 
№40: ЦИРКОНИЙ                                                      2,45</t>
        </r>
      </text>
    </comment>
    <comment ref="F439" authorId="3" shapeId="0" xr:uid="{00000000-0006-0000-0400-00001C000000}">
      <text>
        <r>
          <rPr>
            <b/>
            <sz val="9"/>
            <color indexed="81"/>
            <rFont val="Tahoma"/>
            <family val="2"/>
            <charset val="204"/>
          </rPr>
          <t>№13: АЛЮМИНИЙ                                                      2,43 
№22: ТИТАН                                                        94,72 
№40: ЦИРКОНИЙ                                                      2,85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440" authorId="2" shapeId="0" xr:uid="{00000000-0006-0000-0400-00001D000000}">
      <text>
        <r>
          <rPr>
            <b/>
            <sz val="9"/>
            <color indexed="81"/>
            <rFont val="Tahoma"/>
            <family val="2"/>
            <charset val="204"/>
          </rPr>
          <t>1,58м
№13: АЛЮМИНИЙ                                                      5,69 
№14: КРЕМНИЙ                                                       0,17 
№22: ТИТАН                                                        89,28 
№24: ХРОМ                                                          1,86 
№26: ЖЕЛЕЗО                                                        0,64 
№42: МОЛИБДЕН                                                      2,36</t>
        </r>
      </text>
    </comment>
    <comment ref="F442" authorId="2" shapeId="0" xr:uid="{00000000-0006-0000-0400-00001E000000}">
      <text>
        <r>
          <rPr>
            <b/>
            <sz val="9"/>
            <color indexed="81"/>
            <rFont val="Tahoma"/>
            <family val="2"/>
            <charset val="204"/>
          </rPr>
          <t>№13: АЛЮМИНИЙ                                                      5,68 
№22: ТИТАН                                                         90,2 
№23: ВАНАДИЙ                                                       3,64 
№26: ЖЕЛЕЗО                                                        0,48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443" authorId="2" shapeId="0" xr:uid="{00000000-0006-0000-0400-00001F000000}">
      <text>
        <r>
          <rPr>
            <b/>
            <sz val="9"/>
            <color indexed="81"/>
            <rFont val="Tahoma"/>
            <family val="2"/>
            <charset val="204"/>
          </rPr>
          <t>молик 3,8
тит 88
алюм 7
жел 0,3
кремний 0,4</t>
        </r>
      </text>
    </comment>
    <comment ref="F454" authorId="1" shapeId="0" xr:uid="{00000000-0006-0000-0400-000020000000}">
      <text>
        <r>
          <rPr>
            <b/>
            <sz val="9"/>
            <color indexed="81"/>
            <rFont val="Tahoma"/>
            <family val="2"/>
            <charset val="204"/>
          </rPr>
          <t>№13: АЛЮМИНИЙ                                                      5,72 
№22: ТИТАН                                                        88,77 
№23: ВАНАДИЙ                                                        1,6 
№26: ЖЕЛЕЗО                                                        0,35 
№40: ЦИРКОНИЙ                                                      1,93 
№42: МОЛИБДЕН                                                      1,64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456" authorId="2" shapeId="0" xr:uid="{00000000-0006-0000-0400-000021000000}">
      <text>
        <r>
          <rPr>
            <b/>
            <sz val="9"/>
            <color indexed="81"/>
            <rFont val="Tahoma"/>
            <family val="2"/>
            <charset val="204"/>
          </rPr>
          <t xml:space="preserve"> Образец: 3 - ф190 - вт-14
   Дата съемки: 30.06.16 11:06
  Суммарная концентр-я 72,74%
————————————————————————————————————————————————————————————————————————
   Элемент                                                   Концентр-я 
                                                              норм.(%)  
————————————————————————————————————————————————————————————————————————
№13: АЛЮМИНИЙ                                                      4,21 
№22: ТИТАН                                                        89,36 
№23: ВАНАДИЙ                                                       1,61 
№26: ЖЕЛЕЗО                                                           1 
№42: МОЛИБДЕН                                                      3,82 
————————————————————————————————————————————————————————————————————————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475" authorId="1" shapeId="0" xr:uid="{00000000-0006-0000-0400-000022000000}">
      <text>
        <r>
          <rPr>
            <b/>
            <sz val="9"/>
            <color indexed="81"/>
            <rFont val="Tahoma"/>
            <family val="2"/>
            <charset val="204"/>
          </rPr>
          <t>алюм 3,2
ванадий 1,4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E6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№14: КРЕМНИЙ                                                       0,95 
№22: ТИТАН                                                         0,86 
№24: ХРОМ                                                         18,51 
№25: МАРГАНЕЦ                                                      0,01 
№26: ЖЕЛЕЗО                                                       69,61 
№28: НИКЕЛЬ                                                        9,91 
№42: МОЛИБДЕН                                                      0,15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<sst xmlns="http://schemas.openxmlformats.org/spreadsheetml/2006/main" count="11263" uniqueCount="5420">
  <si>
    <t>ХН62ВМКЮ</t>
  </si>
  <si>
    <t>10Х17Н13М2Т</t>
  </si>
  <si>
    <t xml:space="preserve">ХН77ТЮР </t>
  </si>
  <si>
    <t>ХН77ТЮР</t>
  </si>
  <si>
    <t xml:space="preserve">Круг  105 мм -  1,17м(80,7кг); 1,17м(80,4кг) - по  1шт    </t>
  </si>
  <si>
    <t>ХН26ВМБ</t>
  </si>
  <si>
    <t>08Х22Н6Т</t>
  </si>
  <si>
    <t>ВТ-6</t>
  </si>
  <si>
    <t>ПТ-7М</t>
  </si>
  <si>
    <t>БРОФ</t>
  </si>
  <si>
    <t>НП-2</t>
  </si>
  <si>
    <t>Никель карточка (б\у, обсоски)</t>
  </si>
  <si>
    <t>20Х20Н14С2</t>
  </si>
  <si>
    <t>20Х25Н13</t>
  </si>
  <si>
    <t>ВТ3-1</t>
  </si>
  <si>
    <t xml:space="preserve">Проволока   ф 0,9мм  - 7,9кг   -  1 бухта </t>
  </si>
  <si>
    <t>ХН67МВТЮ</t>
  </si>
  <si>
    <t>08Х17Н13М2</t>
  </si>
  <si>
    <t>ОЦС</t>
  </si>
  <si>
    <t>титан</t>
  </si>
  <si>
    <t xml:space="preserve">Наименование    </t>
  </si>
  <si>
    <t>ОТ4-1</t>
  </si>
  <si>
    <t>Кол-во, шт</t>
  </si>
  <si>
    <t>АЛЮМЕЛЬ</t>
  </si>
  <si>
    <t>БРБ-2</t>
  </si>
  <si>
    <t>ХН38ВТ</t>
  </si>
  <si>
    <t>ХРОМЕЛЬ</t>
  </si>
  <si>
    <t>15Х18Н12С4ТЮ</t>
  </si>
  <si>
    <t>ВТ-14</t>
  </si>
  <si>
    <t xml:space="preserve">12Х18Н10Т </t>
  </si>
  <si>
    <t>10Х23Н18</t>
  </si>
  <si>
    <t xml:space="preserve">08Х17Н13М2Т </t>
  </si>
  <si>
    <t>07Х15Н30В5М2</t>
  </si>
  <si>
    <t xml:space="preserve">08Х17Н13М2 </t>
  </si>
  <si>
    <t xml:space="preserve">Проволока   0,16мм    -   1  катушка    </t>
  </si>
  <si>
    <t>08Х20Н14С2</t>
  </si>
  <si>
    <t xml:space="preserve">ХН32Т </t>
  </si>
  <si>
    <t>ПТ-3В</t>
  </si>
  <si>
    <t>02Х8Н22С6</t>
  </si>
  <si>
    <t>ВТ-22</t>
  </si>
  <si>
    <t>12Х25Н16Г7АР</t>
  </si>
  <si>
    <t>Х20Н80</t>
  </si>
  <si>
    <t xml:space="preserve">10Х17Н13М2Т </t>
  </si>
  <si>
    <t>ХН60ВТ</t>
  </si>
  <si>
    <t>36Х18Н25С2</t>
  </si>
  <si>
    <t>20Х25Н20С2</t>
  </si>
  <si>
    <t>Проволока   1,5мм    -        1,9кг; 0,8кг - по 1-й бухте</t>
  </si>
  <si>
    <t>03Х21Н32М3Б</t>
  </si>
  <si>
    <t>алюминий</t>
  </si>
  <si>
    <t>Х15Н60</t>
  </si>
  <si>
    <t>МК</t>
  </si>
  <si>
    <t>ХН28В5М3БАР</t>
  </si>
  <si>
    <t>ВТ1-2</t>
  </si>
  <si>
    <t>КД-0</t>
  </si>
  <si>
    <t>???????</t>
  </si>
  <si>
    <t>09Х16Н4Б</t>
  </si>
  <si>
    <t>20Х23Н18</t>
  </si>
  <si>
    <t>08Х18Н10</t>
  </si>
  <si>
    <t>08Х17Т</t>
  </si>
  <si>
    <t xml:space="preserve">08Х18Н10 </t>
  </si>
  <si>
    <t>Фланец 485\178мм - толщ 8мм - по  10кг</t>
  </si>
  <si>
    <t>12Х18Н12Т</t>
  </si>
  <si>
    <t>08Х18Н10Т</t>
  </si>
  <si>
    <t>ХН35ВТЮ</t>
  </si>
  <si>
    <t>30Х13</t>
  </si>
  <si>
    <t>МНЖКТ</t>
  </si>
  <si>
    <t>Р6М5</t>
  </si>
  <si>
    <t>ВТ1-0</t>
  </si>
  <si>
    <t>12Х21Н5Т</t>
  </si>
  <si>
    <t>10Х11Н23ТЗМР</t>
  </si>
  <si>
    <t>36НХТЮ</t>
  </si>
  <si>
    <t>08Х17Н13М2Т</t>
  </si>
  <si>
    <t>ХН70МВТЮБ</t>
  </si>
  <si>
    <t>ВТ-20</t>
  </si>
  <si>
    <t>БРХ-1</t>
  </si>
  <si>
    <t xml:space="preserve"> 08Х18Н10 </t>
  </si>
  <si>
    <t>12Х18Н10Т</t>
  </si>
  <si>
    <t xml:space="preserve">Марка </t>
  </si>
  <si>
    <t>№</t>
  </si>
  <si>
    <t>Кол-во, кг</t>
  </si>
  <si>
    <t>20Х13</t>
  </si>
  <si>
    <t>ЛС-59</t>
  </si>
  <si>
    <t>медь</t>
  </si>
  <si>
    <t>Л-63</t>
  </si>
  <si>
    <t>БРАЖ</t>
  </si>
  <si>
    <t>ХН78Т</t>
  </si>
  <si>
    <t>Н1У</t>
  </si>
  <si>
    <t>14Х17Н2</t>
  </si>
  <si>
    <t>ХН32Т</t>
  </si>
  <si>
    <t>АМГ-6</t>
  </si>
  <si>
    <t xml:space="preserve">БРАЖ </t>
  </si>
  <si>
    <t>Ц0</t>
  </si>
  <si>
    <t>Б-16</t>
  </si>
  <si>
    <t>Б-83</t>
  </si>
  <si>
    <t>99,9% молибден</t>
  </si>
  <si>
    <t>ОТ-4</t>
  </si>
  <si>
    <t>40Х13</t>
  </si>
  <si>
    <t>ВТ5-1</t>
  </si>
  <si>
    <t>Круг  60 мм  -  1,33м(17,9кг) - 1шт тянутый</t>
  </si>
  <si>
    <t>ПТ-1М</t>
  </si>
  <si>
    <t xml:space="preserve">Труба  133 х 25  - 0,85м(31,4кг на 0,71м - раковина); 0,85м(31кг) - по 1шт </t>
  </si>
  <si>
    <t>Никель карточка (катодный)</t>
  </si>
  <si>
    <t>03Х11Н8М2Ф</t>
  </si>
  <si>
    <t xml:space="preserve"> 08Х18Н10Т</t>
  </si>
  <si>
    <t>НПА</t>
  </si>
  <si>
    <t xml:space="preserve">Круг  100 мм  -  0,16м(5,8кг) - 1шт   клеймо   </t>
  </si>
  <si>
    <r>
      <t xml:space="preserve">Труба  25 х 2,2   -  2,2м(29,3кг)     длина не точно                               </t>
    </r>
    <r>
      <rPr>
        <b/>
        <sz val="10"/>
        <rFont val="Arial"/>
        <family val="2"/>
        <charset val="204"/>
      </rPr>
      <t>ЭИ-943</t>
    </r>
  </si>
  <si>
    <t>ХН75МБТЮ</t>
  </si>
  <si>
    <t>задвижка 250мм   давление 16. новая, строит размер 450мм</t>
  </si>
  <si>
    <t>ХН70Ю</t>
  </si>
  <si>
    <t>МНЖМц30-1-1</t>
  </si>
  <si>
    <t>БРКМЦ3-1</t>
  </si>
  <si>
    <t>индий олово свинец</t>
  </si>
  <si>
    <t>Полоса        2х60мм    бухта 19,5кг - 1шт</t>
  </si>
  <si>
    <t>никель</t>
  </si>
  <si>
    <t>42НХТЮ</t>
  </si>
  <si>
    <t>Круг  60 мм  -  0,69м(9,2кг - 0,63м - надрез) - 1шт тянутый</t>
  </si>
  <si>
    <t>Квадрат 30х40мм -  0,25м - 1шт  кривизна по длине</t>
  </si>
  <si>
    <t xml:space="preserve">Круг  61 мм -   0,17м(2,3кг) - 1шт     </t>
  </si>
  <si>
    <t>СП-19</t>
  </si>
  <si>
    <r>
      <t xml:space="preserve">Труба  28 х 2,7   -    1,94+1,98м=6,5кг; 3,88м(6,2кг)                  </t>
    </r>
    <r>
      <rPr>
        <b/>
        <sz val="10"/>
        <rFont val="Arial"/>
        <family val="2"/>
        <charset val="204"/>
      </rPr>
      <t xml:space="preserve"> ЭИ-943</t>
    </r>
  </si>
  <si>
    <t>Круг  110 мм - 1,36м(99кг); 1,3м(93,5кг); 1,26м(87кг промеряется как ф107мм)  клеймо</t>
  </si>
  <si>
    <t xml:space="preserve">Круг  120 мм    -  0,63м(34,1кг) - 1шт клеймо    </t>
  </si>
  <si>
    <t xml:space="preserve">Круг  139 мм    - 0,15м(10,4кг) - 1шт   </t>
  </si>
  <si>
    <t>50НХС</t>
  </si>
  <si>
    <t>12Х13</t>
  </si>
  <si>
    <t xml:space="preserve">Круг  35 мм  -    0,56м(3,4кг)  - 1шт клеймо    </t>
  </si>
  <si>
    <t xml:space="preserve">Круг  66 мм  -    0,83м(13,4кг)  - 1шт </t>
  </si>
  <si>
    <t>Д16Т</t>
  </si>
  <si>
    <t>ОТ4-0</t>
  </si>
  <si>
    <t>15Х25Т</t>
  </si>
  <si>
    <t xml:space="preserve">Круг   130 мм  - 1,25м(136,7кг); 1,44м(155,8кг); 1,2м(133,2кг) по 1шт  </t>
  </si>
  <si>
    <t>3М</t>
  </si>
  <si>
    <t xml:space="preserve">12Х18Н10 </t>
  </si>
  <si>
    <t>Круг  24 мм  -   0,92м(1,9кг) -  1шт    найти!!!!!!!!!!!</t>
  </si>
  <si>
    <t>13Х11Н2В2МФ</t>
  </si>
  <si>
    <r>
      <t xml:space="preserve">Круг  34 мм  -  1,25м(9,5кг)  -   1шт                             </t>
    </r>
    <r>
      <rPr>
        <b/>
        <sz val="10"/>
        <rFont val="Arial"/>
        <family val="2"/>
        <charset val="204"/>
      </rPr>
      <t>ЭП-202</t>
    </r>
  </si>
  <si>
    <t>Круг  89 мм -  0,61м(18,9кг) - 1шт   клеймо</t>
  </si>
  <si>
    <t>Круг  67 мм -   0,59м(9,2кг) - 1шт                    клеймо</t>
  </si>
  <si>
    <t>ОЗЛ-25Б</t>
  </si>
  <si>
    <t xml:space="preserve">08Х18Н10Т </t>
  </si>
  <si>
    <t>12Х18Н10Т ВД</t>
  </si>
  <si>
    <t>свинец олово висмут</t>
  </si>
  <si>
    <t>ВТ-8</t>
  </si>
  <si>
    <t>ЭА-395</t>
  </si>
  <si>
    <t>Труба  57 х 4,0    -  2,02м(6,1кг) -  1шт       найти!!!</t>
  </si>
  <si>
    <t xml:space="preserve">Круг  88* мм -  0,3м(9,6кг) - 1шт </t>
  </si>
  <si>
    <t>Труба  29х8-8,5  -    0,71м(3,5кг найти!!!!!!!!!)</t>
  </si>
  <si>
    <t>Молибден 60%</t>
  </si>
  <si>
    <t>Полоса        2,3х25мм     1 бухта    найти!!!!!!!!!!!</t>
  </si>
  <si>
    <t>Круг  34 мм  -   1,35м(5,9кг) - 1шт               маркирован</t>
  </si>
  <si>
    <t xml:space="preserve">Круг  112 мм  -  0,35м(15,4кг)  - 1шт </t>
  </si>
  <si>
    <t xml:space="preserve">Круг  250 мм  - 0,29м(66,1кг) - 1шт   4см проточка на ф238мм                       клеймо                    </t>
  </si>
  <si>
    <t>95Х18</t>
  </si>
  <si>
    <t xml:space="preserve">Круг  84 мм -  0,25м(33,8кг) - 5шт клеймо кованые   </t>
  </si>
  <si>
    <r>
      <t xml:space="preserve">Труба  76 х 3-3,5    -  2,5м(15кг) - 1шт                 </t>
    </r>
    <r>
      <rPr>
        <b/>
        <sz val="10"/>
        <rFont val="Arial"/>
        <family val="2"/>
        <charset val="204"/>
      </rPr>
      <t>ЭИ-943</t>
    </r>
  </si>
  <si>
    <r>
      <t xml:space="preserve">Труба  76 х 3,5    -   2,85м(по 17,9кг)  - 2шт                 </t>
    </r>
    <r>
      <rPr>
        <b/>
        <sz val="10"/>
        <rFont val="Arial"/>
        <family val="2"/>
        <charset val="204"/>
      </rPr>
      <t>ЭИ-943</t>
    </r>
  </si>
  <si>
    <t xml:space="preserve">08Х18Н10Б </t>
  </si>
  <si>
    <r>
      <t xml:space="preserve">Круг  34 мм   -  0,75м(5,9кг)  -   1шт                           клеймо  </t>
    </r>
    <r>
      <rPr>
        <b/>
        <sz val="10"/>
        <rFont val="Arial"/>
        <family val="2"/>
        <charset val="204"/>
      </rPr>
      <t xml:space="preserve">        ЭИ-827</t>
    </r>
  </si>
  <si>
    <t>Круг  68 мм - 0,64м(11кг) - 1шт   клеймо</t>
  </si>
  <si>
    <t>Проволока   1,6мм    -   0,4кг  -   спирали новые</t>
  </si>
  <si>
    <t>Квадрат 90х90мм -  0,55м(20,1кг) - 1шт                     клеймо</t>
  </si>
  <si>
    <t xml:space="preserve">12Х25Н16Г7АР </t>
  </si>
  <si>
    <t xml:space="preserve">Круг  70 мм -   1,73м(30,5кг клеймо); 0,76м(13,4кг) по 1шт            </t>
  </si>
  <si>
    <r>
      <t xml:space="preserve">Круг  120 мм  - 1,28м(108,6кг) - 1шт </t>
    </r>
    <r>
      <rPr>
        <b/>
        <sz val="10"/>
        <rFont val="Arial"/>
        <family val="2"/>
        <charset val="204"/>
      </rPr>
      <t xml:space="preserve">                               ЭИ-654</t>
    </r>
  </si>
  <si>
    <r>
      <t xml:space="preserve">Круг  125(120) мм   -  0,99м(91кг); 1,07м(99,7кг надрез 5мм на 0,12м)  - по 1шт </t>
    </r>
    <r>
      <rPr>
        <b/>
        <sz val="10"/>
        <rFont val="Arial"/>
        <family val="2"/>
        <charset val="204"/>
      </rPr>
      <t xml:space="preserve">   ЭИ-654</t>
    </r>
  </si>
  <si>
    <t xml:space="preserve">Чушка висмут    </t>
  </si>
  <si>
    <t xml:space="preserve">Круг  72 мм -  0,17м(3кг) - 1шт  </t>
  </si>
  <si>
    <t>ВТ-6с</t>
  </si>
  <si>
    <t>Круг  110 мм -  0,53м(23,5кг) - 1шт  клеймо</t>
  </si>
  <si>
    <t>Ванадий 50%</t>
  </si>
  <si>
    <t>Ванадий 80%</t>
  </si>
  <si>
    <t>Мн78%</t>
  </si>
  <si>
    <t>Круг  68 мм - 0,11м(1,8кг); 0,12м(2кг) по 1шт</t>
  </si>
  <si>
    <t>Труба  102 х 16,0     -   1,02м(35,8кг) - 1шт</t>
  </si>
  <si>
    <r>
      <t xml:space="preserve">Круг  110мм  -  0,93м(69,8кг клеймо); 1м(75,5кг); 1,05м(81кг клейм)  по 1шт    </t>
    </r>
    <r>
      <rPr>
        <b/>
        <sz val="10"/>
        <rFont val="Arial"/>
        <family val="2"/>
        <charset val="204"/>
      </rPr>
      <t xml:space="preserve"> ЭИ-654</t>
    </r>
  </si>
  <si>
    <t xml:space="preserve">Круг  140 мм  - 0,21м(14,7кг) - 1шт </t>
  </si>
  <si>
    <r>
      <t xml:space="preserve">Круг  120 мм  - 0,28м(27,1кг) - 1шт </t>
    </r>
    <r>
      <rPr>
        <b/>
        <sz val="10"/>
        <rFont val="Arial"/>
        <family val="2"/>
        <charset val="204"/>
      </rPr>
      <t xml:space="preserve">                               ЭИ-654</t>
    </r>
  </si>
  <si>
    <t xml:space="preserve">Проволока  2,8  мм    -   22,2кг  - 1  бухта    </t>
  </si>
  <si>
    <r>
      <t xml:space="preserve">Круг  124 мм   -  0,29м(30кг) - 1шт                 клеймо                   </t>
    </r>
    <r>
      <rPr>
        <b/>
        <sz val="10"/>
        <rFont val="Arial"/>
        <family val="2"/>
        <charset val="204"/>
      </rPr>
      <t xml:space="preserve">  ЭИ-868</t>
    </r>
  </si>
  <si>
    <t xml:space="preserve">Круг  85 мм - 0,8м(22,5кг); 0,48м(12,6кг)  по 1шт клеймо    </t>
  </si>
  <si>
    <t>Гайка американка по резьбу  ДУ100 (4") - 2шт</t>
  </si>
  <si>
    <t>99,9% вольфрам</t>
  </si>
  <si>
    <t>Лист латунный 3,0  мм - 0,6х1,5м - 1шт найти!!!!!</t>
  </si>
  <si>
    <t xml:space="preserve">08Х18Н10  </t>
  </si>
  <si>
    <t>Труба  32 х 6,0    -   1,79м(6,8кг)  -  1шт н\о</t>
  </si>
  <si>
    <t>ВТ-9</t>
  </si>
  <si>
    <t>Круг  58 мм -  0,71м(8,8кг) - 1шт     кованый</t>
  </si>
  <si>
    <r>
      <t xml:space="preserve">Проволока  3,0 мм  -  катушки по 25кг - 1шт       бирки     </t>
    </r>
    <r>
      <rPr>
        <b/>
        <sz val="10"/>
        <rFont val="Arial"/>
        <family val="2"/>
        <charset val="204"/>
      </rPr>
      <t>309-L</t>
    </r>
  </si>
  <si>
    <t>АВ</t>
  </si>
  <si>
    <t xml:space="preserve">Круг  140 мм  - 0,14м(10кг) - 1шт </t>
  </si>
  <si>
    <t>хром 0,25-й</t>
  </si>
  <si>
    <t>БрОЦ 4-3</t>
  </si>
  <si>
    <t>Труба  80 х 0,5  -  4,21м(2,9кг) -  1шт   найти!!!!</t>
  </si>
  <si>
    <t>Электрод ф 3 мм   Москва Симэл - 1 пачка - 5кг</t>
  </si>
  <si>
    <t xml:space="preserve">Круг  21 мм -  0,87м(1,4кг)  - 1шт  </t>
  </si>
  <si>
    <t>Проволока  0,4 мм  -   5,2кг -  1 бухта     жесткая  несколько концов</t>
  </si>
  <si>
    <t>МНЖ5-1</t>
  </si>
  <si>
    <t>Труба  12х2,5  -  1+1,97м=1,8кг</t>
  </si>
  <si>
    <t xml:space="preserve"> 08Х18Н10Т  </t>
  </si>
  <si>
    <t>06ХН28МДТ</t>
  </si>
  <si>
    <t>ХН46Б</t>
  </si>
  <si>
    <t xml:space="preserve">Круг  270 мм  - 34мм(9кг) - 1шт  </t>
  </si>
  <si>
    <t>Электрод ф 4 мм   Москва   5кг(найти!!!!)</t>
  </si>
  <si>
    <t>силиций 45%</t>
  </si>
  <si>
    <t>Круг  110 мм -  1м(44,2кг) - 1шт  клеймо</t>
  </si>
  <si>
    <t>силиций 65%</t>
  </si>
  <si>
    <t>08Х13</t>
  </si>
  <si>
    <t>хром 800-й</t>
  </si>
  <si>
    <t xml:space="preserve">03Х17Н13М2  </t>
  </si>
  <si>
    <r>
      <t xml:space="preserve">Квадрат  137х142х110мм(19,5кг клеймо </t>
    </r>
    <r>
      <rPr>
        <b/>
        <sz val="10"/>
        <rFont val="Arial"/>
        <family val="2"/>
        <charset val="204"/>
      </rPr>
      <t xml:space="preserve"> ЭИ-437БУ</t>
    </r>
    <r>
      <rPr>
        <b/>
        <sz val="8.3000000000000007"/>
        <rFont val="Arial"/>
        <family val="2"/>
        <charset val="204"/>
      </rPr>
      <t xml:space="preserve">); 133х135х180мм(25,8кг) по  1шт    </t>
    </r>
  </si>
  <si>
    <t xml:space="preserve">Медь катодная   </t>
  </si>
  <si>
    <t>07Х25Н16АГ6Ф</t>
  </si>
  <si>
    <t>Труба  12х1  -    2,02м(0,5кг найти!!!) - 1шт</t>
  </si>
  <si>
    <t xml:space="preserve"> молибден</t>
  </si>
  <si>
    <r>
      <t xml:space="preserve">Труба  48 х 2,0  - 3м(6,5кг)   -  1шт           сварная       </t>
    </r>
    <r>
      <rPr>
        <b/>
        <sz val="10"/>
        <rFont val="Arial"/>
        <family val="2"/>
        <charset val="204"/>
      </rPr>
      <t xml:space="preserve">    маркир  </t>
    </r>
  </si>
  <si>
    <t>вольфрам</t>
  </si>
  <si>
    <t>Лом вольфрам</t>
  </si>
  <si>
    <t xml:space="preserve">Круг  98 мм -   0,35м(23кг грязный ф102мм, есть проточка на ф98мм) - 1шт </t>
  </si>
  <si>
    <t xml:space="preserve">Круг  190 мм -  85мм(12,4кг) - 1шт  </t>
  </si>
  <si>
    <t xml:space="preserve">Круг  80 мм -  0,15м(3,6кг) по 1шт  </t>
  </si>
  <si>
    <t>АМГ-5М</t>
  </si>
  <si>
    <t xml:space="preserve">Круг  90 мм -   0,18м(5,4кг); 0,17м(5кг) по 1шт </t>
  </si>
  <si>
    <t>ВТ-16</t>
  </si>
  <si>
    <t xml:space="preserve">Лом бронзы   </t>
  </si>
  <si>
    <t>Проволока   0,55мм    -   11,5кг - 1  катушка</t>
  </si>
  <si>
    <t xml:space="preserve">Круг  80 мм    -  1,65м(38,2кг клеймо) - 1шт </t>
  </si>
  <si>
    <t xml:space="preserve">Круг  46 мм  -      0,49м(6,4кг найти!!!!)            </t>
  </si>
  <si>
    <t>хром 0-й</t>
  </si>
  <si>
    <t>Круг  68 мм -   1,32м(24,4кг) - 1шт     найти!!!!!!!!</t>
  </si>
  <si>
    <t>висмут</t>
  </si>
  <si>
    <t xml:space="preserve">Лист 18мм - 1х2,04м(170,7кг); 1х1м(85,4кг) по 1шт </t>
  </si>
  <si>
    <r>
      <t xml:space="preserve">Круг  255 мм  -  0,67м(293кг)  -   1шт     клеймо                             </t>
    </r>
    <r>
      <rPr>
        <b/>
        <sz val="10"/>
        <rFont val="Arial"/>
        <family val="2"/>
        <charset val="204"/>
      </rPr>
      <t>ЭП-202</t>
    </r>
  </si>
  <si>
    <t>Труба  32 х 5,0 - 1,96+2,11м=14,8кг</t>
  </si>
  <si>
    <t>Ni-54; Сr-40; Мо-1</t>
  </si>
  <si>
    <r>
      <t xml:space="preserve">Лист  11 мм  -    0,2х1м(18кг) -  1шт                                    </t>
    </r>
    <r>
      <rPr>
        <b/>
        <sz val="10"/>
        <rFont val="Arial"/>
        <family val="2"/>
        <charset val="204"/>
      </rPr>
      <t xml:space="preserve"> ЭП-202</t>
    </r>
  </si>
  <si>
    <t>Круг  24 мм -  0,76-1,22м; 1,34м - 1шт  маркированы</t>
  </si>
  <si>
    <r>
      <t>Круг  46 мм  -    1,11+1,2+1,21м=47,1кг</t>
    </r>
    <r>
      <rPr>
        <b/>
        <sz val="10"/>
        <rFont val="Arial"/>
        <family val="2"/>
        <charset val="204"/>
      </rPr>
      <t xml:space="preserve">     клеймо                  ЭП-750ш</t>
    </r>
  </si>
  <si>
    <r>
      <t xml:space="preserve">Круг  21 мм   -   0,94м(2,8кг)  -   1шт                                        </t>
    </r>
    <r>
      <rPr>
        <b/>
        <sz val="10"/>
        <rFont val="Arial"/>
        <family val="2"/>
        <charset val="204"/>
      </rPr>
      <t>ЭИ-867</t>
    </r>
  </si>
  <si>
    <t xml:space="preserve">ХН65МВ </t>
  </si>
  <si>
    <t>ЦАМ4-1</t>
  </si>
  <si>
    <t>АД</t>
  </si>
  <si>
    <t xml:space="preserve">Круг  100 мм    - 0,84м(53,4кг) - 1шт                               </t>
  </si>
  <si>
    <t>Проволока   2,0мм    -   2,6кг  -   спирали новые</t>
  </si>
  <si>
    <t>Проволока   4,5мм    -   5,8кг  -   спирали новые</t>
  </si>
  <si>
    <t>03Х17Н13М2</t>
  </si>
  <si>
    <t>Труба  32 х 2,0   -  2,71м(4кг) - 1шт</t>
  </si>
  <si>
    <t>Круг  85 мм  -  1,83м(82кг) - 1шт    клеймо</t>
  </si>
  <si>
    <t>Круг  20 мм  -                                                                        (найти 8,6кг!!!!)</t>
  </si>
  <si>
    <r>
      <t xml:space="preserve">Круг  45 мм  -   0,51+0,52м=13,7кг              клеймо </t>
    </r>
    <r>
      <rPr>
        <b/>
        <sz val="10"/>
        <rFont val="Arial"/>
        <family val="2"/>
        <charset val="204"/>
      </rPr>
      <t xml:space="preserve"> ЭП-750ш</t>
    </r>
  </si>
  <si>
    <t xml:space="preserve">Круг  39 мм -  0,26м(1,4кг)  - 1шт  </t>
  </si>
  <si>
    <t>Электрод ф 4 мм        -   3 пачки по 5кг Гефест, печати нет</t>
  </si>
  <si>
    <t>Круг  63-67 мм - 1,41м(21,7кг) - 1шт    клеймо</t>
  </si>
  <si>
    <t xml:space="preserve">Припой   ф8мм  - пруток       </t>
  </si>
  <si>
    <r>
      <t xml:space="preserve">Круг  38 мм  -   1,26+1,32м(24,5кг) - 2шт  клеймо    </t>
    </r>
    <r>
      <rPr>
        <sz val="10"/>
        <rFont val="Arial"/>
      </rPr>
      <t/>
    </r>
  </si>
  <si>
    <t>ВТ-5</t>
  </si>
  <si>
    <t>Лист  7,5 мм  -  блин ф1метр (46кг)</t>
  </si>
  <si>
    <r>
      <t xml:space="preserve">Круг  245 мм - 0,81м(184кг) - 1шт                          клеймо                         </t>
    </r>
    <r>
      <rPr>
        <b/>
        <sz val="10"/>
        <rFont val="Arial"/>
        <family val="2"/>
        <charset val="204"/>
      </rPr>
      <t>склад 2</t>
    </r>
  </si>
  <si>
    <t>Круг ф67мм  -    0,57м(16,2кг) -  1шт</t>
  </si>
  <si>
    <t xml:space="preserve">Труба  95 х 7,0   -  1,91м(29,5кг) - 1шт         </t>
  </si>
  <si>
    <t xml:space="preserve"> Х12</t>
  </si>
  <si>
    <t>В-95</t>
  </si>
  <si>
    <t xml:space="preserve">Феррохром 0,25-й  - </t>
  </si>
  <si>
    <t xml:space="preserve">Феррохром 800-й  - </t>
  </si>
  <si>
    <t xml:space="preserve">Ферросилиций 45% </t>
  </si>
  <si>
    <t xml:space="preserve">Ферросилиций 65% -  </t>
  </si>
  <si>
    <t>Ферромарганец 78-й -  новый</t>
  </si>
  <si>
    <t>12Х17</t>
  </si>
  <si>
    <t>Квадрат 40мм -  0,2м - 1шт</t>
  </si>
  <si>
    <t xml:space="preserve">Ферромолибден 60% -    </t>
  </si>
  <si>
    <t xml:space="preserve">Феррованадий 50%    -  </t>
  </si>
  <si>
    <t xml:space="preserve">08Х17Н13М2  </t>
  </si>
  <si>
    <r>
      <t xml:space="preserve">Труба  94 х 7,0    -   2,08м(33,1кг) -  1шт           </t>
    </r>
    <r>
      <rPr>
        <b/>
        <sz val="10"/>
        <rFont val="Arial"/>
        <family val="2"/>
        <charset val="204"/>
      </rPr>
      <t>ЭИ-943</t>
    </r>
  </si>
  <si>
    <t xml:space="preserve">БРОФ </t>
  </si>
  <si>
    <t xml:space="preserve">Круг  70 мм  -  0,57м(10,1кг) - 1шт   </t>
  </si>
  <si>
    <t>Труба  45 х 3,3 - 2+1,95м=13,3кг</t>
  </si>
  <si>
    <t>ХН50ВМТЮБ</t>
  </si>
  <si>
    <r>
      <t xml:space="preserve">Круг  140 мм  -   1,25м(151кг); 0,155м(19,2кг) по 1шт </t>
    </r>
    <r>
      <rPr>
        <b/>
        <sz val="10"/>
        <rFont val="Arial"/>
        <family val="2"/>
        <charset val="204"/>
      </rPr>
      <t xml:space="preserve"> ЭИ-654 клейма</t>
    </r>
  </si>
  <si>
    <t xml:space="preserve">ОЦС </t>
  </si>
  <si>
    <r>
      <t xml:space="preserve">Круг  57 мм  -  1,86м(36,9кг); 1,72м(34,3кг) по 1шт      клеймо       </t>
    </r>
    <r>
      <rPr>
        <b/>
        <sz val="10"/>
        <rFont val="Arial"/>
        <family val="2"/>
        <charset val="204"/>
      </rPr>
      <t xml:space="preserve"> ДИ-52вд                              </t>
    </r>
  </si>
  <si>
    <r>
      <t xml:space="preserve">Круг  250 мм  -  1,43м(550кг) - 1шт      клеймо       </t>
    </r>
    <r>
      <rPr>
        <b/>
        <sz val="10"/>
        <rFont val="Arial"/>
        <family val="2"/>
        <charset val="204"/>
      </rPr>
      <t xml:space="preserve"> ДИ-52вд             склад 6                         </t>
    </r>
  </si>
  <si>
    <r>
      <t xml:space="preserve">Круг  240 мм  -  1,34м(470кг) - 1шт      клеймо       </t>
    </r>
    <r>
      <rPr>
        <b/>
        <sz val="10"/>
        <rFont val="Arial"/>
        <family val="2"/>
        <charset val="204"/>
      </rPr>
      <t xml:space="preserve"> ДИ-52вд              склад 6                 </t>
    </r>
  </si>
  <si>
    <r>
      <t xml:space="preserve">Круг  140 мм  -  1,22м - 1шт      клеймо       </t>
    </r>
    <r>
      <rPr>
        <b/>
        <sz val="10"/>
        <rFont val="Arial"/>
        <family val="2"/>
        <charset val="204"/>
      </rPr>
      <t xml:space="preserve"> ДИ-52вд              склад 6                 </t>
    </r>
  </si>
  <si>
    <r>
      <t xml:space="preserve">Круг  26"+" мм   -  0,7м(по 3,1кг) - 2шт          клеймо                                      </t>
    </r>
    <r>
      <rPr>
        <b/>
        <sz val="10"/>
        <rFont val="Arial"/>
        <family val="2"/>
        <charset val="204"/>
      </rPr>
      <t xml:space="preserve">ЭИ-437     </t>
    </r>
    <r>
      <rPr>
        <b/>
        <sz val="8.3000000000000007"/>
        <rFont val="Arial"/>
        <family val="2"/>
        <charset val="204"/>
      </rPr>
      <t xml:space="preserve">                               </t>
    </r>
  </si>
  <si>
    <t>СиМн17%</t>
  </si>
  <si>
    <t xml:space="preserve">Электрод ф 4 мм        -   1 пачка по 5кг ЭКОПЛЮС </t>
  </si>
  <si>
    <t>Электрод ф 4 мм        -   4,6+5 пачки  Велдинтек</t>
  </si>
  <si>
    <r>
      <t xml:space="preserve">Труба  89 х 8,0   -  4,43м(68,1кг)  -  1шт   клеймо                                </t>
    </r>
    <r>
      <rPr>
        <b/>
        <sz val="10"/>
        <rFont val="Arial"/>
        <family val="2"/>
        <charset val="204"/>
      </rPr>
      <t>ЭИ-943</t>
    </r>
  </si>
  <si>
    <t xml:space="preserve">Лом молибден </t>
  </si>
  <si>
    <t>Д16п</t>
  </si>
  <si>
    <t xml:space="preserve">Феррованадий 80%  -  </t>
  </si>
  <si>
    <t xml:space="preserve">08Х17Н13М2Т  </t>
  </si>
  <si>
    <r>
      <t xml:space="preserve">Круг  36 мм  -   1-1,7м(278кг)   клеймо    </t>
    </r>
    <r>
      <rPr>
        <sz val="10"/>
        <rFont val="Arial"/>
      </rPr>
      <t/>
    </r>
  </si>
  <si>
    <t>Труба  100 х 13,5-14  -  3,74м(62,5кг) -  1шт  клеймо</t>
  </si>
  <si>
    <t>Круг  13 мм -   (найти 3,4кг!!!)</t>
  </si>
  <si>
    <t>ХН75ВМЮ</t>
  </si>
  <si>
    <r>
      <t xml:space="preserve">Круг  22 мм   -  0,72м(2,4кг) - 1шт           клеймо                                      </t>
    </r>
    <r>
      <rPr>
        <b/>
        <sz val="10"/>
        <rFont val="Arial"/>
        <family val="2"/>
        <charset val="204"/>
      </rPr>
      <t xml:space="preserve">ЭИ-437Б-ВД    </t>
    </r>
    <r>
      <rPr>
        <b/>
        <sz val="8.3000000000000007"/>
        <rFont val="Arial"/>
        <family val="2"/>
        <charset val="204"/>
      </rPr>
      <t xml:space="preserve">                               </t>
    </r>
  </si>
  <si>
    <t>36НХТЮ5М</t>
  </si>
  <si>
    <t>Труба  130 х 4,0 -                                                                                      3,93м(найти!!!) - 1шт</t>
  </si>
  <si>
    <t xml:space="preserve">Труба  40 х 3,5-4  -                                                                                2,75м(10кг найти!!!!) </t>
  </si>
  <si>
    <t xml:space="preserve">Чушка латунная   </t>
  </si>
  <si>
    <t>Проволока   0,5мм    -   0,4кг; 3,4кг - по 1-й бухте     много концов</t>
  </si>
  <si>
    <t>Круг  65 мм - 65мм(4,3кг) - 4шт    клеймо</t>
  </si>
  <si>
    <t xml:space="preserve">Круг  140 мм - 70мм(5,6кг) - 1шт     </t>
  </si>
  <si>
    <t>Лист  40 мм   - блин -                                                                    ф585мм(94,6кг найти!!!!) - 1шт</t>
  </si>
  <si>
    <t xml:space="preserve">Круг  120 мм  - 0,59м(30,6кг); 0,53м(28,6кг клеймо)  по 1шт </t>
  </si>
  <si>
    <t>Труба  76 х 4,5-5 -                                     5,57м(найти!!!!!!)</t>
  </si>
  <si>
    <t>Ферросиликомарганец 17-й    новый</t>
  </si>
  <si>
    <t>Круг  50 мм - 1,56м(13,7кг маркирован зел\черн торец) - 1шт</t>
  </si>
  <si>
    <t xml:space="preserve">45Х14Н14В2М </t>
  </si>
  <si>
    <r>
      <t xml:space="preserve">Лист  22 мм  -  блин ф900мм(105,5кг) - 1шт                                       </t>
    </r>
    <r>
      <rPr>
        <b/>
        <sz val="10"/>
        <rFont val="Arial"/>
        <family val="2"/>
        <charset val="204"/>
      </rPr>
      <t xml:space="preserve">  ЭИ-835</t>
    </r>
  </si>
  <si>
    <t>12Х18Н9</t>
  </si>
  <si>
    <t xml:space="preserve">ОТ-4 </t>
  </si>
  <si>
    <t>Круг  205 мм - 60мм(9,4кг) - 1шт       клеймо</t>
  </si>
  <si>
    <t xml:space="preserve">Лист  2,0 мм  -                    1х1,2м(19,6кг найти!!!!!!!!!!!); 0,47х1м(7,4кг  найти!!!!!) - 1шт  </t>
  </si>
  <si>
    <t>В-МП вольфрам</t>
  </si>
  <si>
    <r>
      <t xml:space="preserve">Круг  70 мм  -   0,92м(29кг на 120мм от края зарез на 7мм) - 1шт   </t>
    </r>
    <r>
      <rPr>
        <b/>
        <sz val="10"/>
        <rFont val="Arial"/>
        <family val="2"/>
        <charset val="204"/>
      </rPr>
      <t xml:space="preserve"> клеймо ЭИ-69</t>
    </r>
  </si>
  <si>
    <t xml:space="preserve">45Х14Н14В2М  </t>
  </si>
  <si>
    <t>36НХТЮ8М</t>
  </si>
  <si>
    <r>
      <t xml:space="preserve">Круг  90 мм -  0,99м(49,2кг клеймо) - 1шт     </t>
    </r>
    <r>
      <rPr>
        <b/>
        <sz val="10"/>
        <rFont val="Arial"/>
        <family val="2"/>
        <charset val="204"/>
      </rPr>
      <t xml:space="preserve"> </t>
    </r>
  </si>
  <si>
    <t>Круг   8,5 мм  -   2,43-2,8м(2,5кг)</t>
  </si>
  <si>
    <t>Круг  180 мм  - 105мм(21,2кг засверлен на 20мм)  - 1шт  чистовая длина 80мм</t>
  </si>
  <si>
    <t xml:space="preserve">Труба  6 х 2,0   -                                                                               5м(1кг найти!!!!!)   </t>
  </si>
  <si>
    <r>
      <t xml:space="preserve">Круг  32 мм   -  0,45м(3,1кг) - 1шт  н\о   клеймо       </t>
    </r>
    <r>
      <rPr>
        <b/>
        <sz val="10"/>
        <rFont val="Arial"/>
        <family val="2"/>
        <charset val="204"/>
      </rPr>
      <t>ЭП-126</t>
    </r>
  </si>
  <si>
    <t>Круг  49 мм -  1,16м(9,7кг) - 1шт  красный торец</t>
  </si>
  <si>
    <t>Сетка 0,2мм; ячейка 0,4мм; рулон 950мм ширина - 13,6кг</t>
  </si>
  <si>
    <t xml:space="preserve">Круг  60 мм - 1,17м(14,9кг маркир); 0,48м(6,2кг); 1,14м(14,8кг клеймо); 1,06м(14кг маркир); 1,1м(14,4кг); 1+1,16+1,14м=43,2кг; 0,74м(9,7кг); 1,09м(14,3кг); 1,06м(13,9кг); 1,27м(16,8кг) по 1шт  </t>
  </si>
  <si>
    <t>Круг  78 мм - 0,52м(11,9кг) - 1шт    клеймо</t>
  </si>
  <si>
    <t xml:space="preserve">Лист  5 мм  -                                             (0,54х2,29м - 49,1кг найти!!!!!!!!!)    </t>
  </si>
  <si>
    <t xml:space="preserve">Труба  85 х 4,0  - 3,47м(29,1кг); 4,52м(38,2кг); 4,03м(33,7кг); 3,46м(28,9кг) по 1шт            </t>
  </si>
  <si>
    <t>Труба  20 х 4,0   -                                                                               5,24-5,8м(5кг)  найти   !!!!!</t>
  </si>
  <si>
    <t>Лист латунный 3,0  мм - 0,6х0,5м(7,2кг без угла 40х250мм найти!!!!) - 1шт</t>
  </si>
  <si>
    <t xml:space="preserve">Круг  110 мм -  0,28м(12,1кг) - 1шт   </t>
  </si>
  <si>
    <t xml:space="preserve">Круг  100 мм -   1,12м(67кг); 0,84м(50,8кг) - по  1шт    </t>
  </si>
  <si>
    <r>
      <t xml:space="preserve">Круг  94 мм  - 1,38м(71,4кг) - 1шт </t>
    </r>
    <r>
      <rPr>
        <b/>
        <sz val="10"/>
        <rFont val="Arial"/>
        <family val="2"/>
        <charset val="204"/>
      </rPr>
      <t xml:space="preserve">     клеймо                  ЭИ-654</t>
    </r>
  </si>
  <si>
    <t xml:space="preserve">Труба  121 х 10 -  1,75м(46,6кг) - 1шт  </t>
  </si>
  <si>
    <t xml:space="preserve">Чушка  кадмий  </t>
  </si>
  <si>
    <t xml:space="preserve">Чушка бронзовая ОЦС  -    </t>
  </si>
  <si>
    <t xml:space="preserve">Д16Т </t>
  </si>
  <si>
    <t>Лист  84 мм   -  0,29х0,3м(59,3кг) - 1шт</t>
  </si>
  <si>
    <t>Ферросиликомарганец 17-й +78-й   копня</t>
  </si>
  <si>
    <t>Х23Ю5Т</t>
  </si>
  <si>
    <t>06Х15Н60М15</t>
  </si>
  <si>
    <t xml:space="preserve">Труба  40 х 4,5  -                                                                          2,6м(10,5кг найти!!!!!)  </t>
  </si>
  <si>
    <t>Круг  82 мм   -  1,02м(43,3кг) - 1шт   клеймо                      фехраль!!!!</t>
  </si>
  <si>
    <t xml:space="preserve">08Х17Н13М2   </t>
  </si>
  <si>
    <t xml:space="preserve">Круг  34-35 мм  -  1,79м(7,4кг) - 1шт             </t>
  </si>
  <si>
    <t>Круг  66 мм -   1,07м(16кг) - 1шт маркир краска</t>
  </si>
  <si>
    <t>АМГ-6М</t>
  </si>
  <si>
    <r>
      <t xml:space="preserve">Круг  172 мм  -  1м(184+184кг) по 1шт      </t>
    </r>
    <r>
      <rPr>
        <b/>
        <sz val="10"/>
        <rFont val="Arial"/>
        <family val="2"/>
        <charset val="204"/>
      </rPr>
      <t>склад 2</t>
    </r>
  </si>
  <si>
    <t xml:space="preserve">Лист  60 мм  -                                                                блин ф230мм(20,6кг) - 1шт      найти!!!!!!!!!!                                     </t>
  </si>
  <si>
    <t xml:space="preserve">Круг  97 мм -   1,31м(77,5кг); 0,33м(20кг) по 1шт </t>
  </si>
  <si>
    <t xml:space="preserve">Круг  140 мм  -  1,58м(110,4кг); 1,37м(96,7кг клеймо) по 1шт   </t>
  </si>
  <si>
    <t xml:space="preserve">Труба  10 х 2,5   -                                                3,3-6,9м(5кг найти!!!!!!!); 4,5-6м(17,5кг найти!!!!!!)   </t>
  </si>
  <si>
    <t xml:space="preserve">08Х17Н13М2Т   </t>
  </si>
  <si>
    <t>Д16</t>
  </si>
  <si>
    <r>
      <t xml:space="preserve">Проволока  4 мм  -   14,5кг - 1 бухта             бирка                 </t>
    </r>
    <r>
      <rPr>
        <b/>
        <sz val="10"/>
        <rFont val="Arial"/>
        <family val="2"/>
        <charset val="204"/>
      </rPr>
      <t xml:space="preserve"> ЭИ-602</t>
    </r>
  </si>
  <si>
    <t>АМГ-3</t>
  </si>
  <si>
    <t xml:space="preserve">Лист медный 1,0 мм -                                0,5х0,5м(2,2кг найти!!!!) </t>
  </si>
  <si>
    <t>20Х23Н13</t>
  </si>
  <si>
    <r>
      <t xml:space="preserve">Лист  45 мм  -   блин ф1400мм(568кг) - 1шт      н\о                                            </t>
    </r>
    <r>
      <rPr>
        <b/>
        <sz val="10"/>
        <rFont val="Arial"/>
        <family val="2"/>
        <charset val="204"/>
      </rPr>
      <t>склад 6</t>
    </r>
  </si>
  <si>
    <t>ПОС-40</t>
  </si>
  <si>
    <t xml:space="preserve">Круг  80 мм -  0,26м(6,4кг) - 1шт  </t>
  </si>
  <si>
    <t xml:space="preserve">Лом  кадмий                    (аноды 15кг найти!!!)                 </t>
  </si>
  <si>
    <t>Проволока  4,0  мм  -  73,6кг - 1 бухта</t>
  </si>
  <si>
    <t>03Х11Н10М2Т</t>
  </si>
  <si>
    <t>Анод никель 8мм - 150х700мм(7,3кг) - 1шт</t>
  </si>
  <si>
    <t xml:space="preserve">Круг  130 мм  -  0,22м(13,8кг) - 1шт </t>
  </si>
  <si>
    <t>Круг  160 мм  -  0,32м(31,7кг) - 1шт кованый, клеймо</t>
  </si>
  <si>
    <t xml:space="preserve">Труба  76 х 19  - 0,63м(9,7кг)  - 1шт   </t>
  </si>
  <si>
    <t xml:space="preserve">Труба  76 х 15  - 0,76м(9,5кг)  - 1шт   </t>
  </si>
  <si>
    <t>Припой - индий 14,5%; олово 41,7%; свинец 42,7%</t>
  </si>
  <si>
    <t xml:space="preserve">Круг  136 мм    - 0,18м(23,2кг) - 2шт   </t>
  </si>
  <si>
    <t>молибден ВМ1</t>
  </si>
  <si>
    <r>
      <t xml:space="preserve">Круг  40 мм    -  1,4м(15кг)  - 1шт          </t>
    </r>
    <r>
      <rPr>
        <b/>
        <sz val="10"/>
        <rFont val="Arial"/>
        <family val="2"/>
        <charset val="204"/>
      </rPr>
      <t xml:space="preserve"> ЧС-81</t>
    </r>
  </si>
  <si>
    <t xml:space="preserve">Круг  34 мм -   1,95м(8,4кг)  </t>
  </si>
  <si>
    <r>
      <t xml:space="preserve">Лист 40мм - </t>
    </r>
    <r>
      <rPr>
        <b/>
        <sz val="8.3000000000000007"/>
        <color indexed="10"/>
        <rFont val="Arial"/>
        <family val="2"/>
        <charset val="204"/>
      </rPr>
      <t xml:space="preserve"> </t>
    </r>
    <r>
      <rPr>
        <b/>
        <sz val="8.3000000000000007"/>
        <rFont val="Arial"/>
        <family val="2"/>
        <charset val="204"/>
      </rPr>
      <t xml:space="preserve">0,6х0,76м(77,7кг) - 1шт (без угла 90х380мм по длинной стороне)    маркирован </t>
    </r>
  </si>
  <si>
    <r>
      <t xml:space="preserve">Круг  160 мм  -  1,74м(270кг клеймо); 1,76м(270кг клеймо); 1,76+1,74+1,76м=830кг по 1шт       </t>
    </r>
    <r>
      <rPr>
        <b/>
        <sz val="10"/>
        <rFont val="Arial"/>
        <family val="2"/>
        <charset val="204"/>
      </rPr>
      <t xml:space="preserve"> клеймо  </t>
    </r>
    <r>
      <rPr>
        <b/>
        <sz val="10"/>
        <color indexed="10"/>
        <rFont val="Arial"/>
        <family val="2"/>
        <charset val="204"/>
      </rPr>
      <t xml:space="preserve">   </t>
    </r>
    <r>
      <rPr>
        <b/>
        <sz val="10"/>
        <rFont val="Arial"/>
        <family val="2"/>
        <charset val="204"/>
      </rPr>
      <t xml:space="preserve"> ЭП-678 увд    склад 6</t>
    </r>
  </si>
  <si>
    <t xml:space="preserve">Круг  130 мм  -  0,2м(12,3кг); 0,3м(18кг); 0,21м(12,8кг клеймо); 0,17м(10кг) по 1шт </t>
  </si>
  <si>
    <t>Труба  58х2,0  - 1,26м(4,4кг) - 1шт</t>
  </si>
  <si>
    <t xml:space="preserve">Штабик молибденовый  -  </t>
  </si>
  <si>
    <t>Труба  32 х 5,5  -                                                            ( 2,18; 2,85м по 1шт  найти!!!!!!!!!!!!)</t>
  </si>
  <si>
    <t>Труба  133 х 6-6,5  -                                          2,4м(44кг найти!!!);  2,5м(46,5кг найти!!!!)  по 1шт</t>
  </si>
  <si>
    <t xml:space="preserve">Круг  215 мм -  85мм(15,7кг) - 1шт        </t>
  </si>
  <si>
    <t xml:space="preserve">Круг  195 мм -  80мм(11кг) - 1шт        </t>
  </si>
  <si>
    <t>Круг  70 мм  -  0,37-0,42м(61,1кг) - 9шт</t>
  </si>
  <si>
    <t>Круг  70 мм  -   0,4м(8,3кг) - 1шт</t>
  </si>
  <si>
    <t>ВТ-23</t>
  </si>
  <si>
    <t xml:space="preserve">16Х-ви </t>
  </si>
  <si>
    <t xml:space="preserve">Лом свинец  (мягкий, твердый)  </t>
  </si>
  <si>
    <t xml:space="preserve">свинец  </t>
  </si>
  <si>
    <t>Круг  82 мм  -                                                                0,55м(22,9кг)  -  1шт   найти!!!!!!!</t>
  </si>
  <si>
    <t>Круг  152 мм  -  0,13м(11,1кг) - 1шт</t>
  </si>
  <si>
    <t>МНМц40-1,5</t>
  </si>
  <si>
    <t>Круг  45 мм - 1; 1,02; 1; 1,19; 1,17; 1,2м по 1шт</t>
  </si>
  <si>
    <t xml:space="preserve">БРКМЦ3-1 </t>
  </si>
  <si>
    <t>ХН58В</t>
  </si>
  <si>
    <t xml:space="preserve">Лист 12мм - 0,6х0,81м(28,2кг); 0,6х0,8м(28кг) - по  1шт </t>
  </si>
  <si>
    <t xml:space="preserve">Круг  45 мм  -                                                              2,88м(35,7кг найти!!!!!); 3м(38кг найти!!!!!) </t>
  </si>
  <si>
    <t>Круг  30мм   -  0,72м(4,1кг) - 1шт</t>
  </si>
  <si>
    <t>36Н</t>
  </si>
  <si>
    <t>25Х13Н2</t>
  </si>
  <si>
    <t>Проволока  5,0 мм  -  16,4кг - 1  бухта</t>
  </si>
  <si>
    <t>Труба  57 х 6,0  -                                                               4,96м(38,3кг  найти!!!!!!!!!)</t>
  </si>
  <si>
    <t xml:space="preserve">Труба  57 х 5,0  -                                                                  2,3м(15кг найти!!!!); 3м(17,8кг найти!!!!)  </t>
  </si>
  <si>
    <t xml:space="preserve">Круг  40(44)мм   -  0,64м(4,2кг); 0,46м(3кг) по 1шт   </t>
  </si>
  <si>
    <t>Круг  38(45) мм  -    0,47м(3,2кг); 0,27м(1,8кг) по 1шт</t>
  </si>
  <si>
    <t>Штабик вольфрамовый - 1,85кг                                      (5,1кг найти!!!!!!!!!)</t>
  </si>
  <si>
    <t xml:space="preserve">Круг  120 мм -                   0,53м(49,5кг найти!!!)   98мм(8,8кг найти!!);   0,17м(14,7кг найти!!) </t>
  </si>
  <si>
    <t>Круг  100 мм  -  0,69м(25,2кг клеймо); 0,21м(7,6кг) по 1шт</t>
  </si>
  <si>
    <r>
      <t xml:space="preserve">Круг  100 мм  -  3м(180кг) - 1шт                       </t>
    </r>
    <r>
      <rPr>
        <b/>
        <sz val="10"/>
        <rFont val="Arial"/>
        <family val="2"/>
        <charset val="204"/>
      </rPr>
      <t xml:space="preserve">                       склад 6</t>
    </r>
  </si>
  <si>
    <r>
      <t xml:space="preserve">Круг  80мм -   0,33м(13,6кг) - 1шт          </t>
    </r>
    <r>
      <rPr>
        <b/>
        <sz val="10"/>
        <rFont val="Arial"/>
        <family val="2"/>
        <charset val="204"/>
      </rPr>
      <t xml:space="preserve">  ЭИ-943</t>
    </r>
  </si>
  <si>
    <t>Труба  45,5 х 5,0   -                                                       1,62м(7,8кг) -  1шт      найти!!!!!</t>
  </si>
  <si>
    <t>Труба  19 х 2,3  -  3,78-4,7м(21кг)</t>
  </si>
  <si>
    <t xml:space="preserve">Круг  24 мм -  0,25м(0,5кг)  - 1шт  </t>
  </si>
  <si>
    <r>
      <t xml:space="preserve">Круг  47 мм  -   1,23м(16,5кг) - 1шт             клеймо </t>
    </r>
    <r>
      <rPr>
        <b/>
        <sz val="10"/>
        <rFont val="Arial"/>
        <family val="2"/>
        <charset val="204"/>
      </rPr>
      <t xml:space="preserve"> ЭП-750ш</t>
    </r>
  </si>
  <si>
    <t>Круг ф84мм  -    0,33м(15,4кг) -  1шт</t>
  </si>
  <si>
    <t>Круг ф80мм  -    0,36м(15,2кг) -  1шт</t>
  </si>
  <si>
    <r>
      <t xml:space="preserve">Лист  8 мм  -  1,25х1,5м(121,8кг) - 1шт            </t>
    </r>
    <r>
      <rPr>
        <b/>
        <sz val="10"/>
        <rFont val="Arial"/>
        <family val="2"/>
        <charset val="204"/>
      </rPr>
      <t xml:space="preserve"> </t>
    </r>
  </si>
  <si>
    <t>Лист  7,5 мм   -  0,15-0,16х1,12м(10,3кг) - 1шт</t>
  </si>
  <si>
    <t xml:space="preserve">Круг  144 мм  -  0,69м(88,6кг) - 1шт      </t>
  </si>
  <si>
    <t xml:space="preserve">Круг   50 мм -                                  1м(15,6кг найти!!!); 0,55м(9,1кг найти!!!!!)  </t>
  </si>
  <si>
    <t xml:space="preserve">Круг  137 мм  -  0,51м(36,2кг); 0,69м(47,1кг) по 1шт </t>
  </si>
  <si>
    <t xml:space="preserve">Круг  64 мм -  0,48м(7,2кг) - 1шт   </t>
  </si>
  <si>
    <t>Труба  108 х 5,0 -                                        2,13м(28,3кг найти!!!!)  - 1шт</t>
  </si>
  <si>
    <t xml:space="preserve">Круг   48 мм -   1,45м(22,8кг) - 1шт </t>
  </si>
  <si>
    <t>Круг  24 мм - 1,36-1,44м(18,5кг); 1,18+1,73+1,94м=10,8кг; 1,36м(2,9кг); 0,51м(1,1кг)   маркирован</t>
  </si>
  <si>
    <t>10Х16Н25АМ6</t>
  </si>
  <si>
    <t>Лист латунный 4,0 мм -                                    0,45х0,83м(12,5кг найти!!!!) - 1шт</t>
  </si>
  <si>
    <t xml:space="preserve">Круг  70 мм  -                                                                                         0,17м(5,3кг н\о* найти!!!!)    </t>
  </si>
  <si>
    <t>Труба  38 х 2,5                          2,9м(6,5кг) - 1шт; 1,57-1,66м(10,8кг)        сварная  найти!!!!</t>
  </si>
  <si>
    <t>БРАЖ-Н</t>
  </si>
  <si>
    <t>Труба  28 х 2,7  -                                                                   (3,94+4,18м=14,2кг  найти!!!!!!!!!!!!!!)</t>
  </si>
  <si>
    <t xml:space="preserve">Труба  14 х 2,3-2,5    -                                                     3,2м(12,3кг)  найти!!!!!       сварная           </t>
  </si>
  <si>
    <t>Труба  18 х 1,5  -                                                                            (25кг - найти!!!!!!!!!)</t>
  </si>
  <si>
    <t>Труба  21 х 1,5   -                                                                 5,1м(70кг)    найти!!!!!!!!!!!</t>
  </si>
  <si>
    <t>Труба  24 х 4,0    -                                                           1,9м(3,7кг)  - 1шт   найти!!!!</t>
  </si>
  <si>
    <t>Труба  28 х 5,5  -                                                              2,5м(7,5кг) - 1шт  найти!!!!!!!!!</t>
  </si>
  <si>
    <t>Труба  33 х 2,0  -                                                     3,11м(5кг)  - 1шт   найти!!!!!!</t>
  </si>
  <si>
    <t>Труба  35 х 5-5,5  -                                           2,85м(11,1кг найти!!!!!!!!!) - 1шт</t>
  </si>
  <si>
    <t>Труба  36 х 4,0   -                                           2,05м(27,5кг) - 4шт    найти!!!!!!!</t>
  </si>
  <si>
    <t>Труба  42 х 2,5  -                                                       3,2м(8кг) - 1шт    найти!!!!!!!!!!!!!!!</t>
  </si>
  <si>
    <t>Труба  46 х 4,5    -                                                                1,91м -  1шт    найти!!!!</t>
  </si>
  <si>
    <t>Труба  48 х 7,0 -                                                    (найти 82кг!!!!)</t>
  </si>
  <si>
    <t xml:space="preserve">Труба  60 х 9,0  -                                                     0,53м(6кг найти!!!!) </t>
  </si>
  <si>
    <t>Труба  76 х 5,0   -                                    2,29м(19,1кг)  - 1шт         (найти!!!!!!)</t>
  </si>
  <si>
    <t>Труба  76 х 5,5  -                                             1,8м(17кг) - 1шт      найти  !!!!!!!!!!!!!!</t>
  </si>
  <si>
    <r>
      <t xml:space="preserve">Труба  85 х 7-8  -                              1,22м(17,7кг)  - 1шт     найти!!!!!!                       </t>
    </r>
    <r>
      <rPr>
        <b/>
        <sz val="10"/>
        <rFont val="Arial"/>
        <family val="2"/>
        <charset val="204"/>
      </rPr>
      <t xml:space="preserve">   ЭП-864</t>
    </r>
  </si>
  <si>
    <t>Труба  108 х 3,0 -                                  3м - 1шт найти!!!!!!!!!!!  сварная</t>
  </si>
  <si>
    <t>Труба  108 х 4,5-5 -                                 2,4м(29,2кг найти!!!);  2,6м(33,3кг найти!!)  по 1шт</t>
  </si>
  <si>
    <t xml:space="preserve">Лист  5 мм  -                                                 1,04х1,5м(60,7кг найти!!)          </t>
  </si>
  <si>
    <t>Лист  26 мм   -                                    0,17х0,34м(13кг) - 1шт   найти!!!!!!</t>
  </si>
  <si>
    <t>Круг  5 мм   -                                             1,84-2,13м(0,9кг) - 3шт  найти!!!!</t>
  </si>
  <si>
    <t>Круг  32 мм   -                                             2,4м(15,2кг) - 1шт  н\о          найти!!!!</t>
  </si>
  <si>
    <t>Круг  21 мм  - 0,87м(2,6кг) - 1шт</t>
  </si>
  <si>
    <t>Труба  60 х 5,0  -                               5м(33кг поискать, должна быть!!!) - 1шт</t>
  </si>
  <si>
    <t xml:space="preserve">Труба  89 х 4,0  -                                                                           2м(18,3кг найти!!!!!) </t>
  </si>
  <si>
    <t>AISI 201</t>
  </si>
  <si>
    <t xml:space="preserve">Лист 14"+" мм -   0,61х0,88м(33,8кг)  - 1шт  </t>
  </si>
  <si>
    <t xml:space="preserve">Круг  240 мм -  0,4м(81кг) - 1шт        </t>
  </si>
  <si>
    <t>Проволока   1,4мм    -   2,4кг - 1  бухта</t>
  </si>
  <si>
    <t>Проволока ф1мм - 1 катушка пластиковая  4,7кг</t>
  </si>
  <si>
    <t xml:space="preserve">Круг  38(42)мм   -  0,8м(4,9кг) - 1шт   </t>
  </si>
  <si>
    <t>Х20Н80-Н</t>
  </si>
  <si>
    <t xml:space="preserve">Труба  48 х 3,0 -                                                                               2-2,5м(29кг найти!!!)  </t>
  </si>
  <si>
    <t xml:space="preserve">Круг  120 мм -  0,43м(23,9кг); 0,56м(29,4кг) по 1шт   </t>
  </si>
  <si>
    <r>
      <t xml:space="preserve">Труба  219 х 8,5  -  1,6м(69,3кг) - 1шт                 </t>
    </r>
    <r>
      <rPr>
        <sz val="10"/>
        <rFont val="Arial"/>
      </rPr>
      <t/>
    </r>
  </si>
  <si>
    <t>08Х22Н5М3</t>
  </si>
  <si>
    <r>
      <t xml:space="preserve">Круг  22 мм  -  1,26м(3,9кг); 1,97м(6,3кг клеймо); 1,67м(5,3кг клеймо) по 1шт      </t>
    </r>
    <r>
      <rPr>
        <b/>
        <sz val="10"/>
        <rFont val="Arial"/>
        <family val="2"/>
        <charset val="204"/>
      </rPr>
      <t xml:space="preserve">ЭИ-437Б </t>
    </r>
  </si>
  <si>
    <t>Круг   48"+" мм  -  1,91м(30кг) - 1шт</t>
  </si>
  <si>
    <t>Припой - свинец 47%; олово 31%; висмут 22%    найти!!!!!!!!!!</t>
  </si>
  <si>
    <t>Круг  30 мм - 1,1м(7кг) - 2шт; 1,07м(3,3кг) по 1шт   маркирован</t>
  </si>
  <si>
    <t>С2С</t>
  </si>
  <si>
    <r>
      <t xml:space="preserve">Круг  26 мм   -  0,35м(1,5кг); 0,53м(2,3кг); 0,45м(2,1кг) по 1шт      клеймо          </t>
    </r>
    <r>
      <rPr>
        <b/>
        <sz val="10"/>
        <rFont val="Arial"/>
        <family val="2"/>
        <charset val="204"/>
      </rPr>
      <t xml:space="preserve">ЭИ-437 БВД    </t>
    </r>
    <r>
      <rPr>
        <b/>
        <sz val="8.3000000000000007"/>
        <rFont val="Arial"/>
        <family val="2"/>
        <charset val="204"/>
      </rPr>
      <t xml:space="preserve">                               </t>
    </r>
  </si>
  <si>
    <t>Квадрат 38х40мм -  0,2м(1,4кг) - 1шт</t>
  </si>
  <si>
    <t xml:space="preserve">Лист  39 мм  -  0,38х0,39м(46,8кг) - 1шт                                  </t>
  </si>
  <si>
    <t xml:space="preserve">Проволока  3,2 мм  -  17кг - 1 катушка пластиковая </t>
  </si>
  <si>
    <t xml:space="preserve">Лист 16мм - 0,4х0,44м(13кг) - 1шт </t>
  </si>
  <si>
    <t>Труба  25 х 2,0   - 5,97м(7кг) - 1шт</t>
  </si>
  <si>
    <t>Х12МФ</t>
  </si>
  <si>
    <t>Квадрат 40мм -  0,2м - 8шт</t>
  </si>
  <si>
    <t>Труба  76 х 4-4,5 -  3,03м(24,2кг); 2,22м(17,4кг) - по 1шт    надо ровнять !!!!!  Найти!!!!!</t>
  </si>
  <si>
    <t xml:space="preserve">10Х17Н13М3Т </t>
  </si>
  <si>
    <t xml:space="preserve">12Х18Н10Т  </t>
  </si>
  <si>
    <t>Лист  25 мм  -  блины   ф480мм(43,7кг); ф490мм(44+43,7кг)</t>
  </si>
  <si>
    <t>Л-68</t>
  </si>
  <si>
    <t xml:space="preserve">Круг  150 мм  - 60мм(5,4кг); 80мм(6,4кг); 90мм(7,5кг) по 1шт   клеймо </t>
  </si>
  <si>
    <t xml:space="preserve">Круг  72 мм -   0,84м(15,3кг) - 1шт                 </t>
  </si>
  <si>
    <r>
      <t xml:space="preserve">Круг  200 мм  -  1,45м(384кг) - 1шт      клеймо       </t>
    </r>
    <r>
      <rPr>
        <b/>
        <sz val="10"/>
        <rFont val="Arial"/>
        <family val="2"/>
        <charset val="204"/>
      </rPr>
      <t xml:space="preserve"> ДИ-52вд              склад 2                 </t>
    </r>
  </si>
  <si>
    <t xml:space="preserve">Лист  3,5 мм  -                                                                              1х2м(54,6кг найти!!!) </t>
  </si>
  <si>
    <t>АМГ-2</t>
  </si>
  <si>
    <t xml:space="preserve">Д1Т </t>
  </si>
  <si>
    <r>
      <t xml:space="preserve">Труба  85 х 4,0  -  1,93м(14,3кг) -  1шт                      </t>
    </r>
    <r>
      <rPr>
        <b/>
        <sz val="10"/>
        <rFont val="Arial"/>
        <family val="2"/>
        <charset val="204"/>
      </rPr>
      <t>ЭИ-943</t>
    </r>
  </si>
  <si>
    <t>Круг  83 мм -  0,35м(9кг) - 1шт    кованый</t>
  </si>
  <si>
    <t>Х20Н80 и Х15Н60</t>
  </si>
  <si>
    <t>Д1</t>
  </si>
  <si>
    <t>Труба  60 х 9,5    - 1,22м(8,7кг) - 1шт</t>
  </si>
  <si>
    <t xml:space="preserve">Труба  38 х 3,0  -                                                                           4,45м(12,1кг найти!!! сварная)    </t>
  </si>
  <si>
    <t>Проволока ф5мм  -  1,6кг - 1 бухта</t>
  </si>
  <si>
    <t>Чушка бабит  ГОСТ</t>
  </si>
  <si>
    <t>Круг  78 мм   -                             0,68м(26,3кг);  0,84м(31,9кг)  по 1шт проточеные    найти!!!!!!!!!!!!!</t>
  </si>
  <si>
    <r>
      <t xml:space="preserve">Круг  180 мм  -  45мм(9,5кг); 37мм(7,9кг)  по 1шт       </t>
    </r>
    <r>
      <rPr>
        <b/>
        <sz val="10"/>
        <rFont val="Arial"/>
        <family val="2"/>
        <charset val="204"/>
      </rPr>
      <t>бирка  1.4539 аналог ЭИ-943</t>
    </r>
  </si>
  <si>
    <t>05Х20Н9ФБС</t>
  </si>
  <si>
    <r>
      <t xml:space="preserve">Проволока  5,0 мм  -  11,3; 24,3кг по 1-й  бухте                   </t>
    </r>
    <r>
      <rPr>
        <b/>
        <sz val="10"/>
        <rFont val="Arial"/>
        <family val="2"/>
        <charset val="204"/>
      </rPr>
      <t>ЭИ-649</t>
    </r>
  </si>
  <si>
    <t>10Х13Г18Д</t>
  </si>
  <si>
    <r>
      <t xml:space="preserve">Труба  60 х 5-5,5  -  7,3м(46,6кг) - 1шт                      </t>
    </r>
    <r>
      <rPr>
        <b/>
        <sz val="10"/>
        <rFont val="Arial"/>
        <family val="2"/>
        <charset val="204"/>
      </rPr>
      <t>316-L</t>
    </r>
  </si>
  <si>
    <r>
      <t xml:space="preserve">Круг  240 мм  -  0,34м(119кг)  - 1шт       </t>
    </r>
    <r>
      <rPr>
        <b/>
        <sz val="10"/>
        <rFont val="Arial"/>
        <family val="2"/>
        <charset val="204"/>
      </rPr>
      <t xml:space="preserve">    </t>
    </r>
  </si>
  <si>
    <t>Труба  32 х 4,5  -                                                                            1,3м(7,4кг найти!!!!) - 2шт</t>
  </si>
  <si>
    <t>Лента - 1х70мм -  28,3кг  жесткая</t>
  </si>
  <si>
    <r>
      <t xml:space="preserve">Труба  114 х 3,5  -  5,33м(50,6кг) -  1шт          </t>
    </r>
    <r>
      <rPr>
        <b/>
        <sz val="10"/>
        <rFont val="Arial"/>
        <family val="2"/>
        <charset val="204"/>
      </rPr>
      <t>316Ti</t>
    </r>
  </si>
  <si>
    <t>Труба  76 х 4-4,5    -  2,46; 2,62; 2,86; 3,01м  по 1шт</t>
  </si>
  <si>
    <r>
      <t xml:space="preserve">Круг  80(78) мм -  1,21м(46кг) - 1шт     </t>
    </r>
    <r>
      <rPr>
        <b/>
        <sz val="10"/>
        <rFont val="Arial"/>
        <family val="2"/>
        <charset val="204"/>
      </rPr>
      <t xml:space="preserve"> </t>
    </r>
  </si>
  <si>
    <t>Проволока  0,25 мм  -  10,8кг - 1 катушка железная</t>
  </si>
  <si>
    <t>Ti-10V-2Fe-3Al</t>
  </si>
  <si>
    <t>Круг  77 мм - 0,61м(13,3+13,3кг); 0,63м(13,6кг); 0,62м(13,3кг) по 1шт маркировка  ВСМПО АВИСМА AMS 4984</t>
  </si>
  <si>
    <t xml:space="preserve">Круг  65 мм    - 0,99м(25,8кг клеймо) - 1шт                               </t>
  </si>
  <si>
    <t xml:space="preserve">Круг  90 мм -  0,92м(29,1кг клеймо) - 1шт    </t>
  </si>
  <si>
    <t>АК4-1</t>
  </si>
  <si>
    <r>
      <t xml:space="preserve">Круг  175 мм  -  1,6м(305кг) - 1шт                       </t>
    </r>
    <r>
      <rPr>
        <b/>
        <sz val="10"/>
        <rFont val="Arial"/>
        <family val="2"/>
        <charset val="204"/>
      </rPr>
      <t xml:space="preserve">                       склад 6</t>
    </r>
  </si>
  <si>
    <t>49КФ</t>
  </si>
  <si>
    <t xml:space="preserve">Лист  6 мм -                                                               0,53х1,09м(29кг найти!!!!)      </t>
  </si>
  <si>
    <t>НМЖМц28-2.5-1.5</t>
  </si>
  <si>
    <r>
      <t xml:space="preserve">Круг  100 мм    -  1,61м(104,5кг); 1,43м(92кг) по 1шт      </t>
    </r>
    <r>
      <rPr>
        <b/>
        <sz val="10"/>
        <rFont val="Arial"/>
        <family val="2"/>
        <charset val="204"/>
      </rPr>
      <t xml:space="preserve">  ЭП-53  клеймо    </t>
    </r>
  </si>
  <si>
    <t>Труба  33,5х3,5"-"     - 2,08-2,96м(57кг)                          МОНЕЛЬ</t>
  </si>
  <si>
    <t>Труба  55 х 3,5 -                                                                      (2,28+2,98м=24кг          найти!!!!!)</t>
  </si>
  <si>
    <t>Круг   158 мм -   0,27м(46,8кг) - 1шт</t>
  </si>
  <si>
    <t>Д1Т</t>
  </si>
  <si>
    <r>
      <t xml:space="preserve">Круг  150 мм -    2,48м(342кг) - 1шт                                   </t>
    </r>
    <r>
      <rPr>
        <b/>
        <sz val="10"/>
        <rFont val="Arial"/>
        <family val="2"/>
        <charset val="204"/>
      </rPr>
      <t xml:space="preserve">склад 2 </t>
    </r>
  </si>
  <si>
    <t xml:space="preserve">Труба  38 х 3,7  -  2,82м(9,4кг) - 1шт  </t>
  </si>
  <si>
    <t>Труба  28 х 3,5  -                                                  найти несколько пачек!!!!</t>
  </si>
  <si>
    <t xml:space="preserve">07Х21Г7АН5 </t>
  </si>
  <si>
    <t xml:space="preserve">Круг  90 мм - 0,14м(4,4кг) - 1шт     </t>
  </si>
  <si>
    <t>Электрод ф 5 мм   АРКСЕЛ   5кг - 1 пачка</t>
  </si>
  <si>
    <r>
      <t xml:space="preserve">Круг  178 мм -  0,86м(170кг) -  1шт                                        </t>
    </r>
    <r>
      <rPr>
        <b/>
        <sz val="10"/>
        <rFont val="Arial"/>
        <family val="2"/>
        <charset val="204"/>
      </rPr>
      <t xml:space="preserve"> склад 6</t>
    </r>
  </si>
  <si>
    <t xml:space="preserve">Квадрат  190х220х150мм  -  1шт   50кг    </t>
  </si>
  <si>
    <t xml:space="preserve">Лист латунный 2,0 мм -                          0,6х1,2м(11,8кг найти!!!) </t>
  </si>
  <si>
    <t>Круг  60  мм -                                                                     (найти 100кг!!!!!)</t>
  </si>
  <si>
    <r>
      <t xml:space="preserve">Круг  176 мм  -  100мм(19,5кг) - 1шт    </t>
    </r>
    <r>
      <rPr>
        <b/>
        <sz val="10"/>
        <rFont val="Arial"/>
        <family val="2"/>
        <charset val="204"/>
      </rPr>
      <t xml:space="preserve"> ЭП-795             никель 53 хром 43,5 молибден 1,2 кремний 0,6</t>
    </r>
  </si>
  <si>
    <r>
      <t xml:space="preserve">Круг  170мм -  0,65м(125кг) - 1шт                      </t>
    </r>
    <r>
      <rPr>
        <b/>
        <sz val="10"/>
        <rFont val="Arial"/>
        <family val="2"/>
        <charset val="204"/>
      </rPr>
      <t>ЭИ-943</t>
    </r>
  </si>
  <si>
    <t xml:space="preserve">Труба  34 х 3,0    -  2,06м(4,8кг)  -  1шт  </t>
  </si>
  <si>
    <t>Труба  45 х 3,5 -                                2,96м(10,8кг найти!!!!!)   2,36м(7,8кг найти!!!); 3,1м(11,1кг найти!!!)  - 1шт</t>
  </si>
  <si>
    <t xml:space="preserve">Круг  65-67 мм - 1,27м(19,5кг клеймо); 1,25м(19,4кг клеймо) по 1шт    </t>
  </si>
  <si>
    <t>Круг  60 мм - 2,27м(29,4кг клеймо); 2,49м(31,5кг клеймо); 2,06м(26,7кг клеймо) по 1шт</t>
  </si>
  <si>
    <t xml:space="preserve">Труба  18 х 1,0  -   2,48-3,3м </t>
  </si>
  <si>
    <r>
      <t xml:space="preserve">Труба  45 х 3,5     -  4,1м(15,4кг) - 1шт                    </t>
    </r>
    <r>
      <rPr>
        <b/>
        <sz val="10"/>
        <rFont val="Arial"/>
        <family val="2"/>
        <charset val="204"/>
      </rPr>
      <t>ЭИ-943</t>
    </r>
  </si>
  <si>
    <t>Труба  38 х 3,0   -  1,83м(4,9кг) - 1шт</t>
  </si>
  <si>
    <t xml:space="preserve">Труба  60 х 3,0  -                                                                  2,14м(9,1кг найти!!!!) </t>
  </si>
  <si>
    <r>
      <t xml:space="preserve">Лист  8 мм  -  0,63х1,21м(47,7кг) - 1шт            </t>
    </r>
    <r>
      <rPr>
        <b/>
        <sz val="10"/>
        <rFont val="Arial"/>
        <family val="2"/>
        <charset val="204"/>
      </rPr>
      <t>ЭИ-835</t>
    </r>
  </si>
  <si>
    <t xml:space="preserve">Проволока  4 мм -   6кг(найти!!!!!!!!!!!!!) </t>
  </si>
  <si>
    <t>Анод никель 12мм -  150х1200мм(19,1кг) - 1шт</t>
  </si>
  <si>
    <t xml:space="preserve">Круг  50 мм - 0,72м(6,2кг клеймо) - 1шт   </t>
  </si>
  <si>
    <r>
      <t xml:space="preserve">Труба  45 х 3,0  - 3,02м(9,2кг) - 1шт                    </t>
    </r>
    <r>
      <rPr>
        <b/>
        <sz val="10"/>
        <rFont val="Arial"/>
        <family val="2"/>
        <charset val="204"/>
      </rPr>
      <t>ЭИ-943</t>
    </r>
  </si>
  <si>
    <t xml:space="preserve">Круг  20 мм -  1,11м(2,9кг); 0,4м(1кг) - 1шт </t>
  </si>
  <si>
    <r>
      <t xml:space="preserve">Лист 0,6мм - </t>
    </r>
    <r>
      <rPr>
        <b/>
        <sz val="8.3000000000000007"/>
        <color indexed="10"/>
        <rFont val="Arial"/>
        <family val="2"/>
        <charset val="204"/>
      </rPr>
      <t xml:space="preserve"> </t>
    </r>
    <r>
      <rPr>
        <b/>
        <sz val="8.3000000000000007"/>
        <rFont val="Arial"/>
        <family val="2"/>
        <charset val="204"/>
      </rPr>
      <t xml:space="preserve">0,6х2м(16,7кг) - 5шт  </t>
    </r>
  </si>
  <si>
    <t>Лист  17 мм  -  0,34х0,5м(23,2+22,8кг)  по 1шт</t>
  </si>
  <si>
    <t>Труба  108 х 8,0 - 3,92м(78,7кг); 4,1м(79,7кг); 2,34м(46,6кг); 2,11м(44кг) по 1шт</t>
  </si>
  <si>
    <r>
      <t xml:space="preserve">Труба  114 х 3,5-4  -  3,35м(36кг) - 1шт          </t>
    </r>
    <r>
      <rPr>
        <b/>
        <sz val="10"/>
        <rFont val="Arial"/>
        <family val="2"/>
        <charset val="204"/>
      </rPr>
      <t>316Ti</t>
    </r>
  </si>
  <si>
    <r>
      <t xml:space="preserve">Круг  36 мм     -   0,57м  - 1шт                  </t>
    </r>
    <r>
      <rPr>
        <b/>
        <sz val="10"/>
        <rFont val="Arial"/>
        <family val="2"/>
        <charset val="204"/>
      </rPr>
      <t>ЭИ-827</t>
    </r>
  </si>
  <si>
    <r>
      <t xml:space="preserve">Труба  48 х 4,5    - 2,46м(12,6кг); 2,47м(12,8кг) по 1шт                 </t>
    </r>
    <r>
      <rPr>
        <b/>
        <sz val="10"/>
        <rFont val="Arial"/>
        <family val="2"/>
        <charset val="204"/>
      </rPr>
      <t>ЭП-350</t>
    </r>
  </si>
  <si>
    <r>
      <t xml:space="preserve">Труба  38 х 5,0   -   4,62+4,75м = 43кг                                                </t>
    </r>
    <r>
      <rPr>
        <b/>
        <sz val="10"/>
        <rFont val="Arial"/>
        <family val="2"/>
        <charset val="204"/>
      </rPr>
      <t>ЭП-670</t>
    </r>
  </si>
  <si>
    <r>
      <t xml:space="preserve">Труба  114 х 12,0 -  1,47м(39,7кг) - 1шт                                             </t>
    </r>
    <r>
      <rPr>
        <b/>
        <sz val="10"/>
        <rFont val="Arial"/>
        <family val="2"/>
        <charset val="204"/>
      </rPr>
      <t>ЭИ-435</t>
    </r>
  </si>
  <si>
    <r>
      <t xml:space="preserve">Лист  2,5 мм - 0,39х0,54м(4,4кг) - 1шт                   </t>
    </r>
    <r>
      <rPr>
        <b/>
        <sz val="10"/>
        <rFont val="Arial"/>
        <family val="2"/>
        <charset val="204"/>
      </rPr>
      <t>ЭИ-435</t>
    </r>
  </si>
  <si>
    <r>
      <t xml:space="preserve">Лист  3 мм -   </t>
    </r>
    <r>
      <rPr>
        <b/>
        <sz val="8.5"/>
        <rFont val="Arial"/>
        <family val="2"/>
        <charset val="204"/>
      </rPr>
      <t xml:space="preserve"> 0,25х0,7м(4,2кг) -  1шт      </t>
    </r>
    <r>
      <rPr>
        <b/>
        <sz val="10"/>
        <rFont val="Arial"/>
        <family val="2"/>
        <charset val="204"/>
      </rPr>
      <t>маркир                        ЭИ-703</t>
    </r>
  </si>
  <si>
    <r>
      <t xml:space="preserve">Лист  5 мм  -  0,43х0,98м(17,5кг) - 1шт                   </t>
    </r>
    <r>
      <rPr>
        <b/>
        <sz val="10"/>
        <rFont val="Arial"/>
        <family val="2"/>
        <charset val="204"/>
      </rPr>
      <t>ЭИ-435</t>
    </r>
  </si>
  <si>
    <r>
      <t xml:space="preserve">Круг  22 мм   -  0,48-0,53м(16,4кг проточка на ф18,5-19мм длиной 80-150мм)           </t>
    </r>
    <r>
      <rPr>
        <b/>
        <sz val="10"/>
        <rFont val="Arial"/>
        <family val="2"/>
        <charset val="204"/>
      </rPr>
      <t xml:space="preserve">ЭИ-437  </t>
    </r>
    <r>
      <rPr>
        <b/>
        <sz val="8.3000000000000007"/>
        <rFont val="Arial"/>
        <family val="2"/>
        <charset val="204"/>
      </rPr>
      <t xml:space="preserve">    </t>
    </r>
  </si>
  <si>
    <r>
      <t xml:space="preserve">Круг  23"+" мм  -  1,24+1,25м=8,7кг       </t>
    </r>
    <r>
      <rPr>
        <b/>
        <sz val="10"/>
        <rFont val="Arial"/>
        <family val="2"/>
        <charset val="204"/>
      </rPr>
      <t>ЭИ-437</t>
    </r>
  </si>
  <si>
    <r>
      <t>Круг  24 мм - 0,45+0,49+0,51м=5,5кг</t>
    </r>
    <r>
      <rPr>
        <b/>
        <sz val="10"/>
        <rFont val="Arial"/>
        <family val="2"/>
        <charset val="204"/>
      </rPr>
      <t xml:space="preserve">          ЭИ-437</t>
    </r>
  </si>
  <si>
    <r>
      <t xml:space="preserve">Круг  26 мм   - 1,4м(6,7кг) - 1шт             </t>
    </r>
    <r>
      <rPr>
        <b/>
        <sz val="10"/>
        <rFont val="Arial"/>
        <family val="2"/>
        <charset val="204"/>
      </rPr>
      <t xml:space="preserve"> ЭИ-437</t>
    </r>
  </si>
  <si>
    <r>
      <t xml:space="preserve">Круг  26,5 мм - 2,16м(9,6кг) - 1шт             клеймо      </t>
    </r>
    <r>
      <rPr>
        <b/>
        <sz val="10"/>
        <rFont val="Arial"/>
        <family val="2"/>
        <charset val="204"/>
      </rPr>
      <t>ЭИ-437Б</t>
    </r>
  </si>
  <si>
    <r>
      <t xml:space="preserve">Круг  27,5 мм   -  0,42м(2кг) - 1шт                                 </t>
    </r>
    <r>
      <rPr>
        <b/>
        <sz val="10"/>
        <rFont val="Arial"/>
        <family val="2"/>
        <charset val="204"/>
      </rPr>
      <t xml:space="preserve">ЭИ-437 </t>
    </r>
    <r>
      <rPr>
        <b/>
        <sz val="8.3000000000000007"/>
        <rFont val="Arial"/>
        <family val="2"/>
        <charset val="204"/>
      </rPr>
      <t xml:space="preserve">    </t>
    </r>
  </si>
  <si>
    <r>
      <t xml:space="preserve">Круг  27 мм   -  0,15-0,21м(4,2кг) - 5шт                    </t>
    </r>
    <r>
      <rPr>
        <b/>
        <sz val="10"/>
        <rFont val="Arial"/>
        <family val="2"/>
        <charset val="204"/>
      </rPr>
      <t>ЭИ-437</t>
    </r>
  </si>
  <si>
    <r>
      <t xml:space="preserve">Круг  35 мм  -  2,46м(19,8кг); 2,56м(20,5кг) по 1шт  клеймо        </t>
    </r>
    <r>
      <rPr>
        <b/>
        <sz val="10"/>
        <rFont val="Arial"/>
        <family val="2"/>
        <charset val="204"/>
      </rPr>
      <t xml:space="preserve">ЭИ-827   </t>
    </r>
    <r>
      <rPr>
        <b/>
        <sz val="8.3000000000000007"/>
        <rFont val="Arial"/>
        <family val="2"/>
        <charset val="204"/>
      </rPr>
      <t xml:space="preserve">               </t>
    </r>
    <r>
      <rPr>
        <b/>
        <sz val="10"/>
        <rFont val="Arial"/>
        <family val="2"/>
        <charset val="204"/>
      </rPr>
      <t xml:space="preserve"> </t>
    </r>
  </si>
  <si>
    <r>
      <t xml:space="preserve">Круг  45 мм   -  0,71м(50,4кг)  -   5шт          </t>
    </r>
    <r>
      <rPr>
        <b/>
        <sz val="10"/>
        <rFont val="Arial"/>
        <family val="2"/>
        <charset val="204"/>
      </rPr>
      <t>ЭИ-868</t>
    </r>
  </si>
  <si>
    <r>
      <t xml:space="preserve">Круг  54-58 мм  -  0,28м(6,7кг) - 1шт  </t>
    </r>
    <r>
      <rPr>
        <b/>
        <sz val="10"/>
        <rFont val="Arial"/>
        <family val="2"/>
        <charset val="204"/>
      </rPr>
      <t xml:space="preserve">  кованый      ЭП-567</t>
    </r>
  </si>
  <si>
    <r>
      <t xml:space="preserve">Круг  55 мм   -  1,73м(37,7кг) - 1шт  клеймо                    </t>
    </r>
    <r>
      <rPr>
        <b/>
        <sz val="10"/>
        <rFont val="Arial"/>
        <family val="2"/>
        <charset val="204"/>
      </rPr>
      <t>ЭИ-868</t>
    </r>
  </si>
  <si>
    <r>
      <t xml:space="preserve">Круг  227 мм -  0,16м(53,7кг) - 1шт                   </t>
    </r>
    <r>
      <rPr>
        <b/>
        <sz val="10"/>
        <rFont val="Arial"/>
        <family val="2"/>
        <charset val="204"/>
      </rPr>
      <t>ЭИ-437</t>
    </r>
  </si>
  <si>
    <r>
      <t xml:space="preserve">Круг  320мм -  0,19м(138кг) - 1шт                 </t>
    </r>
    <r>
      <rPr>
        <b/>
        <sz val="10"/>
        <rFont val="Arial"/>
        <family val="2"/>
        <charset val="204"/>
      </rPr>
      <t>ЭИ-437</t>
    </r>
  </si>
  <si>
    <t>Проволока ф0,8мм - 1 катушка пластиковая  3,3кг</t>
  </si>
  <si>
    <t xml:space="preserve">Труба  38 х 6,0   -  1,29м(5,8кг) - 1шт </t>
  </si>
  <si>
    <t xml:space="preserve">Труба  38 х 2,5   -  1,29м(2,8кг) - 1шт </t>
  </si>
  <si>
    <t xml:space="preserve">Труба  38 х 1,5   -  1,29м(1,9кг) - 1шт </t>
  </si>
  <si>
    <t xml:space="preserve">Лист 39мм - 0,4х0,89м(63,5кг) - 1шт </t>
  </si>
  <si>
    <t>Труба  42 х 7,0 -                                                                      2,38м(14,5кг найти!!!)</t>
  </si>
  <si>
    <t xml:space="preserve">Труба  20 х 2,5  -                                1,8-3,5м(15кг найти!!!!!!!!) </t>
  </si>
  <si>
    <t xml:space="preserve">АМГ-5 </t>
  </si>
  <si>
    <t>Круг   109 мм   -  80мм(7,5кг) - 1шт</t>
  </si>
  <si>
    <t>Труба  51 х 2,5  -  2,49м(7,8кг) - 1шт</t>
  </si>
  <si>
    <r>
      <t xml:space="preserve">Круг  40 мм   -  1,06м(10,8кг); 0,71м(7,4кг); 0,6м(6,3кг) по 1шт            клеймо    </t>
    </r>
    <r>
      <rPr>
        <b/>
        <sz val="10"/>
        <rFont val="Arial"/>
        <family val="2"/>
        <charset val="204"/>
      </rPr>
      <t>ЭИ-437Б</t>
    </r>
  </si>
  <si>
    <t>Круг  110 мм -  0,2м(9кг); 0,25м(11,2+11,3кг); 0,15м(7кг)  - по 1шт  клеймо</t>
  </si>
  <si>
    <r>
      <t xml:space="preserve">Круг  96 мм  -  165мм(11кг) - 1шт  клеймо                   </t>
    </r>
    <r>
      <rPr>
        <b/>
        <sz val="10"/>
        <rFont val="Arial"/>
        <family val="2"/>
        <charset val="204"/>
      </rPr>
      <t xml:space="preserve"> ЭИ-437бувд</t>
    </r>
  </si>
  <si>
    <r>
      <t xml:space="preserve">Круг  87мм   -   0,24м(12,3кг) - 1шт                      </t>
    </r>
    <r>
      <rPr>
        <b/>
        <sz val="10"/>
        <rFont val="Arial"/>
        <family val="2"/>
        <charset val="204"/>
      </rPr>
      <t xml:space="preserve"> ЭИ-602</t>
    </r>
  </si>
  <si>
    <r>
      <t xml:space="preserve">Круг  125 мм  -  0,49м(50,4кг) - 1шт   на расстоянии 135мм от края зарез на 7мм     </t>
    </r>
    <r>
      <rPr>
        <b/>
        <sz val="10"/>
        <rFont val="Arial"/>
        <family val="2"/>
        <charset val="204"/>
      </rPr>
      <t>ЭИ-437</t>
    </r>
  </si>
  <si>
    <r>
      <t xml:space="preserve">Круг  125 мм  -  0,49м(50,3кг) - 1шт                </t>
    </r>
    <r>
      <rPr>
        <b/>
        <sz val="10"/>
        <rFont val="Arial"/>
        <family val="2"/>
        <charset val="204"/>
      </rPr>
      <t>ЭИ-437</t>
    </r>
  </si>
  <si>
    <r>
      <t xml:space="preserve">Круг  215 мм  -  0,12м(37,2кг) - 1шт      </t>
    </r>
    <r>
      <rPr>
        <b/>
        <sz val="10"/>
        <rFont val="Arial"/>
        <family val="2"/>
        <charset val="204"/>
      </rPr>
      <t xml:space="preserve">                             клеймо  ЭИ-437 УВД</t>
    </r>
  </si>
  <si>
    <r>
      <t xml:space="preserve">Круг  260 мм  -   0,56м(250кг)  -   1шт  надрез до 0,38м              </t>
    </r>
    <r>
      <rPr>
        <b/>
        <sz val="10"/>
        <rFont val="Arial"/>
        <family val="2"/>
        <charset val="204"/>
      </rPr>
      <t>ЭП-202</t>
    </r>
  </si>
  <si>
    <t xml:space="preserve">Круг   4,2 мм - 2-2,3м </t>
  </si>
  <si>
    <r>
      <t xml:space="preserve">Круг  195 мм  -   0,8м(180кг) - 1шт      </t>
    </r>
    <r>
      <rPr>
        <b/>
        <sz val="10"/>
        <rFont val="Arial"/>
        <family val="2"/>
        <charset val="204"/>
      </rPr>
      <t xml:space="preserve"> склад 6                                       ЭИ-268</t>
    </r>
  </si>
  <si>
    <r>
      <t xml:space="preserve">Труба  114 х 3,5  -    5,05м(95кг) - 2шт            </t>
    </r>
    <r>
      <rPr>
        <b/>
        <sz val="10"/>
        <rFont val="Arial"/>
        <family val="2"/>
        <charset val="204"/>
      </rPr>
      <t>316-L        склад 6</t>
    </r>
  </si>
  <si>
    <r>
      <t xml:space="preserve">Труба  114 х 4,0  -  6,71м(75кг) - 1шт            </t>
    </r>
    <r>
      <rPr>
        <b/>
        <sz val="10"/>
        <rFont val="Arial"/>
        <family val="2"/>
        <charset val="204"/>
      </rPr>
      <t>316-L        склад 6</t>
    </r>
  </si>
  <si>
    <t>ХН40МДТ</t>
  </si>
  <si>
    <r>
      <t>Круг  103 мм -    1,42м(95кг) - 1шт      клеймо</t>
    </r>
    <r>
      <rPr>
        <b/>
        <sz val="10"/>
        <rFont val="Arial"/>
        <family val="2"/>
        <charset val="204"/>
      </rPr>
      <t xml:space="preserve">  ЭИ-943</t>
    </r>
  </si>
  <si>
    <t xml:space="preserve">Лист  20 мм -                                       0,23х0,41м(14,8кг найти!!!!!!)          </t>
  </si>
  <si>
    <t>Проволока   4,0мм    -   1кг - 1шт   спираль новая</t>
  </si>
  <si>
    <r>
      <t xml:space="preserve">08Х18Н10 </t>
    </r>
    <r>
      <rPr>
        <b/>
        <sz val="8.5"/>
        <rFont val="Arial"/>
        <family val="2"/>
        <charset val="204"/>
      </rPr>
      <t xml:space="preserve">рифленый </t>
    </r>
  </si>
  <si>
    <r>
      <t xml:space="preserve">Круг  94 мм -  1,22м(67кг) - 1шт                                                    </t>
    </r>
    <r>
      <rPr>
        <b/>
        <sz val="10"/>
        <rFont val="Arial"/>
        <family val="2"/>
        <charset val="204"/>
      </rPr>
      <t xml:space="preserve">  ЭИ-943</t>
    </r>
  </si>
  <si>
    <t>20Х23Н18М6</t>
  </si>
  <si>
    <t>Круг  57(60) мм -  0,19; 0,2; 0,21; 0,22; 0,24; 0,26; 0,31; 0,37м кованые, клейма по 1шт</t>
  </si>
  <si>
    <t xml:space="preserve">Круг  80 мм  -  0,7м(29,2кг) - 1шт     </t>
  </si>
  <si>
    <r>
      <t xml:space="preserve">Круг  30 мм  -   2,7-3,04м(260кг) - 20шт        </t>
    </r>
    <r>
      <rPr>
        <b/>
        <sz val="10"/>
        <rFont val="Arial"/>
        <family val="2"/>
        <charset val="204"/>
      </rPr>
      <t xml:space="preserve">    склад 7</t>
    </r>
  </si>
  <si>
    <r>
      <t xml:space="preserve">Круг  30 мм  -   2,62-2,84м(111,5кг) - 7шт        </t>
    </r>
    <r>
      <rPr>
        <b/>
        <sz val="10"/>
        <rFont val="Arial"/>
        <family val="2"/>
        <charset val="204"/>
      </rPr>
      <t xml:space="preserve">     </t>
    </r>
  </si>
  <si>
    <r>
      <t xml:space="preserve">Труба  42 х 2,5  -  2,4м(5,9кг); 2,78м(7кг) по 1шт               </t>
    </r>
    <r>
      <rPr>
        <b/>
        <sz val="10"/>
        <rFont val="Arial"/>
        <family val="2"/>
        <charset val="204"/>
      </rPr>
      <t>ЭИ-943</t>
    </r>
  </si>
  <si>
    <r>
      <t xml:space="preserve">Труба  108 х 5,5 - 2,02; 2,17; 1,7; 1,71; 2,14; 2,14; 1,71; 2,32; 2,03; 1,93м  </t>
    </r>
    <r>
      <rPr>
        <b/>
        <sz val="10"/>
        <rFont val="Arial"/>
        <family val="2"/>
        <charset val="204"/>
      </rPr>
      <t>склад 2</t>
    </r>
  </si>
  <si>
    <r>
      <t xml:space="preserve">Круг  76 мм - 2,69м(113,3кг) - 1шт     </t>
    </r>
    <r>
      <rPr>
        <b/>
        <sz val="10"/>
        <rFont val="Arial"/>
        <family val="2"/>
        <charset val="204"/>
      </rPr>
      <t xml:space="preserve"> клеймо  ЭИ-868</t>
    </r>
  </si>
  <si>
    <t xml:space="preserve">Лист 12мм -  1,03х1,29м(74,3кг); 0,45х1,28м(32,5кг); 0,3х1,35м(21,7кг) по 1шт </t>
  </si>
  <si>
    <t>Труба  51 х 7,0   -  4,07м(30,5кг) - 1шт</t>
  </si>
  <si>
    <r>
      <t xml:space="preserve">Круг  29-30 мм  -  0,47м(2,5кг) - 1шт </t>
    </r>
    <r>
      <rPr>
        <b/>
        <sz val="10"/>
        <rFont val="Arial"/>
        <family val="2"/>
        <charset val="204"/>
      </rPr>
      <t xml:space="preserve">        ЭП-33вд</t>
    </r>
  </si>
  <si>
    <t>Труба  19 х 2"+" -  5,88-5,98м(28,2кг)</t>
  </si>
  <si>
    <t>Лист  8 мм - 0,71-0,74х1,39м(65,4кг)  - 1шт</t>
  </si>
  <si>
    <t>08Х15Н5Д2Т</t>
  </si>
  <si>
    <t>Проволока   1,0мм    -  3,9кг + 3 бухты по 0,1кг          найти!!!!!!!</t>
  </si>
  <si>
    <r>
      <t xml:space="preserve">Круг  42мм  -  1,97м(21,5кг) - 1шт  клеймо   </t>
    </r>
    <r>
      <rPr>
        <b/>
        <sz val="10"/>
        <rFont val="Arial"/>
        <family val="2"/>
        <charset val="204"/>
      </rPr>
      <t xml:space="preserve"> ЭИ-702</t>
    </r>
  </si>
  <si>
    <t xml:space="preserve">Труба  27х 4,0  -                                                            (6кг найти!!!!)   </t>
  </si>
  <si>
    <t>МФ-9</t>
  </si>
  <si>
    <r>
      <t xml:space="preserve">Труба  22 х 2,0  - 3,2-3,33м(17,5кг); 2,9-3,03м(6,4кг)         </t>
    </r>
    <r>
      <rPr>
        <b/>
        <sz val="10"/>
        <rFont val="Arial"/>
        <family val="2"/>
        <charset val="204"/>
      </rPr>
      <t>ЭИ-943</t>
    </r>
  </si>
  <si>
    <t>Припой   ф2мм  - проволока бухты по  50-150грамм</t>
  </si>
  <si>
    <r>
      <t xml:space="preserve">Лист  73 мм   -  0,4х0,59м(164кг)  -   1шт                 </t>
    </r>
    <r>
      <rPr>
        <b/>
        <sz val="10"/>
        <rFont val="Arial"/>
        <family val="2"/>
        <charset val="204"/>
      </rPr>
      <t>ЭИ-437</t>
    </r>
  </si>
  <si>
    <t xml:space="preserve">Чушка цинк   </t>
  </si>
  <si>
    <t>В-65</t>
  </si>
  <si>
    <t xml:space="preserve">Труба  83 х 6-6,5  -                                                          3,06м(найти!!!!) - 1шт </t>
  </si>
  <si>
    <r>
      <t xml:space="preserve">Круг  13 мм -  0,71м(0,8кг) - 1шт  клеймо                     </t>
    </r>
    <r>
      <rPr>
        <b/>
        <sz val="10"/>
        <rFont val="Arial"/>
        <family val="2"/>
        <charset val="204"/>
      </rPr>
      <t>Я1Твд</t>
    </r>
  </si>
  <si>
    <t>Круг  58 мм -  0,3м(7,3кг) - 1шт  кованый</t>
  </si>
  <si>
    <r>
      <t xml:space="preserve">Труба  42 х 3,5   -   2,32м(8,2кг) - 1шт                                                          </t>
    </r>
    <r>
      <rPr>
        <b/>
        <sz val="10"/>
        <rFont val="Arial"/>
        <family val="2"/>
        <charset val="204"/>
      </rPr>
      <t>ЭИ-943</t>
    </r>
  </si>
  <si>
    <t xml:space="preserve">БРАЖ  </t>
  </si>
  <si>
    <r>
      <t xml:space="preserve">Круг  15 мм  -  1,76м(2,4кг)  - 1шт                                                </t>
    </r>
    <r>
      <rPr>
        <b/>
        <sz val="10"/>
        <rFont val="Arial"/>
        <family val="2"/>
        <charset val="204"/>
      </rPr>
      <t>ЭИ-787</t>
    </r>
  </si>
  <si>
    <t xml:space="preserve">Круг  80 мм  -  0,77м(17,2кг); 1,64м(36,7кг); 1,74м(38,8кг); 1,45м(32,2кг клеймо) по 1шт  </t>
  </si>
  <si>
    <r>
      <t xml:space="preserve">Круг  20 мм   -   0,58м(1,7кг)  - 1шт                                        </t>
    </r>
    <r>
      <rPr>
        <b/>
        <sz val="10"/>
        <rFont val="Arial"/>
        <family val="2"/>
        <charset val="204"/>
      </rPr>
      <t>ЭП-202</t>
    </r>
  </si>
  <si>
    <r>
      <t xml:space="preserve">Круг  320 мм  -  0,235м(165кг) - 1шт        </t>
    </r>
    <r>
      <rPr>
        <b/>
        <sz val="10"/>
        <rFont val="Arial"/>
        <family val="2"/>
        <charset val="204"/>
      </rPr>
      <t xml:space="preserve">     склад 6</t>
    </r>
  </si>
  <si>
    <r>
      <t xml:space="preserve">Круг  100 мм  - 1,91м(115кг клеймо, на 0,37м от края зарез) - 1шт              </t>
    </r>
    <r>
      <rPr>
        <b/>
        <sz val="10"/>
        <rFont val="Arial"/>
        <family val="2"/>
        <charset val="204"/>
      </rPr>
      <t>склад 6</t>
    </r>
  </si>
  <si>
    <t>Переход 159х8-108х6мм - по 3,8кг - 2шт маркированные, бесшовные</t>
  </si>
  <si>
    <r>
      <t xml:space="preserve">Труба  219 х 8,5 -  2,53м(112кг) - 1шт                         </t>
    </r>
    <r>
      <rPr>
        <b/>
        <sz val="10"/>
        <rFont val="Arial"/>
        <family val="2"/>
        <charset val="204"/>
      </rPr>
      <t xml:space="preserve"> склад 6</t>
    </r>
  </si>
  <si>
    <t xml:space="preserve">Круг   60 мм -                            0,14м(3кг найти!!!!) </t>
  </si>
  <si>
    <t>Лента бронзовая - 0,5х220мм - 1 бухта  45,8кг        средней твердости</t>
  </si>
  <si>
    <t>Лист  0,8 мм -  1,25х2,5м(19,5кг маркир) - 1шт   полир в пленке</t>
  </si>
  <si>
    <t xml:space="preserve">Труба  89 х 3,0   -                                                                          3,27м(21,3кг найти!!!!) - 1шт  </t>
  </si>
  <si>
    <t>Круг   74 мм - 0,83м(30,2кг); 1м(36,3кг); 1,08м(39,3кг) по 1шт</t>
  </si>
  <si>
    <r>
      <t xml:space="preserve">Круг  21 мм   -   0,5м(1,5кг)  -   1шт                                          </t>
    </r>
    <r>
      <rPr>
        <b/>
        <sz val="10"/>
        <rFont val="Arial"/>
        <family val="2"/>
        <charset val="204"/>
      </rPr>
      <t>ЭИ-893</t>
    </r>
  </si>
  <si>
    <r>
      <t xml:space="preserve">Круг  180 мм  -  1,28м(270кг) - 1шт                  </t>
    </r>
    <r>
      <rPr>
        <b/>
        <sz val="10"/>
        <rFont val="Arial"/>
        <family val="2"/>
        <charset val="204"/>
      </rPr>
      <t xml:space="preserve">ДИ-52вд  </t>
    </r>
    <r>
      <rPr>
        <b/>
        <sz val="8.5"/>
        <rFont val="Arial"/>
        <family val="2"/>
        <charset val="204"/>
      </rPr>
      <t xml:space="preserve">           </t>
    </r>
    <r>
      <rPr>
        <b/>
        <sz val="10"/>
        <rFont val="Arial"/>
        <family val="2"/>
        <charset val="204"/>
      </rPr>
      <t xml:space="preserve">        склад 2                 </t>
    </r>
  </si>
  <si>
    <t>БРА7</t>
  </si>
  <si>
    <r>
      <t xml:space="preserve">Труба  325 х 14-15 -  0,98м(112,5кг) - 1шт  </t>
    </r>
    <r>
      <rPr>
        <b/>
        <sz val="10"/>
        <rFont val="Arial"/>
        <family val="2"/>
        <charset val="204"/>
      </rPr>
      <t xml:space="preserve"> </t>
    </r>
    <r>
      <rPr>
        <b/>
        <sz val="8.3000000000000007"/>
        <rFont val="Arial"/>
        <family val="2"/>
        <charset val="204"/>
      </rPr>
      <t xml:space="preserve">               </t>
    </r>
  </si>
  <si>
    <r>
      <t xml:space="preserve">Круг  42 мм  -  0,3м(13кг) - 4шт             клеймо   </t>
    </r>
    <r>
      <rPr>
        <b/>
        <sz val="10"/>
        <rFont val="Arial"/>
        <family val="2"/>
        <charset val="204"/>
      </rPr>
      <t xml:space="preserve">        ЭП-33вд</t>
    </r>
  </si>
  <si>
    <t xml:space="preserve">Круг  54 мм -  0,26м(2,8кг найти!!!) - 1шт  </t>
  </si>
  <si>
    <t>Проволока   0,7мм  - 2,4; 0,7; 2,2; 1,3; 0,6; 0,6; 0,4; 0,6; 0,7; 2,1; 2,1; 1,2; 1,4; 1,7; 3,4; 3,6; 3,1; 0,5; 2,1кг по  1-й бухте</t>
  </si>
  <si>
    <t>Круг   150 мм - 70мм(11,2кг) - 1шт</t>
  </si>
  <si>
    <t xml:space="preserve">Круг  310 мм  -  0,16м(98,5кг) - 1шт    </t>
  </si>
  <si>
    <t>12Х18Н10Б</t>
  </si>
  <si>
    <t>Круг  87 мм   -  0,41м(19,7кг) - 1шт</t>
  </si>
  <si>
    <r>
      <t xml:space="preserve">Круг  143 мм    -   0,57м(78,3кг)  - 1шт    </t>
    </r>
    <r>
      <rPr>
        <b/>
        <sz val="10"/>
        <rFont val="Arial"/>
        <family val="2"/>
        <charset val="204"/>
      </rPr>
      <t xml:space="preserve">                  ЭП-693</t>
    </r>
  </si>
  <si>
    <t>ХН68ВМТЮК</t>
  </si>
  <si>
    <t xml:space="preserve">Круг  90 мм - 0,48м(13,8кг клеймо) - 1шт     </t>
  </si>
  <si>
    <t xml:space="preserve">Круг  200 мм - 0,21м(30кг) - 1шт  проточен на ф190мм на 75мм длины     </t>
  </si>
  <si>
    <r>
      <t xml:space="preserve">Труба  73 х 5,5-6 -  6,9; 7,15м по 1шт         </t>
    </r>
    <r>
      <rPr>
        <b/>
        <sz val="10"/>
        <rFont val="Arial"/>
        <family val="2"/>
        <charset val="204"/>
      </rPr>
      <t>склад 6</t>
    </r>
  </si>
  <si>
    <t>Круг ф35мм  -  1,6м(12,3кг) -  1шт</t>
  </si>
  <si>
    <t>Р9М4К8</t>
  </si>
  <si>
    <t>Труба  38 х 3,5 -  3,18+3,25м=19,4кг</t>
  </si>
  <si>
    <r>
      <t xml:space="preserve">Труба  168 х 4,5  -  2,9м(55,5кг) - 1шт                </t>
    </r>
    <r>
      <rPr>
        <b/>
        <sz val="10"/>
        <rFont val="Arial"/>
        <family val="2"/>
        <charset val="204"/>
      </rPr>
      <t xml:space="preserve">  </t>
    </r>
  </si>
  <si>
    <r>
      <t xml:space="preserve">Круг  95 мм  -  0,78м(45,8кг) - 1шт             </t>
    </r>
    <r>
      <rPr>
        <b/>
        <sz val="10"/>
        <rFont val="Arial"/>
        <family val="2"/>
        <charset val="204"/>
      </rPr>
      <t xml:space="preserve"> ДИ-52                              </t>
    </r>
  </si>
  <si>
    <t>Круг   120 мм - 1,25м(117,4кг); 0,47м(44,6кг) по 1шт</t>
  </si>
  <si>
    <t xml:space="preserve">Труба  94 х 7-11  - 3,5м(34,5кг) -  1шт </t>
  </si>
  <si>
    <t xml:space="preserve">Труба  76 х 4,5-5   -  2,92м(24кг) - 1шт </t>
  </si>
  <si>
    <t>Круг  12 мм -   1,53м(1,4кг)    калиброваный    найти!!!!!!</t>
  </si>
  <si>
    <r>
      <t xml:space="preserve">Круг  60мм -     0,76м(18,7кг) - 1шт    кованый                    </t>
    </r>
    <r>
      <rPr>
        <b/>
        <sz val="10"/>
        <rFont val="Arial"/>
        <family val="2"/>
        <charset val="204"/>
      </rPr>
      <t>ЭИ-395</t>
    </r>
  </si>
  <si>
    <t xml:space="preserve">Лист 8мм - 0,81х1,51м(41,7кг) - 1шт </t>
  </si>
  <si>
    <t>ХН55ВМТКЮ</t>
  </si>
  <si>
    <t xml:space="preserve">Квадрат  130х145х260мм  -  1шт   39,5кг   клеймо </t>
  </si>
  <si>
    <t xml:space="preserve">Труба  12 х 2,5    -   6,46м (отрезали куски) </t>
  </si>
  <si>
    <t>Проволока ф3мм -  2,8; 19,7; 5,1; 4,8; 8,1; 10,5; 10; 3,1; 2,4; 3; 1кг по 1-й бухте</t>
  </si>
  <si>
    <t>АК-6</t>
  </si>
  <si>
    <t>79НМ</t>
  </si>
  <si>
    <t>Круг   100 мм -   40мм(2,8кг) - 1шт</t>
  </si>
  <si>
    <t xml:space="preserve">Круг  70 мм - 0,49м(8,9кг) - 1шт </t>
  </si>
  <si>
    <t xml:space="preserve">Круг  128 мм  -   0,31м(32кг резьба на 55мм на ф122мм); 0,31м(32,8кг на длине 120мм - ф132мм); 0,33м(35,3кг на длине 90мм - ф132мм) -  1шт               </t>
  </si>
  <si>
    <t xml:space="preserve">Круг  48 мм - 0,5м(7,1кг крив н\о); 0,22м(3,6кг кован, клеймо) - 1шт        2,44м(35,2кг найти!!!) </t>
  </si>
  <si>
    <t>Л-90</t>
  </si>
  <si>
    <r>
      <t xml:space="preserve">Труба  108 х 5,0 -   5,67м(70кг) - 1шт              </t>
    </r>
    <r>
      <rPr>
        <b/>
        <sz val="10"/>
        <rFont val="Arial"/>
        <family val="2"/>
        <charset val="204"/>
      </rPr>
      <t>склад 6</t>
    </r>
  </si>
  <si>
    <r>
      <t xml:space="preserve">Круг  50 мм  -  2,18м(36кг клеймо); 1,16м(17,3кг  клеймо)   по 1шт   </t>
    </r>
    <r>
      <rPr>
        <b/>
        <sz val="10"/>
        <rFont val="Arial"/>
        <family val="2"/>
        <charset val="204"/>
      </rPr>
      <t xml:space="preserve"> ДИ-52вд                              </t>
    </r>
  </si>
  <si>
    <t>47НДви</t>
  </si>
  <si>
    <t xml:space="preserve">Чушка свинец   -   </t>
  </si>
  <si>
    <t>Круг  100 мм  -  1,17м(42,7кг клеймо); 0,85м(32,5кг клеймо); 1м(36,1кг) по 1шт</t>
  </si>
  <si>
    <r>
      <t xml:space="preserve">Проволока  3,0 мм  -  катушки по 25кг - 5шт        </t>
    </r>
    <r>
      <rPr>
        <b/>
        <sz val="10"/>
        <rFont val="Arial"/>
        <family val="2"/>
        <charset val="204"/>
      </rPr>
      <t xml:space="preserve">347-я марка   </t>
    </r>
  </si>
  <si>
    <r>
      <t xml:space="preserve">Проволока  3,0 мм  -  катушка 25кг - 1шт       </t>
    </r>
    <r>
      <rPr>
        <b/>
        <sz val="10"/>
        <rFont val="Arial"/>
        <family val="2"/>
        <charset val="204"/>
      </rPr>
      <t>318-L</t>
    </r>
  </si>
  <si>
    <t>08Х19Н13М2Б</t>
  </si>
  <si>
    <t>Круг  68 мм -   0,13-0,16м(4,8кг) - 2шт    клеймо</t>
  </si>
  <si>
    <t xml:space="preserve">Труба  76 х 6,5  - 2,2м(14,1кг) -  1шт   </t>
  </si>
  <si>
    <r>
      <t xml:space="preserve">Лист  42 мм   -  0,55-0,65х0,98м(200кг) - 1шт     н\о      трапеция     </t>
    </r>
    <r>
      <rPr>
        <b/>
        <sz val="10"/>
        <rFont val="Arial"/>
        <family val="2"/>
        <charset val="204"/>
      </rPr>
      <t>склад 6</t>
    </r>
  </si>
  <si>
    <r>
      <t xml:space="preserve">Круг  16 мм  -   2,17-4,75м(50,8кг)  н\о                                       </t>
    </r>
    <r>
      <rPr>
        <b/>
        <sz val="10"/>
        <rFont val="Arial"/>
        <family val="2"/>
        <charset val="204"/>
      </rPr>
      <t>ЭИ-69</t>
    </r>
  </si>
  <si>
    <t>29НК</t>
  </si>
  <si>
    <t>Проволока   ф 2,0мм  - 1,5кг - 1  бухта                       найти!!!!!!!!!!</t>
  </si>
  <si>
    <t>Лом ванадий, лента</t>
  </si>
  <si>
    <t>Труба  108 х 4,5-5  -  3,2м(42кг н\о)  - 1шт</t>
  </si>
  <si>
    <t>Труба  12 х 2,0   -                                                                      6м(3,1кг) - 1шт       найти!!!!!</t>
  </si>
  <si>
    <t xml:space="preserve">Круг   17 мм   -                                               1,37-1,85м(13кг найти!!!!) </t>
  </si>
  <si>
    <r>
      <t>Труба  26,7 х 3,0 - 3,1-3,46м(106кг);  0,56-1,09м(13,1кг) - 10шт</t>
    </r>
    <r>
      <rPr>
        <b/>
        <sz val="10"/>
        <rFont val="Arial"/>
        <family val="2"/>
        <charset val="204"/>
      </rPr>
      <t xml:space="preserve"> аналог ЭИ-943 - 1.4539  -  904-L</t>
    </r>
  </si>
  <si>
    <t xml:space="preserve">ВТ-6 </t>
  </si>
  <si>
    <t xml:space="preserve">Круг  11 мм  -                      2-4м(2,2кг н\о найти!!!!!) </t>
  </si>
  <si>
    <r>
      <t xml:space="preserve">Труба  325 х 12,0 -  </t>
    </r>
    <r>
      <rPr>
        <b/>
        <sz val="8.3000000000000007"/>
        <color indexed="30"/>
        <rFont val="Arial"/>
        <family val="2"/>
        <charset val="204"/>
      </rPr>
      <t xml:space="preserve"> </t>
    </r>
    <r>
      <rPr>
        <b/>
        <sz val="8.3000000000000007"/>
        <rFont val="Arial"/>
        <family val="2"/>
        <charset val="204"/>
      </rPr>
      <t xml:space="preserve">2,89м - 1шт      </t>
    </r>
    <r>
      <rPr>
        <b/>
        <sz val="10"/>
        <rFont val="Arial"/>
        <family val="2"/>
        <charset val="204"/>
      </rPr>
      <t>склад 6</t>
    </r>
    <r>
      <rPr>
        <b/>
        <sz val="12"/>
        <rFont val="Arial"/>
        <family val="2"/>
        <charset val="204"/>
      </rPr>
      <t xml:space="preserve">    </t>
    </r>
    <r>
      <rPr>
        <b/>
        <sz val="8.3000000000000007"/>
        <rFont val="Arial"/>
        <family val="2"/>
        <charset val="204"/>
      </rPr>
      <t xml:space="preserve">                         </t>
    </r>
  </si>
  <si>
    <t xml:space="preserve">Круг  60 мм - 2,6м(32кг); 2,66м(32,7кг); 0,43м(5,4кг клеймо) по 1шт </t>
  </si>
  <si>
    <t xml:space="preserve">08Х18Н10Т  </t>
  </si>
  <si>
    <t>Круг  40 мм  -  1,04м(5,6кг) - 1шт</t>
  </si>
  <si>
    <t>Проволока  1,0 мм - 2,1; 0,85; 0,4; 0,65; 2,3; 3,1; 0,45; 2,1кг ло 1-й бухте константант</t>
  </si>
  <si>
    <t>Труба  89 х 5,5-7,5  - 1,45м(19кг) - 1шт</t>
  </si>
  <si>
    <t>Лом нихром Х20Н80 и Х15Н60  (спирали, проволока, отходы)</t>
  </si>
  <si>
    <t>МНЦ15-20</t>
  </si>
  <si>
    <t>Проволока  3,51 мм   - 48,3кг - 1 бухта   н\о   пружинная    ВО (бирка)</t>
  </si>
  <si>
    <r>
      <t xml:space="preserve">Лента - 0,25х200мм - 61,8кг - 1 рулон       твердая  </t>
    </r>
    <r>
      <rPr>
        <b/>
        <sz val="10"/>
        <rFont val="Arial"/>
        <family val="2"/>
        <charset val="204"/>
      </rPr>
      <t xml:space="preserve"> </t>
    </r>
  </si>
  <si>
    <t>Труба  55 х 6-6,5  -    1,2+1,26м по 1шт</t>
  </si>
  <si>
    <t>Круг  28 мм  -  2,33м - 1шт</t>
  </si>
  <si>
    <t xml:space="preserve">Круг  12 мм  -  2,7-3м(64,4кг от некоторых отрезали куски 1-1,2м)  </t>
  </si>
  <si>
    <r>
      <t xml:space="preserve">Круг  180 мм -  3,91м(790кг) -  1шт    клеймо                                </t>
    </r>
    <r>
      <rPr>
        <b/>
        <sz val="10"/>
        <rFont val="Arial"/>
        <family val="2"/>
        <charset val="204"/>
      </rPr>
      <t xml:space="preserve"> склад 6</t>
    </r>
  </si>
  <si>
    <t>12Х18Н9Т</t>
  </si>
  <si>
    <t>Припой   ф3мм  - проволока бухта 4,8кг спутанная</t>
  </si>
  <si>
    <r>
      <t xml:space="preserve">Круг  30 мм - 0,53+0,55м=6кг, 0,51+0,52+0,55+0,7+0,77+1,02м=23,2кг   маркир   </t>
    </r>
    <r>
      <rPr>
        <b/>
        <sz val="10"/>
        <rFont val="Arial"/>
        <family val="2"/>
        <charset val="204"/>
      </rPr>
      <t>ЭП-33вд</t>
    </r>
  </si>
  <si>
    <t>Круг  40 мм  -  1,22м(6,9кг); 1,8м(10,4кг клейм) по 1шт          маркировка</t>
  </si>
  <si>
    <r>
      <t xml:space="preserve">Шестигранник №36 -                                                                                  </t>
    </r>
    <r>
      <rPr>
        <b/>
        <sz val="8"/>
        <rFont val="Arial"/>
        <family val="2"/>
        <charset val="204"/>
      </rPr>
      <t xml:space="preserve">                 (найти 14кг!!!)</t>
    </r>
  </si>
  <si>
    <t>Полоса        3х25мм   -  11,5кг - 1 бухта</t>
  </si>
  <si>
    <t xml:space="preserve">Ферровольфрам 60%    -  </t>
  </si>
  <si>
    <t>вольфрам 60%</t>
  </si>
  <si>
    <t xml:space="preserve">Круг  29-30 мм  -  1,31м(3,9кг) -  1шт    </t>
  </si>
  <si>
    <r>
      <t xml:space="preserve">Круг  160 мм  -   1,65м(255кг клеймо); 2,24м(350кг бирка) по 1шт        </t>
    </r>
    <r>
      <rPr>
        <b/>
        <sz val="10"/>
        <rFont val="Arial"/>
        <family val="2"/>
        <charset val="204"/>
      </rPr>
      <t xml:space="preserve"> склад 6</t>
    </r>
  </si>
  <si>
    <t xml:space="preserve">Круг  30 мм  -  0,78м(4,3кг); 0,91м(5кг) клеймо  по  1шт   </t>
  </si>
  <si>
    <t>Труба  60 х 4,5-5  -  4м(27,4кг); 3,32м(22,5кг) по 1шт</t>
  </si>
  <si>
    <r>
      <t xml:space="preserve">Труба  168 х 4-4,5  -  5,13м(95кг) - 1шт        </t>
    </r>
    <r>
      <rPr>
        <b/>
        <sz val="10"/>
        <rFont val="Arial"/>
        <family val="2"/>
        <charset val="204"/>
      </rPr>
      <t xml:space="preserve"> склад 6</t>
    </r>
  </si>
  <si>
    <t xml:space="preserve">Проволока   0,3мм  - 11кг; 5,4кг - по 1-й  катушке </t>
  </si>
  <si>
    <t xml:space="preserve">Труба  95 х 6,0  -                                                     1,78м(23,2кг найти!!!)    </t>
  </si>
  <si>
    <t>Труба  152 х 9,5-10  -  1,3м(45кг); 1,39м(47кг) по 1шт</t>
  </si>
  <si>
    <r>
      <t xml:space="preserve">Проволока  3,0 мм  -   3,7; 10,3кг по 1-й бухте                      </t>
    </r>
    <r>
      <rPr>
        <b/>
        <sz val="10"/>
        <rFont val="Arial"/>
        <family val="2"/>
        <charset val="204"/>
      </rPr>
      <t xml:space="preserve"> ЭИ-602</t>
    </r>
  </si>
  <si>
    <t>Лист  16 мм   -  блин ф635мм(39кг)  -  1шт</t>
  </si>
  <si>
    <t xml:space="preserve">Проволока   0,13мм -  катушка 2,5кг - 1шт </t>
  </si>
  <si>
    <t>Проволока   0,18мм - катушка  2,5кг - 1шт</t>
  </si>
  <si>
    <t>Проволока   0,19мм - катушка метал  6,7кг - 1шт</t>
  </si>
  <si>
    <t>Проволока   0,2мм - катушка пластик   7,6кг - 1шт</t>
  </si>
  <si>
    <t>Проволока   0,2мм - катушка дерево    5,1; 5; 5,5; 4,5; 8,1кг по 1шт</t>
  </si>
  <si>
    <t>г3</t>
  </si>
  <si>
    <t>Проволока   0,18мм -  катушки 1,4; 0,4; 3; 2,6кг по 1шт</t>
  </si>
  <si>
    <t>Л-80</t>
  </si>
  <si>
    <t>Труба  58 х 8,0    - 2,91м(16,8кг) - 1шт</t>
  </si>
  <si>
    <r>
      <t xml:space="preserve">Труба  60 х 2,5    -   1,2+1,71м=11,2кг          найти!!!                       </t>
    </r>
    <r>
      <rPr>
        <b/>
        <sz val="10"/>
        <rFont val="Arial"/>
        <family val="2"/>
        <charset val="204"/>
      </rPr>
      <t>ЭИ-943</t>
    </r>
  </si>
  <si>
    <r>
      <t xml:space="preserve">Труба  63 х 2,5    -   1,68м(6,5кг) - 1шт        найти!!!                             </t>
    </r>
    <r>
      <rPr>
        <b/>
        <sz val="10"/>
        <rFont val="Arial"/>
        <family val="2"/>
        <charset val="204"/>
      </rPr>
      <t>ЭИ-943</t>
    </r>
  </si>
  <si>
    <t>Круг  27 мм  - 1,67м(2,8кг) - 1шт</t>
  </si>
  <si>
    <r>
      <t xml:space="preserve">Круг  40(41) мм  - 1,49м(15,9кг клеймо); 1,45м(15,5кг) по 1шт                 </t>
    </r>
    <r>
      <rPr>
        <b/>
        <sz val="10"/>
        <rFont val="Arial"/>
        <family val="2"/>
        <charset val="204"/>
      </rPr>
      <t xml:space="preserve">  ЭИ-607</t>
    </r>
  </si>
  <si>
    <t>ХН80ТБЮ</t>
  </si>
  <si>
    <t>Труба  21 х 3,0 -                                                                          (найти 44кг!!!!)</t>
  </si>
  <si>
    <t>Полоса        1,5х25мм   -  1,5кг - 1  бухта</t>
  </si>
  <si>
    <t>НМц2</t>
  </si>
  <si>
    <t xml:space="preserve">Проволока  1,2 мм - 1,9кг - 1 бухта    </t>
  </si>
  <si>
    <r>
      <t xml:space="preserve">Труба  20 х 2,5  -  1,94м(2,2кг) - 1шт                                                   </t>
    </r>
    <r>
      <rPr>
        <b/>
        <sz val="10"/>
        <rFont val="Arial"/>
        <family val="2"/>
        <charset val="204"/>
      </rPr>
      <t>ЭП-350</t>
    </r>
  </si>
  <si>
    <t>Квадрат  67х70мм  - 0,34м(14,8кг); 0,4м(18,6кг) по 1шт</t>
  </si>
  <si>
    <t>Круг   41,5 мм  - 1,83м(21,2кг) - 1шт</t>
  </si>
  <si>
    <t xml:space="preserve">Круг  60 мм -  0,54м(27,2кг) - 2шт; 1,81м(44,8кг) - 1шт </t>
  </si>
  <si>
    <r>
      <t xml:space="preserve">Круг  24 мм - 4,2м(14,5кг) - 1шт                               </t>
    </r>
    <r>
      <rPr>
        <b/>
        <sz val="10"/>
        <rFont val="Arial"/>
        <family val="2"/>
        <charset val="204"/>
      </rPr>
      <t xml:space="preserve"> НН3Б</t>
    </r>
  </si>
  <si>
    <t>Круг   150 мм - 0,24м(38,1кг) - 1шт</t>
  </si>
  <si>
    <t>Труба  8 х 1,5   -  2,1-2,3м   маркир</t>
  </si>
  <si>
    <t>Лист  8 мм -  1,51х3,2м(99,6+100,4кг) по 1шт  клеймо</t>
  </si>
  <si>
    <t>Лист  35 мм  -  блин ф190мм(7,7кг) - 1шт</t>
  </si>
  <si>
    <t xml:space="preserve">Круг  60 мм -  0,15м(1,8кг) - 1шт   </t>
  </si>
  <si>
    <r>
      <t xml:space="preserve">Круг  90 мм   -  4,26м(212кг); 4,37м(220кг) по 1шт   клеймо    </t>
    </r>
    <r>
      <rPr>
        <b/>
        <sz val="10"/>
        <rFont val="Arial"/>
        <family val="2"/>
        <charset val="204"/>
      </rPr>
      <t xml:space="preserve">   склад 2</t>
    </r>
  </si>
  <si>
    <r>
      <t xml:space="preserve">Труба  76 х 3,5  -  0,88; 1,04; 1,04м по  1шт                                  </t>
    </r>
    <r>
      <rPr>
        <b/>
        <sz val="10"/>
        <rFont val="Arial"/>
        <family val="2"/>
        <charset val="204"/>
      </rPr>
      <t>ЭИ-943</t>
    </r>
  </si>
  <si>
    <t>АК-8пп</t>
  </si>
  <si>
    <t>Проволока ф4мм    -  2,5кг - 1 бухта</t>
  </si>
  <si>
    <t>Круг  18 мм -   0,6м(0,7кг) - 1шт</t>
  </si>
  <si>
    <r>
      <t xml:space="preserve">Труба  38 х 3,0 - 3,39м(8,5кг); 2,08м(5,8кг); 2,46м(6,5кг) по 1шт     </t>
    </r>
    <r>
      <rPr>
        <b/>
        <sz val="10"/>
        <rFont val="Arial"/>
        <family val="2"/>
        <charset val="204"/>
      </rPr>
      <t xml:space="preserve"> ЭИ-943</t>
    </r>
  </si>
  <si>
    <t>Труба  18 х 4,0   -                                                                       ( 3,3кг найти!!!!!)</t>
  </si>
  <si>
    <t>Д18</t>
  </si>
  <si>
    <t>АМГ-5</t>
  </si>
  <si>
    <r>
      <t xml:space="preserve">Лист  35 мм  -   0,495х1,25м(177кг) - 1шт   маркирован                </t>
    </r>
    <r>
      <rPr>
        <b/>
        <sz val="10"/>
        <rFont val="Arial"/>
        <family val="2"/>
        <charset val="204"/>
      </rPr>
      <t xml:space="preserve">  склад 2</t>
    </r>
  </si>
  <si>
    <t xml:space="preserve"> 10Х17Н13М2Т</t>
  </si>
  <si>
    <t>Круг  55 мм  -  0,57м(10,9кг) - 1шт</t>
  </si>
  <si>
    <t>Труба  33,5 х 4,0 -                                                        (найти 1 трубу 9,2кг!!!!)</t>
  </si>
  <si>
    <r>
      <t xml:space="preserve">Проволока   1,6 мм  -  24,3; 23; 15,7кг; 25кг - по 1-й бухте      бирка   </t>
    </r>
    <r>
      <rPr>
        <b/>
        <sz val="10"/>
        <rFont val="Arial"/>
        <family val="2"/>
        <charset val="204"/>
      </rPr>
      <t xml:space="preserve"> ЭИ-602</t>
    </r>
  </si>
  <si>
    <t>Лист  45(46) мм  -  блин     ф510мм(92,1кг) - 1шт</t>
  </si>
  <si>
    <t xml:space="preserve">Труба  108 х 5,0 -  2,72м(33кг) - 1шт </t>
  </si>
  <si>
    <r>
      <t xml:space="preserve">Труба  76 х 4,5    -   1,74; 1,99; 2,16; 2,47м по 1шт                     </t>
    </r>
    <r>
      <rPr>
        <b/>
        <sz val="10"/>
        <rFont val="Arial"/>
        <family val="2"/>
        <charset val="204"/>
      </rPr>
      <t>ЭИ-943</t>
    </r>
  </si>
  <si>
    <t xml:space="preserve">Круг  24 мм -  0,32м(0,6кг); 0,75м - 5шт; 0,55м - 1шт  </t>
  </si>
  <si>
    <t xml:space="preserve">Круг  49(47) мм  - 1,6м(24кг н\о) - 1шт               </t>
  </si>
  <si>
    <t xml:space="preserve">ВТ-14 </t>
  </si>
  <si>
    <t xml:space="preserve">Круг   80 мм -                                          0,38м(14,2кг найти!!!) </t>
  </si>
  <si>
    <t xml:space="preserve">Проволока   ф 2,8мм  -  8,7кг   - 1 бухта </t>
  </si>
  <si>
    <t>Круг   140 мм  - 0,84м(95,7+95,7кг) по 1шт</t>
  </si>
  <si>
    <t>Лист латунный 4,5 мм -                                    0,6х1,5м(33кг) - 1шт   найти!!!!!!!!</t>
  </si>
  <si>
    <t>Круг  20 мм  -  3,18-3,5м  н\о</t>
  </si>
  <si>
    <r>
      <t xml:space="preserve">Труба  85 х 3,0  - 2,34м(14,9кг) -  1шт                                                </t>
    </r>
    <r>
      <rPr>
        <b/>
        <sz val="10"/>
        <rFont val="Arial"/>
        <family val="2"/>
        <charset val="204"/>
      </rPr>
      <t>ЭИ-943</t>
    </r>
  </si>
  <si>
    <r>
      <t xml:space="preserve">Круг  87 мм -  1,7м(82кг) - 1шт                                                    </t>
    </r>
    <r>
      <rPr>
        <b/>
        <sz val="10"/>
        <rFont val="Arial"/>
        <family val="2"/>
        <charset val="204"/>
      </rPr>
      <t xml:space="preserve">  ЭИ-943</t>
    </r>
  </si>
  <si>
    <t xml:space="preserve">Труба  19 х 2"+" -  3,3-4,3м </t>
  </si>
  <si>
    <t>Проволока   0,2мм  - 7,4кг -  1  катушка</t>
  </si>
  <si>
    <t xml:space="preserve">Круг  26 мм - 0,92м(3,9кг); 0,59м(2,5кг клейм);  0,73м(3,3кг клейм); 0,49+0,58м=4,5кг; 0,46м(2кг)  по 1шт    </t>
  </si>
  <si>
    <t>Проволока   3,6 мм  -   бухта 1кг - 1шт</t>
  </si>
  <si>
    <t>40КХНМ</t>
  </si>
  <si>
    <t xml:space="preserve">Лист  25 мм  -  0,21х0,67м(28,9+30,2+29,3кг) по 1шт                                  </t>
  </si>
  <si>
    <r>
      <t xml:space="preserve">Шестигранник №19  -  1,46-2м(21,8кг); 0,68м(1,6кг)                         </t>
    </r>
    <r>
      <rPr>
        <b/>
        <sz val="10"/>
        <rFont val="Arial"/>
        <family val="2"/>
        <charset val="204"/>
      </rPr>
      <t xml:space="preserve">  ЭИ-654</t>
    </r>
  </si>
  <si>
    <t xml:space="preserve">Круг  32 мм  -                                                                                           1м(6,4кг найти!!!!) </t>
  </si>
  <si>
    <t xml:space="preserve"> 08Х17Н13М2 </t>
  </si>
  <si>
    <t xml:space="preserve">08Х18Н10   </t>
  </si>
  <si>
    <r>
      <t xml:space="preserve">Шестигранник №30  - 3,27-3,5м(82,9кг) - 4шт  клейма  </t>
    </r>
    <r>
      <rPr>
        <b/>
        <sz val="10"/>
        <rFont val="Arial"/>
        <family val="2"/>
        <charset val="204"/>
      </rPr>
      <t xml:space="preserve"> ЭП-33вд</t>
    </r>
  </si>
  <si>
    <t xml:space="preserve">Круг  100 мм  -  0,51м(19кг) - 1шт  </t>
  </si>
  <si>
    <t xml:space="preserve">Лист  5 мм -  1,43х1,5м(86,5кг) - 1шт                          </t>
  </si>
  <si>
    <t>Труба  56 х 3-3,5 -  5,12м(21,6кг)  - 1шт</t>
  </si>
  <si>
    <t>Х20Н30</t>
  </si>
  <si>
    <t>Проволока  3,5 мм - 11,7кг - 1 бухта - жесткая, возможно пружинная</t>
  </si>
  <si>
    <r>
      <t xml:space="preserve">Круг  238 мм  -  0,72м(265кг клеймо)  - 1шт       </t>
    </r>
    <r>
      <rPr>
        <b/>
        <sz val="10"/>
        <rFont val="Arial"/>
        <family val="2"/>
        <charset val="204"/>
      </rPr>
      <t xml:space="preserve">  склад 6   </t>
    </r>
  </si>
  <si>
    <r>
      <t xml:space="preserve">Круг  260 мм  -  0,56м(235кг клеймо)  - 1шт       </t>
    </r>
    <r>
      <rPr>
        <b/>
        <sz val="10"/>
        <rFont val="Arial"/>
        <family val="2"/>
        <charset val="204"/>
      </rPr>
      <t xml:space="preserve">  склад 6   </t>
    </r>
  </si>
  <si>
    <t xml:space="preserve">Круг  150 мм - 0,44м(59кг клеймо) - 1шт      </t>
  </si>
  <si>
    <t>Квадрат  110х110 мм -  0,85м(83,5кг) - 1шт  не гост!!!!</t>
  </si>
  <si>
    <t xml:space="preserve">Круг  94 мм  - 0,75м(14,3кг клеймо)  - 1шт               </t>
  </si>
  <si>
    <t>Проволока  6,3мм    -   4кг - 1 бухта</t>
  </si>
  <si>
    <t>Круг  25 мм  -  1,77м(3,8кг) - 1шт</t>
  </si>
  <si>
    <t xml:space="preserve">Круг  60 мм -  0,16м(2,1кг) - 1шт   </t>
  </si>
  <si>
    <r>
      <t xml:space="preserve">Лист  5 мм  - 0,74х0,89м(27,6кг)  - 1шт                                    </t>
    </r>
    <r>
      <rPr>
        <b/>
        <sz val="10"/>
        <rFont val="Arial"/>
        <family val="2"/>
        <charset val="204"/>
      </rPr>
      <t xml:space="preserve">   ЭИ-602</t>
    </r>
  </si>
  <si>
    <t>Круг  27мм  -  2,44м(10,9кг) - 1шт</t>
  </si>
  <si>
    <r>
      <t xml:space="preserve">Круг 9мм - 2-3м                  </t>
    </r>
    <r>
      <rPr>
        <b/>
        <sz val="10"/>
        <rFont val="Arial"/>
        <family val="2"/>
        <charset val="204"/>
      </rPr>
      <t xml:space="preserve"> склад 7</t>
    </r>
  </si>
  <si>
    <r>
      <t xml:space="preserve">Лист  25 мм  -   1,32-1,35х1,62м(424кг) - 1шт      </t>
    </r>
    <r>
      <rPr>
        <b/>
        <sz val="10"/>
        <rFont val="Arial"/>
        <family val="2"/>
        <charset val="204"/>
      </rPr>
      <t xml:space="preserve">  склад 2</t>
    </r>
  </si>
  <si>
    <r>
      <t xml:space="preserve">Лист  25 мм  -   1,32-1,35х1,63м(428кг) - 1шт      </t>
    </r>
    <r>
      <rPr>
        <b/>
        <sz val="10"/>
        <rFont val="Arial"/>
        <family val="2"/>
        <charset val="204"/>
      </rPr>
      <t xml:space="preserve">  склад 2</t>
    </r>
  </si>
  <si>
    <t xml:space="preserve">Круг  70 мм  -  0,4м(11,8кг) -  1шт    </t>
  </si>
  <si>
    <t xml:space="preserve">Лист  20 мм  -  0,2х0,32м(10,5кг); 0,23х0,29м(11,6кг) по 1шт                                  </t>
  </si>
  <si>
    <t xml:space="preserve">Проволока  4,0  мм - 63,5; 65; 5,9кг; 5,6кг  по 1-й бухте </t>
  </si>
  <si>
    <t xml:space="preserve">Круг  65мм  -  0,74м(11,3кг клеймо); 0,17м(2,7кг) по 1шт </t>
  </si>
  <si>
    <r>
      <t xml:space="preserve">Круг  145 мм  -   0,24м(35,7кг) - 1шт      </t>
    </r>
    <r>
      <rPr>
        <b/>
        <sz val="10"/>
        <rFont val="Arial"/>
        <family val="2"/>
        <charset val="204"/>
      </rPr>
      <t xml:space="preserve">                ЭИ-437</t>
    </r>
  </si>
  <si>
    <r>
      <t xml:space="preserve">Лист  5 мм  -  1х1м(40кг) - 1шт                    искать!!!                    </t>
    </r>
    <r>
      <rPr>
        <b/>
        <sz val="10"/>
        <rFont val="Arial"/>
        <family val="2"/>
        <charset val="204"/>
      </rPr>
      <t>ЭП-670</t>
    </r>
  </si>
  <si>
    <t>Круг  50-60 мм  -  0,6м(12кг) - 1шт  кованый на конус 60-50мм, по центру ф55мм</t>
  </si>
  <si>
    <t>Проволока   1,45мм    -   14кг -  1 бухта</t>
  </si>
  <si>
    <t>Труба  10 х 1,0  -  3-5,5м                      найти 20кг!!!!!!!!!</t>
  </si>
  <si>
    <t xml:space="preserve">Круг   148 мм - 0,4м(61,7кг) - 1шт  </t>
  </si>
  <si>
    <t xml:space="preserve">Чушка бабит   </t>
  </si>
  <si>
    <t>БН</t>
  </si>
  <si>
    <t>Лист 3,5мм - 0,37х0,78м(8кг); 0,47х0,79м(10,5кг без угла 5х5см); 0,37х0,79м(8,2кг) по 1шт</t>
  </si>
  <si>
    <t>Круг  105 мм  -  0,22м(10,8кг кованый) - 1шт</t>
  </si>
  <si>
    <t xml:space="preserve">Круг  15"-" мм -  0,51-0,7м(2,9кг) </t>
  </si>
  <si>
    <t xml:space="preserve"> 30Х13</t>
  </si>
  <si>
    <t xml:space="preserve">Круг   42 мм -                           0,78м(9,1кг найти!!!!) </t>
  </si>
  <si>
    <t xml:space="preserve">Лист медный 5,0 мм -                                           0,6х1,13м(29,5кг найти!!!)  </t>
  </si>
  <si>
    <t xml:space="preserve">Д16 </t>
  </si>
  <si>
    <r>
      <t xml:space="preserve">Труба  180 х 28 -  3,1м - 1шт    </t>
    </r>
    <r>
      <rPr>
        <b/>
        <sz val="10"/>
        <rFont val="Arial"/>
        <family val="2"/>
        <charset val="204"/>
      </rPr>
      <t xml:space="preserve"> склад 6     </t>
    </r>
    <r>
      <rPr>
        <b/>
        <sz val="8.3000000000000007"/>
        <rFont val="Arial"/>
        <family val="2"/>
        <charset val="204"/>
      </rPr>
      <t xml:space="preserve">              </t>
    </r>
  </si>
  <si>
    <t>Лист латунный 8,0 мм - 1,03х1,25м(83,5кг найти!!!) - 1шт</t>
  </si>
  <si>
    <r>
      <t xml:space="preserve">Труба  19 х 2,0 - 2,6-3,2м(119,5кг)     </t>
    </r>
    <r>
      <rPr>
        <b/>
        <sz val="10"/>
        <rFont val="Arial"/>
        <family val="2"/>
        <charset val="204"/>
      </rPr>
      <t xml:space="preserve"> аналог ЭИ-943  -  904-L</t>
    </r>
  </si>
  <si>
    <t>Круг   80 мм - 0,86м(36,3кг) - 1шт</t>
  </si>
  <si>
    <t>Труба  34 х 5,0   -                                         4,5-5,2м(20,1кг резал куски)    маркир    найти!!!!</t>
  </si>
  <si>
    <t xml:space="preserve">Труба  25 х 2,5 -  3,22+3,51м=9,2кг; 2,6-3,1м(41,5кг); 2,9-3,8м(68,5кг) </t>
  </si>
  <si>
    <t>Лист  8 мм   -  0,36х0,59м(14,9кг) - 1шт</t>
  </si>
  <si>
    <r>
      <t xml:space="preserve">Круг  28 мм   -  0,73м(3,2кг) - 1шт                                        </t>
    </r>
    <r>
      <rPr>
        <b/>
        <sz val="10"/>
        <rFont val="Arial"/>
        <family val="2"/>
        <charset val="204"/>
      </rPr>
      <t>ЭИ-437</t>
    </r>
  </si>
  <si>
    <r>
      <t xml:space="preserve">Труба  108 х 5,0 -  4,5; 4,98; 4,52м по 1шт      </t>
    </r>
    <r>
      <rPr>
        <b/>
        <sz val="10"/>
        <rFont val="Arial"/>
        <family val="2"/>
        <charset val="204"/>
      </rPr>
      <t xml:space="preserve"> склад 6     </t>
    </r>
    <r>
      <rPr>
        <b/>
        <sz val="8.3000000000000007"/>
        <rFont val="Arial"/>
        <family val="2"/>
        <charset val="204"/>
      </rPr>
      <t xml:space="preserve">              </t>
    </r>
  </si>
  <si>
    <t xml:space="preserve">Круг  360 мм  - 80-110мм(85кг)  -  1шт   (наискось резан)            </t>
  </si>
  <si>
    <t xml:space="preserve">Круг  105 мм - 1,2м(81,5кг) - 1шт </t>
  </si>
  <si>
    <t xml:space="preserve">Лист  1,5 мм  -  0,71х1,51м(13кг) - 1шт </t>
  </si>
  <si>
    <t>Лист 20 мм -  блин ф190мм(2,5кг) - 1шт клеймо</t>
  </si>
  <si>
    <t xml:space="preserve">Лист 20мм - 0,38х0,91м(30,4кг) - 1шт </t>
  </si>
  <si>
    <t xml:space="preserve">Круг  78 мм - 1,01м(22,7кг) - 1шт     </t>
  </si>
  <si>
    <r>
      <t xml:space="preserve">Труба  57 х 14,0   по  4,26м - 5шт  </t>
    </r>
    <r>
      <rPr>
        <b/>
        <sz val="10"/>
        <rFont val="Arial"/>
        <family val="2"/>
        <charset val="204"/>
      </rPr>
      <t xml:space="preserve">  склад 6</t>
    </r>
  </si>
  <si>
    <r>
      <t xml:space="preserve">Труба  60 х 5,0  -  2,1; 3,07м по 1шт              </t>
    </r>
    <r>
      <rPr>
        <b/>
        <sz val="10"/>
        <rFont val="Arial"/>
        <family val="2"/>
        <charset val="204"/>
      </rPr>
      <t>316-Ti</t>
    </r>
  </si>
  <si>
    <t>Проволока   1,2мм    -  9,2кг; 1,8кг по  1-й бухте</t>
  </si>
  <si>
    <t xml:space="preserve">Труба  19 х 2,5  -   4,46-6м(39,3кг); 2,82м(2,7кг) - 1шт </t>
  </si>
  <si>
    <r>
      <t xml:space="preserve">Круг  75 мм -  4м(140кг клеймо) - 1шт         </t>
    </r>
    <r>
      <rPr>
        <b/>
        <sz val="10"/>
        <rFont val="Arial"/>
        <family val="2"/>
        <charset val="204"/>
      </rPr>
      <t>склад 2</t>
    </r>
  </si>
  <si>
    <t>Круг  9 мм  -                                                            0,93-1,5м(2,1кг)  найти!!!!</t>
  </si>
  <si>
    <t xml:space="preserve">Круг  130 мм  -  0,4м(24,6кг) - 1шт     </t>
  </si>
  <si>
    <t xml:space="preserve">Круг  14 мм -  3,5-3,6м(несколько шт клейма, н\о)  </t>
  </si>
  <si>
    <r>
      <t xml:space="preserve">Круг  140 мм  -  1,44м(165кг н\о) - 1шт                      </t>
    </r>
    <r>
      <rPr>
        <b/>
        <sz val="10"/>
        <rFont val="Arial"/>
        <family val="2"/>
        <charset val="204"/>
      </rPr>
      <t>склад 6</t>
    </r>
  </si>
  <si>
    <t xml:space="preserve">Круг   140 мм -   0,24м(32кг) - 1шт  </t>
  </si>
  <si>
    <t>Проволока   ф 1,8мм  -   13,5кг - 1 бухта</t>
  </si>
  <si>
    <t xml:space="preserve">Труба  19х1,0  -  3,5-3,6м </t>
  </si>
  <si>
    <t>Лист  25 мм  -  блин  ф650мм(67,3кг); ф700мм(76,9кг) по 1шт</t>
  </si>
  <si>
    <r>
      <t xml:space="preserve">Лист  27"-" мм  -  0,64х0,76м(103кг)  -  1шт           </t>
    </r>
    <r>
      <rPr>
        <b/>
        <sz val="10"/>
        <rFont val="Arial"/>
        <family val="2"/>
        <charset val="204"/>
      </rPr>
      <t>склад 6</t>
    </r>
    <r>
      <rPr>
        <b/>
        <sz val="8"/>
        <rFont val="Arial"/>
        <family val="2"/>
        <charset val="204"/>
      </rPr>
      <t xml:space="preserve">        </t>
    </r>
    <r>
      <rPr>
        <b/>
        <sz val="10"/>
        <rFont val="Arial"/>
        <family val="2"/>
        <charset val="204"/>
      </rPr>
      <t xml:space="preserve"> </t>
    </r>
  </si>
  <si>
    <t>Круг  31 мм -  0,36м(2,2кг) - 1шт</t>
  </si>
  <si>
    <t xml:space="preserve">Круг 9мм  -  2,22м - 1шт                 </t>
  </si>
  <si>
    <t>Труба  73 х 4,5-5   - 2,8м(23кг) - 1шт</t>
  </si>
  <si>
    <t>Труба  73 х 4,5-5   - 3,85м(32,6кг); 2,67м(22кг) по 1шт</t>
  </si>
  <si>
    <r>
      <t xml:space="preserve">Труба  114 х 3,5  - 4,74м(43,2кг) - 1шт      </t>
    </r>
    <r>
      <rPr>
        <b/>
        <sz val="10"/>
        <rFont val="Arial"/>
        <family val="2"/>
        <charset val="204"/>
      </rPr>
      <t xml:space="preserve"> </t>
    </r>
  </si>
  <si>
    <t xml:space="preserve">Круг  35 мм  -                                                             0,7-0,8м(135кг найти!!!!!!) </t>
  </si>
  <si>
    <t>Круг  50 мм  -  2,49м(39,7кг клеймо); 1,38м(22,5+22,5кг клеймо); 1,43+1,43м=45,5кг по 1шт</t>
  </si>
  <si>
    <t>Круг   280 мм -  0,19м(92,8кг по центру отверстие ф18мм) - 1шт</t>
  </si>
  <si>
    <r>
      <t xml:space="preserve">Проволока  3,0 мм  -  катушки по 25кг - 9шт бирки           </t>
    </r>
    <r>
      <rPr>
        <b/>
        <sz val="10"/>
        <rFont val="Arial"/>
        <family val="2"/>
        <charset val="204"/>
      </rPr>
      <t xml:space="preserve"> ER-307 </t>
    </r>
  </si>
  <si>
    <r>
      <t xml:space="preserve">Круг  48 мм  -  0,33м(5кг) - 1шт  </t>
    </r>
    <r>
      <rPr>
        <b/>
        <sz val="10"/>
        <rFont val="Arial"/>
        <family val="2"/>
        <charset val="204"/>
      </rPr>
      <t xml:space="preserve">        ЭП-33вд</t>
    </r>
  </si>
  <si>
    <t>Круг   9 мм  -  1,8-1,97м(50,2кг); 0,63-0,75м(13,1кг)</t>
  </si>
  <si>
    <t>Проволока  8 мм    -   4,6кг - 1 бухта</t>
  </si>
  <si>
    <r>
      <t xml:space="preserve">Труба  114 х 8,5-9 -  2,67м(52,2кг) - 1шт        </t>
    </r>
    <r>
      <rPr>
        <b/>
        <sz val="10"/>
        <rFont val="Arial"/>
        <family val="2"/>
        <charset val="204"/>
      </rPr>
      <t xml:space="preserve"> </t>
    </r>
  </si>
  <si>
    <t xml:space="preserve">Круг   84 мм -  0,21м(9кг) - 1шт  </t>
  </si>
  <si>
    <t>Проволока   1,8мм    -   3,3; 1,4кг по 1-й  бухте</t>
  </si>
  <si>
    <t xml:space="preserve"> 20Х13</t>
  </si>
  <si>
    <r>
      <t xml:space="preserve">Лист  2,5 мм -  0,71х1,19м(19,2кг) - 1шт             </t>
    </r>
    <r>
      <rPr>
        <b/>
        <sz val="10"/>
        <rFont val="Arial"/>
        <family val="2"/>
        <charset val="204"/>
      </rPr>
      <t>ЭИ-868 маркировка</t>
    </r>
  </si>
  <si>
    <t xml:space="preserve">Труба  89 х 3,0 - 2,23м(12,9кг) - 1шт      сварная  </t>
  </si>
  <si>
    <t>Круг  40 мм  -                       1,02м(9,7кг найти!!!!) - 1шт</t>
  </si>
  <si>
    <t>Лист  30 мм  -  блин ф495мм(47,7кг - 1шт; 47,3кг - 1шт по центру отверстие ф60мм)  по 1шт</t>
  </si>
  <si>
    <t xml:space="preserve">12Х18Н10Т   </t>
  </si>
  <si>
    <t>Лист  1,3 мм  -  0,7х1,21-1,29м  -  9шт    маркирован</t>
  </si>
  <si>
    <t>Труба  34 х 1,2   -   3,45-3,7м</t>
  </si>
  <si>
    <t>Труба  33 х 1,5  -   1,8м(2,1кг); 3,25м(3,9кг) по 1шт     сварная</t>
  </si>
  <si>
    <t>10Х11Н20ТЗР</t>
  </si>
  <si>
    <r>
      <t xml:space="preserve">Круг  100 мм  -  0,18м(11,5кг клеймо) - 1шт   </t>
    </r>
    <r>
      <rPr>
        <b/>
        <sz val="10"/>
        <rFont val="Arial"/>
        <family val="2"/>
        <charset val="204"/>
      </rPr>
      <t xml:space="preserve">        ЭИ-696</t>
    </r>
  </si>
  <si>
    <t>Проволока ф6мм -  3,9; 1,4; 3,8кг по 1-й бухте</t>
  </si>
  <si>
    <t xml:space="preserve">Круг  83 мм    -  0,47м(11,3кг) - 1шт </t>
  </si>
  <si>
    <r>
      <t xml:space="preserve">Круг  26мм   -  2,15; 3,78м по 1шт; 4,18-4,24м - 8шт                     </t>
    </r>
    <r>
      <rPr>
        <b/>
        <sz val="10"/>
        <rFont val="Arial"/>
        <family val="2"/>
        <charset val="204"/>
      </rPr>
      <t>НН3Б</t>
    </r>
  </si>
  <si>
    <r>
      <t xml:space="preserve">Круг  24 мм  -   2,5-3,5м       </t>
    </r>
    <r>
      <rPr>
        <b/>
        <sz val="10"/>
        <rFont val="Arial"/>
        <family val="2"/>
        <charset val="204"/>
      </rPr>
      <t>склад 7</t>
    </r>
    <r>
      <rPr>
        <b/>
        <sz val="8.5"/>
        <rFont val="Arial"/>
        <family val="2"/>
        <charset val="204"/>
      </rPr>
      <t xml:space="preserve">          </t>
    </r>
    <r>
      <rPr>
        <b/>
        <sz val="10"/>
        <rFont val="Arial"/>
        <family val="2"/>
        <charset val="204"/>
      </rPr>
      <t xml:space="preserve"> ЭИ-69</t>
    </r>
  </si>
  <si>
    <r>
      <t xml:space="preserve">Круг  19 мм  -   1,75м(4,2кг) - 1шт        </t>
    </r>
    <r>
      <rPr>
        <b/>
        <sz val="10"/>
        <rFont val="Arial"/>
        <family val="2"/>
        <charset val="204"/>
      </rPr>
      <t xml:space="preserve"> ЭИ-437</t>
    </r>
  </si>
  <si>
    <r>
      <t xml:space="preserve">Квадрат  70х70мм -  6,02м - 1шт                   </t>
    </r>
    <r>
      <rPr>
        <b/>
        <sz val="10"/>
        <rFont val="Arial"/>
        <family val="2"/>
        <charset val="204"/>
      </rPr>
      <t xml:space="preserve">склад 6        </t>
    </r>
  </si>
  <si>
    <r>
      <t xml:space="preserve">Круг  170 мм  -  0,18м(32,8кг) - 1шт      </t>
    </r>
    <r>
      <rPr>
        <b/>
        <sz val="10"/>
        <rFont val="Arial"/>
        <family val="2"/>
        <charset val="204"/>
      </rPr>
      <t xml:space="preserve">             ЭИ-268</t>
    </r>
  </si>
  <si>
    <r>
      <t xml:space="preserve">Круг  80 мм  - 3,4; 3,47м по 1шт  н\о   клеймо  </t>
    </r>
    <r>
      <rPr>
        <b/>
        <sz val="10"/>
        <rFont val="Arial"/>
        <family val="2"/>
        <charset val="204"/>
      </rPr>
      <t xml:space="preserve">   склад 6</t>
    </r>
  </si>
  <si>
    <t>ХН73МБТЮ</t>
  </si>
  <si>
    <r>
      <t xml:space="preserve">Круг  12 мм   -    0,87-0,97м                           </t>
    </r>
    <r>
      <rPr>
        <b/>
        <sz val="10"/>
        <rFont val="Arial"/>
        <family val="2"/>
        <charset val="204"/>
      </rPr>
      <t xml:space="preserve">ЭИ-698 </t>
    </r>
  </si>
  <si>
    <r>
      <t xml:space="preserve">Круг  12,5-13 мм   -   0,85-1,35м                           </t>
    </r>
    <r>
      <rPr>
        <b/>
        <sz val="10"/>
        <rFont val="Arial"/>
        <family val="2"/>
        <charset val="204"/>
      </rPr>
      <t xml:space="preserve">ЭИ-929 </t>
    </r>
  </si>
  <si>
    <t xml:space="preserve">Круг  60 мм -  1,35м(по 17,4кг) - 2шт  </t>
  </si>
  <si>
    <t xml:space="preserve">Ферромарганец 88-й -  </t>
  </si>
  <si>
    <t>Мн88%</t>
  </si>
  <si>
    <t>Труба  76 х 6,5-7 -  1-1,12м - 11шт</t>
  </si>
  <si>
    <t>Круг   36 мм   -                                              (найти 6кг!!!)</t>
  </si>
  <si>
    <t xml:space="preserve">Круг  30 мм  - 2,1-2,5м(25,2кг от 1шт резали 0,5м)  </t>
  </si>
  <si>
    <r>
      <t xml:space="preserve">Круг  28 мм   -  0,68м(3,5кг) - 1шт                     </t>
    </r>
    <r>
      <rPr>
        <b/>
        <sz val="10"/>
        <rFont val="Arial"/>
        <family val="2"/>
        <charset val="204"/>
      </rPr>
      <t>ЭИ-652</t>
    </r>
  </si>
  <si>
    <r>
      <t>Шестигранник №22 -  60-100мм(2,4кг); 30-260мм(19,1кг); 0,15+0,2-0,28м=19,4кг</t>
    </r>
    <r>
      <rPr>
        <b/>
        <sz val="10"/>
        <rFont val="Arial"/>
        <family val="2"/>
        <charset val="204"/>
      </rPr>
      <t xml:space="preserve">  ЭП-33вд</t>
    </r>
  </si>
  <si>
    <t xml:space="preserve">Труба  89 х 4,5-5  -  3,2м(30,5кг н\о); 3,4м(30,7кг) по 1шт </t>
  </si>
  <si>
    <t xml:space="preserve">Лист  8 мм -  0,71х1,44м(67кг н\о); 0,73х1,44м(64,7кг); 0,74х1,44м(70,4кг н\о); 0,72х1,44м(63,6кг); 0,74х1,44м(66кг н\о) </t>
  </si>
  <si>
    <t>Лист  8 мм -  0,98х1,44м(86,2кг 2 выреза ф70мм); 0,98х1,44м(87,3кг 2 выреза ф30мм); 0,98х1,44м(94,7кг н\о 2 выреза ф70мм); 0,98х1,44м(89,4кг н\о - 2 выреза ф30мм); 0,98х1,44м(86,7кг н\о 2 выреза ф70мм)  по 1-й длинной стороне на расстоянии 250мм от короткой и 250мм от длинной стороны 2 выреза ф30 и ф70мм соответственно</t>
  </si>
  <si>
    <r>
      <t xml:space="preserve">Лист  8 мм - 1,44х1,46м - 4шт(2шт светл и 2шт темн) ; 1,2х1,44м - 1шт     </t>
    </r>
    <r>
      <rPr>
        <b/>
        <sz val="10"/>
        <rFont val="Arial"/>
        <family val="2"/>
        <charset val="204"/>
      </rPr>
      <t>склад 6</t>
    </r>
  </si>
  <si>
    <r>
      <t xml:space="preserve">Круг  123-126мм -  0,98м(95,9кг клеймо) - 1шт                      </t>
    </r>
    <r>
      <rPr>
        <b/>
        <sz val="10"/>
        <rFont val="Arial"/>
        <family val="2"/>
        <charset val="204"/>
      </rPr>
      <t>ЭИ-943</t>
    </r>
  </si>
  <si>
    <r>
      <t xml:space="preserve">Труба  89 х 5,5 -  2,96м(34,5кг) - 1шт                </t>
    </r>
    <r>
      <rPr>
        <b/>
        <sz val="10"/>
        <rFont val="Arial"/>
        <family val="2"/>
        <charset val="204"/>
      </rPr>
      <t xml:space="preserve"> </t>
    </r>
  </si>
  <si>
    <t>Труба  73 х 5,5-6   - 3,99м(37,8кг) - 1шт</t>
  </si>
  <si>
    <t>Круг  65 мм  -  1,64м(42кг) - 1шт</t>
  </si>
  <si>
    <t>Х12Ф</t>
  </si>
  <si>
    <t>Круг  66 мм  -  1,72м(45,7кг) - 1шт</t>
  </si>
  <si>
    <r>
      <t xml:space="preserve">Лист  3 мм  - 1х2м(47,7кг) - 1шт           </t>
    </r>
    <r>
      <rPr>
        <b/>
        <sz val="10"/>
        <rFont val="Arial"/>
        <family val="2"/>
        <charset val="204"/>
      </rPr>
      <t>316-L</t>
    </r>
  </si>
  <si>
    <r>
      <t xml:space="preserve">Круг  45 мм  - 1,83м(22,5кг) -1шт      клеймо                      </t>
    </r>
    <r>
      <rPr>
        <b/>
        <sz val="10"/>
        <rFont val="Arial"/>
        <family val="2"/>
        <charset val="204"/>
      </rPr>
      <t>ЭП-768</t>
    </r>
  </si>
  <si>
    <t>16Х20К6Н2МВФ</t>
  </si>
  <si>
    <t>Круг   64 мм - 0,52м(13кг) - 1шт</t>
  </si>
  <si>
    <t>Проволока  7,5 мм  - 7,7кг; 4кг; 3,6кг(н\о)  по 1-й бухте</t>
  </si>
  <si>
    <t>Труба  56х4-4,5  -  2; 2,35м по 1шт</t>
  </si>
  <si>
    <t>Труба  56х3,5-4  -  3м(50кг) - 3шт</t>
  </si>
  <si>
    <t>Проволока   1,55мм    -   6,5кг -   1  бухта</t>
  </si>
  <si>
    <t>Круг   37 мм -  0,43; 0,5; 0,67м по 1шт</t>
  </si>
  <si>
    <t>Лист  0,7 мм  -    1х2м(91,1кг) - 8шт   зеркало</t>
  </si>
  <si>
    <r>
      <t xml:space="preserve">Труба  9,52х0,81 -                            </t>
    </r>
    <r>
      <rPr>
        <b/>
        <sz val="12"/>
        <rFont val="Arial"/>
        <family val="2"/>
        <charset val="204"/>
      </rPr>
      <t xml:space="preserve">3\8     </t>
    </r>
    <r>
      <rPr>
        <b/>
        <sz val="10"/>
        <rFont val="Arial"/>
        <family val="2"/>
        <charset val="204"/>
      </rPr>
      <t xml:space="preserve">  (4,8кг найти!!!!!!!)</t>
    </r>
  </si>
  <si>
    <r>
      <t xml:space="preserve">Круг  220 мм  - 45мм(14,1кг клеймо); 55мм(17,1кг клеймо) по 1шт      </t>
    </r>
    <r>
      <rPr>
        <b/>
        <sz val="10"/>
        <rFont val="Arial"/>
        <family val="2"/>
        <charset val="204"/>
      </rPr>
      <t xml:space="preserve">             ЭИ-268</t>
    </r>
  </si>
  <si>
    <t xml:space="preserve">Круг   143 мм - 0,28м(39,5кг) - 1шт  </t>
  </si>
  <si>
    <t>Труба  16 х 1,2-1,4  -  1,95-2,5м</t>
  </si>
  <si>
    <t>Труба  18 х 2,5-2,7  -  2,1-2,9м</t>
  </si>
  <si>
    <t xml:space="preserve">Лист  16 мм  -  блины ф390мм  по 15,6кг - 4шт </t>
  </si>
  <si>
    <t xml:space="preserve">Круг  150 мм - 0,54м(76,4кг); 0,55м(78,7кг) по 1шт </t>
  </si>
  <si>
    <r>
      <t xml:space="preserve">Лист  10 мм - 0,43х1,08м(37,2кг); 0,43х1,07м(36,7; 37,4кг); 0,43х1,06м(36,6кг) по  1шт     </t>
    </r>
    <r>
      <rPr>
        <b/>
        <sz val="10"/>
        <rFont val="Arial"/>
        <family val="2"/>
        <charset val="204"/>
      </rPr>
      <t xml:space="preserve"> </t>
    </r>
  </si>
  <si>
    <t xml:space="preserve">Труба  159 х 6,5 -   2,27м(53,1кг н\о) - 1шт     </t>
  </si>
  <si>
    <t>Круг   50 мм  - 0,47м(7,7кг); 0,54м(9кг); 0,44м(7,3кг); 0,46м(7,8кг) по 1шт</t>
  </si>
  <si>
    <t xml:space="preserve">Круг  145 мм  -  0,23м(31,7кг) - 1шт                     </t>
  </si>
  <si>
    <t xml:space="preserve">Круг  55 мм -  1,59м(16,9кг клеймо); 1,93м(20,3кг) по 1шт  </t>
  </si>
  <si>
    <t xml:space="preserve">Круг  80 мм -  0,5м(11,8кг, на длине 30мм и 100мм от 1-го края запилы, на длине 20мм от 2-го края зарез ) - 1шт  </t>
  </si>
  <si>
    <t>Проволока   ф 4,0мм - 47,8; 8кг по 1-й  бухте</t>
  </si>
  <si>
    <t>Круг  135 мм  - 80мм(9,2кг) - 1шт</t>
  </si>
  <si>
    <t>Круг  32 мм -  0,92м(6,1кг) - 1шт</t>
  </si>
  <si>
    <t>Круг   28 мм  -  1+1,88+1,88м=25,9кг              МОНЕЛЬ</t>
  </si>
  <si>
    <t>Круг  20 мм  -  4,1-4,8м</t>
  </si>
  <si>
    <t xml:space="preserve">АК-8 </t>
  </si>
  <si>
    <t xml:space="preserve">Чушка бабит  ГОСТ   </t>
  </si>
  <si>
    <t>Лист  10 мм -  0,78х1,52м(98,3кг); 0,79х1,06м(68,9кг) по 1шт</t>
  </si>
  <si>
    <t xml:space="preserve">Круг   53 мм  - 90мм - 1шт </t>
  </si>
  <si>
    <t>Труба  114 х 8,5-9 -  1,42м(30,6кг) - 1шт</t>
  </si>
  <si>
    <t xml:space="preserve">Чушка  сурьма  </t>
  </si>
  <si>
    <t>СУ-0</t>
  </si>
  <si>
    <t>Круг   69 мм - 0,33м(10,4кг) - 1шт</t>
  </si>
  <si>
    <t>Круг  30 мм  - 1,17-1,23м(15,3кг) - 4шт - 2шт маркированы;  0,74м(2,2кг)     красно\черный торец</t>
  </si>
  <si>
    <t>Круг  183 мм  -   0,12м(31,6кг) - 1шт   точеный           клеймо</t>
  </si>
  <si>
    <t xml:space="preserve">Круг  55 мм -  2,22м(23,5кг) - 1шт   </t>
  </si>
  <si>
    <t xml:space="preserve">Труба  73 х 6,5 -  4,03м(44кг); 3,68м(40кг) по 1шт         </t>
  </si>
  <si>
    <t>12Х20Н14С2</t>
  </si>
  <si>
    <t xml:space="preserve">Круг  75 мм  -   0,38м(7,6кг) - 1шт              </t>
  </si>
  <si>
    <t>ВТ-6?</t>
  </si>
  <si>
    <t xml:space="preserve">Проволока   3мм  - 14,7кг  -   1 бухта    </t>
  </si>
  <si>
    <t xml:space="preserve">Круг  142 мм  -  0,17м(23,8кг) - 1шт           </t>
  </si>
  <si>
    <t xml:space="preserve">Круг  130 мм  -  0,38м(44кг) - 1шт           </t>
  </si>
  <si>
    <t xml:space="preserve">Труба  152 х 5,5  - 1,87м(36,7кг) - 1шт  </t>
  </si>
  <si>
    <r>
      <t xml:space="preserve">Труба  76 х 3,5   -  1,79м(11,5кг) - 1шт                 </t>
    </r>
    <r>
      <rPr>
        <b/>
        <sz val="10"/>
        <rFont val="Arial"/>
        <family val="2"/>
        <charset val="204"/>
      </rPr>
      <t>316-Ti</t>
    </r>
    <r>
      <rPr>
        <b/>
        <sz val="8.3000000000000007"/>
        <rFont val="Arial"/>
        <family val="2"/>
        <charset val="204"/>
      </rPr>
      <t xml:space="preserve"> </t>
    </r>
  </si>
  <si>
    <r>
      <t xml:space="preserve">Труба  76 х 4-4,5  -  4м(30кг)  - 1шт                       </t>
    </r>
    <r>
      <rPr>
        <b/>
        <sz val="10"/>
        <rFont val="Arial"/>
        <family val="2"/>
        <charset val="204"/>
      </rPr>
      <t xml:space="preserve">316-Ti </t>
    </r>
  </si>
  <si>
    <t>Труба  66 х 10,5-11 -  3,5м(по 54кг) - 3шт; 3,5м(по 54,7кг в т.ч 1шт 3м) - 3шт                              INCOLOY  alloy 825</t>
  </si>
  <si>
    <t>Круг  33 мм -  0,71-1м</t>
  </si>
  <si>
    <t>Шестигранник №24 -                                                 (15кг найти!!!!)</t>
  </si>
  <si>
    <t>Труба  73 х 7-7,5  -  1,09м(12,8кг) - 1шт</t>
  </si>
  <si>
    <t>Труба  33 х 1,5  -  2,65-2,8м                  сварная</t>
  </si>
  <si>
    <t xml:space="preserve">Круг  118 мм  -  1,51м(132кг точеный) - 1шт </t>
  </si>
  <si>
    <t xml:space="preserve">Круг  42 мм -  0,22-0,26м   </t>
  </si>
  <si>
    <r>
      <t xml:space="preserve">Квадрат  25х25мм -  0,61м(6кг) - 2шт        </t>
    </r>
    <r>
      <rPr>
        <b/>
        <sz val="10"/>
        <rFont val="Arial"/>
        <family val="2"/>
        <charset val="204"/>
      </rPr>
      <t xml:space="preserve"> </t>
    </r>
  </si>
  <si>
    <r>
      <t xml:space="preserve">Круг  130 мм  -  0,65м(66,2кг) - 1шт                                       </t>
    </r>
    <r>
      <rPr>
        <b/>
        <sz val="10"/>
        <rFont val="Arial"/>
        <family val="2"/>
        <charset val="204"/>
      </rPr>
      <t xml:space="preserve">ЭИ-268    </t>
    </r>
  </si>
  <si>
    <r>
      <t xml:space="preserve">Круг  68-70 мм  -  2,2м(67,7кг н\о) - 1шт              </t>
    </r>
    <r>
      <rPr>
        <b/>
        <sz val="10"/>
        <rFont val="Arial"/>
        <family val="2"/>
        <charset val="204"/>
      </rPr>
      <t>ЭИ-703</t>
    </r>
  </si>
  <si>
    <r>
      <t>Круг  30 мм -  1-2м(0,5-1м - порядка 40кг, остальные больше 1м)     клеймо</t>
    </r>
    <r>
      <rPr>
        <b/>
        <sz val="10"/>
        <rFont val="Arial"/>
        <family val="2"/>
        <charset val="204"/>
      </rPr>
      <t xml:space="preserve"> ЭП-638ви</t>
    </r>
  </si>
  <si>
    <r>
      <t xml:space="preserve">Лист  1,8 мм - 0,6х0,81м(7,4кг) - 1шт                   </t>
    </r>
    <r>
      <rPr>
        <b/>
        <sz val="10"/>
        <rFont val="Arial"/>
        <family val="2"/>
        <charset val="204"/>
      </rPr>
      <t>ЭИ-435</t>
    </r>
  </si>
  <si>
    <r>
      <t xml:space="preserve">Круг  18 мм  -  2,7-3,5м н\о                                      </t>
    </r>
    <r>
      <rPr>
        <b/>
        <sz val="10"/>
        <rFont val="Arial"/>
        <family val="2"/>
        <charset val="204"/>
      </rPr>
      <t>ЭИ-268</t>
    </r>
  </si>
  <si>
    <t xml:space="preserve">Круг  100 мм  - 0,45м(27,3кг клеймо); 0,61м(39,8кг клеймо); 0,47м(31,7кг) по 1шт   </t>
  </si>
  <si>
    <t xml:space="preserve">08Х17Н15М2Т </t>
  </si>
  <si>
    <t>Круг  18 мм  -  1,1-1,5м</t>
  </si>
  <si>
    <r>
      <t xml:space="preserve">Круг  20 мм  -  0,73-0,8м(23,8кг - 1 край на 3см проточен на ф18мм, 1шт н\о)         </t>
    </r>
    <r>
      <rPr>
        <b/>
        <sz val="10"/>
        <rFont val="Arial"/>
        <family val="2"/>
        <charset val="204"/>
      </rPr>
      <t>ЭИ-268</t>
    </r>
  </si>
  <si>
    <t>Круг  26 мм  -  1,97+2,02м по 1шт  н\о</t>
  </si>
  <si>
    <r>
      <t xml:space="preserve">Труба  76 х 5-5,5  -  2,22м(19,8кг); 1,82м(16,4кг) по 1шт                 </t>
    </r>
    <r>
      <rPr>
        <b/>
        <sz val="10"/>
        <rFont val="Arial"/>
        <family val="2"/>
        <charset val="204"/>
      </rPr>
      <t>ЭИ-943</t>
    </r>
  </si>
  <si>
    <r>
      <t xml:space="preserve">Труба  89 х 5-6 -  4,4-5,35м(375кг) - 7шт    н\о               </t>
    </r>
    <r>
      <rPr>
        <b/>
        <sz val="10"/>
        <rFont val="Arial"/>
        <family val="2"/>
        <charset val="204"/>
      </rPr>
      <t>склад 6</t>
    </r>
  </si>
  <si>
    <t xml:space="preserve">Круг  13 мм -  2,8-3,9м(калиброванный и горячекатаный)  </t>
  </si>
  <si>
    <t xml:space="preserve">Круг  75 мм -  3м(102кг); 2м(67,6кг); 2,04м(69,2кг) по 1шт      </t>
  </si>
  <si>
    <t xml:space="preserve">Труба  73 х 10-10,5 -  2,24м(36,5кг) - 1шт </t>
  </si>
  <si>
    <t>Круг  90 мм - 0,15м(4,7кг); 0,15м(4,6кг); 60мм(2кг) по 1шт клеймо</t>
  </si>
  <si>
    <t>Лист  0,85 мм  -  1х2м(80,7кг) - 6шт</t>
  </si>
  <si>
    <t>Круг  52 мм -  0,2м(3,4кг) - 1шт</t>
  </si>
  <si>
    <r>
      <t xml:space="preserve">Труба  25 х 2,0 -1,9-2,28м(15кг); 3м(7кг) - 2шт; 2,33м; 2,18+4,4-4,7м=29,3кг; 2,15м(2,6кг)   </t>
    </r>
    <r>
      <rPr>
        <b/>
        <sz val="10"/>
        <rFont val="Arial"/>
        <family val="2"/>
        <charset val="204"/>
      </rPr>
      <t>ЭИ-943</t>
    </r>
  </si>
  <si>
    <r>
      <t xml:space="preserve">Лист  2,5 мм - 1х1,8м(37,9кг) - 1шт       </t>
    </r>
    <r>
      <rPr>
        <b/>
        <sz val="10"/>
        <rFont val="Arial"/>
        <family val="2"/>
        <charset val="204"/>
      </rPr>
      <t xml:space="preserve">ЭИ-435      </t>
    </r>
  </si>
  <si>
    <r>
      <t xml:space="preserve">Круг  18 мм  - 2,72м(5,4кг) - 1шт              </t>
    </r>
    <r>
      <rPr>
        <b/>
        <sz val="10"/>
        <rFont val="Arial"/>
        <family val="2"/>
        <charset val="204"/>
      </rPr>
      <t>ЭП-53</t>
    </r>
  </si>
  <si>
    <t>Проволока   ф 3,0мм  -  8,4; 2; 0,8; 1,2кг по 1-й бухте</t>
  </si>
  <si>
    <t>Проволока   2,8мм   -   6кг -  1  бухта светлая</t>
  </si>
  <si>
    <t xml:space="preserve">Труба  33"+" х 3,5  -  1,12-1,29м </t>
  </si>
  <si>
    <r>
      <t xml:space="preserve">Труба  114 х 3,5 -  3,7м - 1шт </t>
    </r>
    <r>
      <rPr>
        <b/>
        <sz val="10"/>
        <rFont val="Arial"/>
        <family val="2"/>
        <charset val="204"/>
      </rPr>
      <t xml:space="preserve">  </t>
    </r>
    <r>
      <rPr>
        <b/>
        <sz val="8.3000000000000007"/>
        <rFont val="Arial"/>
        <family val="2"/>
        <charset val="204"/>
      </rPr>
      <t xml:space="preserve">              </t>
    </r>
  </si>
  <si>
    <r>
      <t xml:space="preserve">Шестигранник №14  -  1,2-2м                       </t>
    </r>
    <r>
      <rPr>
        <b/>
        <sz val="10"/>
        <rFont val="Arial"/>
        <family val="2"/>
        <charset val="204"/>
      </rPr>
      <t xml:space="preserve">     ЭИ-654</t>
    </r>
  </si>
  <si>
    <t xml:space="preserve">08Х20Н9Г7 </t>
  </si>
  <si>
    <t>08Х18Н5Г12АБ</t>
  </si>
  <si>
    <r>
      <t xml:space="preserve">Круг  30 мм  -  3,7м(60,5кг) - 3шт                 </t>
    </r>
    <r>
      <rPr>
        <b/>
        <sz val="10"/>
        <rFont val="Arial"/>
        <family val="2"/>
        <charset val="204"/>
      </rPr>
      <t>ДИ-8</t>
    </r>
  </si>
  <si>
    <t>08Х20Н5АГ12МФ</t>
  </si>
  <si>
    <r>
      <t xml:space="preserve">Труба  76 х 4,0   -  6м(44,5кг); 4,09м(30,3кг); 4,52м(33,8кг); 4,32м(31,7кг) по 1шт        </t>
    </r>
    <r>
      <rPr>
        <b/>
        <sz val="10"/>
        <rFont val="Arial"/>
        <family val="2"/>
        <charset val="204"/>
      </rPr>
      <t xml:space="preserve">316-Ti </t>
    </r>
  </si>
  <si>
    <r>
      <t xml:space="preserve">Круг  34 мм  -  0,38м(3кг) - 1шт             </t>
    </r>
    <r>
      <rPr>
        <b/>
        <sz val="10"/>
        <rFont val="Arial"/>
        <family val="2"/>
        <charset val="204"/>
      </rPr>
      <t xml:space="preserve">     ЭП-33вд</t>
    </r>
  </si>
  <si>
    <t>Отвод 89х7мм - 1шт   бесшовный  90 град</t>
  </si>
  <si>
    <r>
      <t xml:space="preserve">Круг  60 мм  -  1,5м(по 33,5кг) - 2шт клеймо   </t>
    </r>
    <r>
      <rPr>
        <b/>
        <sz val="10"/>
        <rFont val="Arial"/>
        <family val="2"/>
        <charset val="204"/>
      </rPr>
      <t>ВНС-16</t>
    </r>
  </si>
  <si>
    <t>Круг  60 мм  - 1,72м(37кг); 1,54м(33кг клеймо); 1,15м(27кг клеймо); 1,52м(32,7кг клеймо) по 1шт</t>
  </si>
  <si>
    <r>
      <t xml:space="preserve">Проволока  2,0 мм  -  катушки по 25кг - 2шт           бирка     </t>
    </r>
    <r>
      <rPr>
        <b/>
        <sz val="10"/>
        <rFont val="Arial"/>
        <family val="2"/>
        <charset val="204"/>
      </rPr>
      <t xml:space="preserve"> ER-307 </t>
    </r>
  </si>
  <si>
    <t>Круг  40 мм -  0,77м(7,8кг клеймо); 0,62м(6,2кг) по 1шт</t>
  </si>
  <si>
    <r>
      <t xml:space="preserve">Круг  60 мм  -  1,45м(31,6кг клеймо); 1,46м(32,3кг); 1,43м(31кг) по 1шт   </t>
    </r>
    <r>
      <rPr>
        <b/>
        <sz val="10"/>
        <rFont val="Arial"/>
        <family val="2"/>
        <charset val="204"/>
      </rPr>
      <t>ЭП-53</t>
    </r>
  </si>
  <si>
    <t xml:space="preserve">Труба  38 х 3,5 -  1,5-1,92м </t>
  </si>
  <si>
    <r>
      <t xml:space="preserve">Круг  36 мм -  1,06-1,11м(25,9кг); 1,5+3,2+3,18+3,02м=87,4кг             </t>
    </r>
    <r>
      <rPr>
        <b/>
        <sz val="10"/>
        <rFont val="Arial"/>
        <family val="2"/>
        <charset val="204"/>
      </rPr>
      <t xml:space="preserve">ЭИ-961ш      </t>
    </r>
  </si>
  <si>
    <t xml:space="preserve">Круг  7 мм -  2,6-2,7м </t>
  </si>
  <si>
    <t xml:space="preserve">Круг  8 мм   -  1,74-2,3м(1,7кг)  </t>
  </si>
  <si>
    <t>Круг никель ф5мм  -  1,1-1,29м</t>
  </si>
  <si>
    <t>Медь 99%, серебро 1%</t>
  </si>
  <si>
    <r>
      <t xml:space="preserve">Проволока  1,2 мм - по 15кг - 3 катушки,      </t>
    </r>
    <r>
      <rPr>
        <b/>
        <sz val="14"/>
        <rFont val="Arial"/>
        <family val="2"/>
        <charset val="204"/>
      </rPr>
      <t xml:space="preserve">UTP A 38, БЕХЛЕР </t>
    </r>
  </si>
  <si>
    <t xml:space="preserve">Труба  32 х 7,5 -  2,6м(11,5кг) - 1шт               </t>
  </si>
  <si>
    <t xml:space="preserve">Труба  25 х 2,0   -  2,2-3,46м </t>
  </si>
  <si>
    <r>
      <t xml:space="preserve">Круг  70 мм  -   1м(по 30кг) -  3шт                  </t>
    </r>
    <r>
      <rPr>
        <b/>
        <sz val="10"/>
        <rFont val="Arial"/>
        <family val="2"/>
        <charset val="204"/>
      </rPr>
      <t xml:space="preserve">ЭИ-811 </t>
    </r>
  </si>
  <si>
    <t>Труба  27 х 3,0  -                                   (найти 12кг!!!!!)</t>
  </si>
  <si>
    <r>
      <t xml:space="preserve">Круг  32 мм  -  0,51м(3,2кг) - 1шт                                        </t>
    </r>
    <r>
      <rPr>
        <b/>
        <sz val="10"/>
        <rFont val="Arial"/>
        <family val="2"/>
        <charset val="204"/>
      </rPr>
      <t>ЭИ-474</t>
    </r>
  </si>
  <si>
    <t>Круг  118мм  - 0,26м(25,6кг) - 1шт</t>
  </si>
  <si>
    <t xml:space="preserve">медь </t>
  </si>
  <si>
    <t xml:space="preserve">Труба  95 х 6-6,5  - 2,53м(33,5кг) - 1шт </t>
  </si>
  <si>
    <t>Лист  39 мм  -  блин ф320мм - 1шт</t>
  </si>
  <si>
    <t xml:space="preserve">Круг   240 мм   - 0,39м(156кг); 0,12м(51,7кг) по 1шт        </t>
  </si>
  <si>
    <r>
      <t xml:space="preserve">Труба  57 х 4,0  - 3,15+3,16м=35кг                     </t>
    </r>
    <r>
      <rPr>
        <b/>
        <sz val="10"/>
        <rFont val="Arial"/>
        <family val="2"/>
        <charset val="204"/>
      </rPr>
      <t>ЭИ-943</t>
    </r>
  </si>
  <si>
    <t>Лента рулон  0,5х120мм - бухты 4,2; 8,4; 8,2кг по 1шт константант</t>
  </si>
  <si>
    <t>МН-45вп</t>
  </si>
  <si>
    <t xml:space="preserve">36НХТЮ </t>
  </si>
  <si>
    <t>Полоса  0,7х200мм  -    длины 400-700мм</t>
  </si>
  <si>
    <t>52К13Ф</t>
  </si>
  <si>
    <t>АМЦ</t>
  </si>
  <si>
    <t>Круг  34 мм  - 2,71м(6,7кг) - 1шт</t>
  </si>
  <si>
    <t>Шестигранник №32  - 2,63-4,3м</t>
  </si>
  <si>
    <t>Проволока  5,5 мм   -  13,2; 1,8; 17,5; 11,8кг  по 1-й бухте</t>
  </si>
  <si>
    <t>Круг   67 мм - 0,12м(3,6кг) - 1шт</t>
  </si>
  <si>
    <r>
      <t xml:space="preserve">Лист  25"-" мм  -  0,66х1,05м(137,5кг)  - 1шт              </t>
    </r>
    <r>
      <rPr>
        <b/>
        <sz val="10"/>
        <rFont val="Arial"/>
        <family val="2"/>
        <charset val="204"/>
      </rPr>
      <t>склад 6</t>
    </r>
    <r>
      <rPr>
        <b/>
        <sz val="8"/>
        <rFont val="Arial"/>
        <family val="2"/>
        <charset val="204"/>
      </rPr>
      <t xml:space="preserve">        </t>
    </r>
    <r>
      <rPr>
        <b/>
        <sz val="10"/>
        <rFont val="Arial"/>
        <family val="2"/>
        <charset val="204"/>
      </rPr>
      <t xml:space="preserve"> </t>
    </r>
  </si>
  <si>
    <t xml:space="preserve">Лист 12,5мм -  0,4х0,48м(11кг) - 1шт </t>
  </si>
  <si>
    <t>Круг  25 мм -  0,65м(1,4кг); 2,35м(5,1кг); 1,02м(2,3кг)  по 1шт маркирован</t>
  </si>
  <si>
    <r>
      <t xml:space="preserve">Лист  2,0 мм - 0,39х0,99м(12,5кг) - 2шт; 0,48х0,99м(8,1кг) - 1шт               </t>
    </r>
    <r>
      <rPr>
        <b/>
        <sz val="10"/>
        <rFont val="Arial"/>
        <family val="2"/>
        <charset val="204"/>
      </rPr>
      <t>ЭИ-602</t>
    </r>
  </si>
  <si>
    <r>
      <t xml:space="preserve">Лист  2,0 мм -  </t>
    </r>
    <r>
      <rPr>
        <b/>
        <sz val="8.5"/>
        <rFont val="Arial"/>
        <family val="2"/>
        <charset val="204"/>
      </rPr>
      <t>0,71х0,82м(9,5кг) - 1шт</t>
    </r>
  </si>
  <si>
    <t>Полоса  0,8х250мм - длины 850-1100мм</t>
  </si>
  <si>
    <t xml:space="preserve">Круг  54 мм  -  0,73м(7,5кг); 0,67м(7,2кг) по 1шт </t>
  </si>
  <si>
    <r>
      <t xml:space="preserve">Круг  150 мм  -  60мм(9,8+9,8кг) по 1шт                   </t>
    </r>
    <r>
      <rPr>
        <b/>
        <sz val="10"/>
        <rFont val="Arial"/>
        <family val="2"/>
        <charset val="204"/>
      </rPr>
      <t xml:space="preserve">     ЭИ-868</t>
    </r>
  </si>
  <si>
    <t>Лист  38(37) мм  -  0,29х1,05м(93,8; 94,7кг)  по 1шт</t>
  </si>
  <si>
    <t>Круг  32"-" мм -  0,38-0,39м+0,31м=29,3кг</t>
  </si>
  <si>
    <t>Полоса  0,8х250х760мм -  1шт</t>
  </si>
  <si>
    <t>Полоса  0,8х250мм - длины 790мм и 950мм по 1шт</t>
  </si>
  <si>
    <r>
      <t xml:space="preserve">Круг  80 мм - 0,58м(26,4кг) - 1шт </t>
    </r>
    <r>
      <rPr>
        <b/>
        <sz val="10"/>
        <rFont val="Arial"/>
        <family val="2"/>
        <charset val="204"/>
      </rPr>
      <t xml:space="preserve"> клеймо  ЭИ-868</t>
    </r>
  </si>
  <si>
    <r>
      <t xml:space="preserve">Круг  30 мм   -  0,72; 0,86; 0,85 по 1шт  клеймо                   </t>
    </r>
    <r>
      <rPr>
        <b/>
        <sz val="10"/>
        <rFont val="Arial"/>
        <family val="2"/>
        <charset val="204"/>
      </rPr>
      <t>ЭП-202</t>
    </r>
  </si>
  <si>
    <t xml:space="preserve">Лист  25 мм  -   0,49х1,09м(110,3+110,3кг) по 1шт  </t>
  </si>
  <si>
    <t xml:space="preserve">Труба  19 х 2,5  -  1,8-1,97м </t>
  </si>
  <si>
    <t xml:space="preserve">Труба  19 х 1,0  -  1,28-1,82м </t>
  </si>
  <si>
    <t>Круг   100 мм -                              80мм(5,7кг найти!!!) по 1шт</t>
  </si>
  <si>
    <t>Круг   100 мм -  70мм(4,7+4,8кг); 68мм(4,7кг); 60мм(4,4кг) по 1шт</t>
  </si>
  <si>
    <t xml:space="preserve">Труба  32 х 2,0   -  5,3м(27,1кг в т.ч. 2,59м; 4,3м по 1шт)  </t>
  </si>
  <si>
    <t xml:space="preserve">Круг  110 мм  -  0,2м(8,7кг)  - 1шт </t>
  </si>
  <si>
    <r>
      <t xml:space="preserve">Круг  50 мм  -  0,63м(10,7кг) - 1шт            </t>
    </r>
    <r>
      <rPr>
        <b/>
        <sz val="10"/>
        <rFont val="Arial"/>
        <family val="2"/>
        <charset val="204"/>
      </rPr>
      <t>ЭИ-943</t>
    </r>
  </si>
  <si>
    <t>Полоса  1,5х250мм - длины 550-940мм - 5шт</t>
  </si>
  <si>
    <t>80НХС</t>
  </si>
  <si>
    <t xml:space="preserve">Круг  35 мм  -  0,86+1,24м=15,3кг </t>
  </si>
  <si>
    <t xml:space="preserve">Круг  36 мм -  6,1м(49,7кг); 2,36м(18,9кг) по 1шт </t>
  </si>
  <si>
    <t xml:space="preserve">Круг  25,5мм -  0,24-0,26м  н\о </t>
  </si>
  <si>
    <t xml:space="preserve">Круг  32"-" мм -  0,25-0,29м  н\о </t>
  </si>
  <si>
    <t>Проволока ф0,8мм - 2 катушки деревянные  3,3+3,7кг</t>
  </si>
  <si>
    <t>Труба  48 х 3,5 -   1,11м(4,3кг) - 1шт</t>
  </si>
  <si>
    <t xml:space="preserve">Круг  40 мм  -  1,12м(11кг); 0,65м(6,5кг) по 1шт   </t>
  </si>
  <si>
    <t xml:space="preserve">Круг   7 мм  -  2,9-3м </t>
  </si>
  <si>
    <t xml:space="preserve">Круг   6 мм  - 3-3,1м </t>
  </si>
  <si>
    <r>
      <t xml:space="preserve">Труба  25 х 3,0   -  3,84+4,85м=14,6кг                  </t>
    </r>
    <r>
      <rPr>
        <b/>
        <sz val="10"/>
        <rFont val="Arial"/>
        <family val="2"/>
        <charset val="204"/>
      </rPr>
      <t>ЭИ-943</t>
    </r>
  </si>
  <si>
    <t>Проволока   1,2 мм  -   бухты 3,8; 10кг по 1шт</t>
  </si>
  <si>
    <t xml:space="preserve">Лист  6 мм -  1х2м(95кг) - 1шт    </t>
  </si>
  <si>
    <t>Круг   7,5 мм  - 2,07м(0,7кг) - 1шт</t>
  </si>
  <si>
    <t xml:space="preserve">Круг  140 мм  -  100мм(13,3кг) - 1шт  </t>
  </si>
  <si>
    <t xml:space="preserve">Круг  180 мм -   45мм(9,2кг) - 1шт     </t>
  </si>
  <si>
    <t>03Х19Н11М3</t>
  </si>
  <si>
    <t>Проволока  3,5 мм    -  16,8; 11,9; 6кг по 1 бухте  н\о</t>
  </si>
  <si>
    <t xml:space="preserve">Круг  49 мм -  0,3м(4,5+4,5кг); 0,26м(4,2кг) по 1шт           </t>
  </si>
  <si>
    <r>
      <t>Круг  65(63) мм  - 2,36м(60кг клеймо)</t>
    </r>
    <r>
      <rPr>
        <b/>
        <sz val="8.5"/>
        <rFont val="Arial"/>
        <family val="2"/>
        <charset val="204"/>
      </rPr>
      <t xml:space="preserve">  - 1шт                              </t>
    </r>
    <r>
      <rPr>
        <b/>
        <sz val="10"/>
        <rFont val="Arial"/>
        <family val="2"/>
        <charset val="204"/>
      </rPr>
      <t>ЭП-56</t>
    </r>
  </si>
  <si>
    <r>
      <t xml:space="preserve">Проволока  4,0 мм    -  13,7кг   -  1 катушка металлическая  </t>
    </r>
    <r>
      <rPr>
        <b/>
        <sz val="10"/>
        <rFont val="Arial"/>
        <family val="2"/>
        <charset val="204"/>
      </rPr>
      <t xml:space="preserve"> ER-307 </t>
    </r>
  </si>
  <si>
    <r>
      <t xml:space="preserve">Проволока  4,0 мм  -  катушки по 25кг - 3шт            </t>
    </r>
    <r>
      <rPr>
        <b/>
        <sz val="10"/>
        <rFont val="Arial"/>
        <family val="2"/>
        <charset val="204"/>
      </rPr>
      <t xml:space="preserve"> ER-307  Thermanit Х</t>
    </r>
  </si>
  <si>
    <t xml:space="preserve">Круг  35"-" мм -  4-4,44м(228,5кг) - 7шт; 1,75-2,34м(44кг)   </t>
  </si>
  <si>
    <t xml:space="preserve">Труба  73 х 10 - 3,27м(51кг) -  1шт    </t>
  </si>
  <si>
    <t xml:space="preserve">Лист 5мм - 0,45х1,09м(11,4кг); 0,47х1,09м(12,1кг) по 1шт </t>
  </si>
  <si>
    <r>
      <t xml:space="preserve">Лента - 0,25х150мм - 10,4кг - 1 рулон         </t>
    </r>
    <r>
      <rPr>
        <b/>
        <sz val="10"/>
        <rFont val="Arial"/>
        <family val="2"/>
        <charset val="204"/>
      </rPr>
      <t xml:space="preserve"> </t>
    </r>
    <r>
      <rPr>
        <b/>
        <sz val="8"/>
        <rFont val="Arial"/>
        <family val="2"/>
        <charset val="204"/>
      </rPr>
      <t>твердая</t>
    </r>
  </si>
  <si>
    <t xml:space="preserve">Круг  80 мм  -  0,25м(5,8кг) - 1шт  </t>
  </si>
  <si>
    <t xml:space="preserve">Круг  75 мм  -  0,22м(4,5кг) - 1шт  </t>
  </si>
  <si>
    <t xml:space="preserve">Труба  77 х 19  - 0,52м(8,1кг)  - 1шт   </t>
  </si>
  <si>
    <t>Круг  34 мм  -               ( 15кг найти!!!!!)</t>
  </si>
  <si>
    <r>
      <t xml:space="preserve">Круг  150 мм  -   0,22м(31кг) - 1шт      </t>
    </r>
    <r>
      <rPr>
        <b/>
        <sz val="10"/>
        <rFont val="Arial"/>
        <family val="2"/>
        <charset val="204"/>
      </rPr>
      <t xml:space="preserve">             ЭИ-268</t>
    </r>
  </si>
  <si>
    <r>
      <t xml:space="preserve">Труба  38 х 3,5  -  по 2м - 2шт                  </t>
    </r>
    <r>
      <rPr>
        <b/>
        <sz val="10"/>
        <rFont val="Arial"/>
        <family val="2"/>
        <charset val="204"/>
      </rPr>
      <t>аналог ЭИ-943 - 1.4539  -  904-L</t>
    </r>
  </si>
  <si>
    <r>
      <t xml:space="preserve">Круг  180 мм  - 0,93м(190кг клеймо) - 1шт     </t>
    </r>
    <r>
      <rPr>
        <b/>
        <sz val="10"/>
        <rFont val="Arial"/>
        <family val="2"/>
        <charset val="204"/>
      </rPr>
      <t>ЭИ-474        склад 6</t>
    </r>
  </si>
  <si>
    <t xml:space="preserve">Круг  56 мм  -  0,36м(6,9кг) - 1шт   </t>
  </si>
  <si>
    <t xml:space="preserve">Труба  42 х 4,5 -                                            1,18м(4,9кг найти) </t>
  </si>
  <si>
    <t xml:space="preserve">Круг  20 мм - 0,59-0,74м(2,8кг) - 3шт  красно\черный торец </t>
  </si>
  <si>
    <t>Круг  14 мм  -  2,8-3,2м - 7шт</t>
  </si>
  <si>
    <t>68НХВКТЮ</t>
  </si>
  <si>
    <t xml:space="preserve">Круг 10 мм  - 2,07м(1,2кг) - 1шт </t>
  </si>
  <si>
    <t xml:space="preserve">Круг  70(68) мм  - 2,18м(64,4кг) - 1шт    </t>
  </si>
  <si>
    <t>Круг  25 мм  -  2,6-5м</t>
  </si>
  <si>
    <t>Круг  24 мм  -  1,9-3,4м</t>
  </si>
  <si>
    <t>Круг  14 мм  -  2,3-2,4м</t>
  </si>
  <si>
    <t>Труба  32 х 3,5  -  4,51м(11кг); 1,78м(4,2кг) по 1шт</t>
  </si>
  <si>
    <t>Лист  3,0 мм - 1х3м(72,5кг маркир) - 1шт</t>
  </si>
  <si>
    <r>
      <t xml:space="preserve">Лист  4 мм  -                                                  </t>
    </r>
    <r>
      <rPr>
        <b/>
        <sz val="8.5"/>
        <rFont val="Arial"/>
        <family val="2"/>
        <charset val="204"/>
      </rPr>
      <t xml:space="preserve">0,62х0,62м(12,2кг найти!!!!!!!) </t>
    </r>
  </si>
  <si>
    <t xml:space="preserve">Труба  89 х 5-5,5  - 4,33м(46кг); 3,15м(36,4кг) по 1шт  </t>
  </si>
  <si>
    <t xml:space="preserve">Круг  74 мм -  0,71м(24,4кг н\о) - 1шт                                           </t>
  </si>
  <si>
    <t xml:space="preserve">Лента 0,1х150мм - 12,6кг - 1 рулон </t>
  </si>
  <si>
    <t>Лист  0,8 мм -  1,25х2,5м(19,2кг) - 1шт</t>
  </si>
  <si>
    <t>Лист  1,5 мм -  1,25х2,5м(36кг - 5шт; 36,5кг - 2шт); 1,25х2,13м(30,8кг) - 1шт</t>
  </si>
  <si>
    <t>МН-19</t>
  </si>
  <si>
    <t>Круг   100 мм  -  0,61+0,59м по 1шт     сплав 273 (аналог ) мельхиор</t>
  </si>
  <si>
    <t xml:space="preserve">Круг  103 мм - 0,13м(8,9кг) - 1шт </t>
  </si>
  <si>
    <r>
      <t xml:space="preserve">Круг  105 мм  -  2,84; 2,99; 3,02м по 1шт     клеймо   </t>
    </r>
    <r>
      <rPr>
        <b/>
        <sz val="10"/>
        <rFont val="Arial"/>
        <family val="2"/>
        <charset val="204"/>
      </rPr>
      <t xml:space="preserve"> ЭИ-811 вд </t>
    </r>
    <r>
      <rPr>
        <b/>
        <sz val="8.3000000000000007"/>
        <rFont val="Arial"/>
        <family val="2"/>
        <charset val="204"/>
      </rPr>
      <t xml:space="preserve">     </t>
    </r>
    <r>
      <rPr>
        <b/>
        <sz val="10"/>
        <rFont val="Arial"/>
        <family val="2"/>
        <charset val="204"/>
      </rPr>
      <t>склад 6</t>
    </r>
  </si>
  <si>
    <r>
      <t xml:space="preserve">Круг  108 мм  -  0,7м(50,9кг) -  1шт      клеймо  </t>
    </r>
    <r>
      <rPr>
        <b/>
        <sz val="10"/>
        <rFont val="Arial"/>
        <family val="2"/>
        <charset val="204"/>
      </rPr>
      <t>ЭИ-811вд</t>
    </r>
  </si>
  <si>
    <r>
      <t xml:space="preserve">Круг  108 мм  -  1,78м(133кг н\о) - 1шт                             </t>
    </r>
    <r>
      <rPr>
        <b/>
        <sz val="10"/>
        <rFont val="Arial"/>
        <family val="2"/>
        <charset val="204"/>
      </rPr>
      <t xml:space="preserve">316L               </t>
    </r>
  </si>
  <si>
    <t>Лист  0,8 мм -  1х2,5м(152,5кг) - 10шт</t>
  </si>
  <si>
    <t xml:space="preserve">Круг   88 мм -  0,15м(7,3кг) - 1шт  </t>
  </si>
  <si>
    <t xml:space="preserve">Круг   32 мм  -                                                  0,4м(3кг найти!!!!) </t>
  </si>
  <si>
    <r>
      <t xml:space="preserve">Круг  26 мм - 0,84-0,92м(43,8кг); 0,75м(3,2кг); 0,17м(0,7кг)                       </t>
    </r>
    <r>
      <rPr>
        <b/>
        <sz val="10"/>
        <rFont val="Arial"/>
        <family val="2"/>
        <charset val="204"/>
      </rPr>
      <t xml:space="preserve"> ЭИ-437</t>
    </r>
  </si>
  <si>
    <r>
      <t xml:space="preserve">Круг  10 мм   -  2,1-2,7м            </t>
    </r>
    <r>
      <rPr>
        <b/>
        <sz val="10"/>
        <rFont val="Arial"/>
        <family val="2"/>
        <charset val="204"/>
      </rPr>
      <t xml:space="preserve"> ЭП-578 ви</t>
    </r>
  </si>
  <si>
    <t xml:space="preserve">Чушка цам </t>
  </si>
  <si>
    <t xml:space="preserve">Лист 4мм -                                                                                         1х1,83м(32,6кг найти!!!) -  1шт </t>
  </si>
  <si>
    <t>Круг   85 мм -   0,17м(8,8кг) - 1шт</t>
  </si>
  <si>
    <r>
      <t xml:space="preserve">Круг  22 мм  -  1м(3кг); 0,73+0,87+0,95м=8кг; 0,52м(1,6кг)  по  1шт             </t>
    </r>
    <r>
      <rPr>
        <b/>
        <sz val="10"/>
        <rFont val="Arial"/>
        <family val="2"/>
        <charset val="204"/>
      </rPr>
      <t>ЭИ-437</t>
    </r>
  </si>
  <si>
    <t xml:space="preserve">Труба  73 х 9-9,5 -  4,69м(68кг) - 1шт  </t>
  </si>
  <si>
    <t>10Х14Г14Н3</t>
  </si>
  <si>
    <r>
      <t xml:space="preserve">Круг  60 мм  -  1м(22,2кг н\о) - 1шт      </t>
    </r>
    <r>
      <rPr>
        <b/>
        <sz val="10"/>
        <rFont val="Arial"/>
        <family val="2"/>
        <charset val="204"/>
      </rPr>
      <t xml:space="preserve">    ДИ-6</t>
    </r>
  </si>
  <si>
    <t xml:space="preserve">Круг  64 мм -   0,15м(2,3кг) - 1шт  </t>
  </si>
  <si>
    <t>Труба  33,5х3,5"-"  - 2,08-2,96м(57кг)                          МОНЕЛЬ</t>
  </si>
  <si>
    <r>
      <t xml:space="preserve">Труба  38 х 3,0  -    3,5м(9кг); 3м(7,8кг); 1,51м(4кг) по 1шт    </t>
    </r>
    <r>
      <rPr>
        <b/>
        <sz val="10"/>
        <rFont val="Arial"/>
        <family val="2"/>
        <charset val="204"/>
      </rPr>
      <t>ЭИ-943</t>
    </r>
  </si>
  <si>
    <t xml:space="preserve">Круг   85 мм -  0,6м(30,9кг) - 1шт                           </t>
  </si>
  <si>
    <t>Лист  38 мм  -  0,47х0,74м(109,4кг)  - 1шт</t>
  </si>
  <si>
    <r>
      <t>Круг  26 мм -  1,25-2м(83кг)     клеймо</t>
    </r>
    <r>
      <rPr>
        <b/>
        <sz val="10"/>
        <rFont val="Arial"/>
        <family val="2"/>
        <charset val="204"/>
      </rPr>
      <t xml:space="preserve"> ЭП-638ви</t>
    </r>
  </si>
  <si>
    <r>
      <t xml:space="preserve">Труба  38 х 2,0    -   2,61-2,65м(18,6кг) - 4шт;  1,66м(3,4кг); 1,96м(3,4кг); 1,51м(2,6кг)  </t>
    </r>
    <r>
      <rPr>
        <b/>
        <sz val="10"/>
        <rFont val="Arial"/>
        <family val="2"/>
        <charset val="204"/>
      </rPr>
      <t xml:space="preserve"> ЭИ-943</t>
    </r>
  </si>
  <si>
    <t xml:space="preserve">Круг  23 мм  -  1,5-2м  </t>
  </si>
  <si>
    <r>
      <t xml:space="preserve">Труба  273 х 10   -  2,9м(200кг н\о) - 1шт        </t>
    </r>
    <r>
      <rPr>
        <b/>
        <sz val="10"/>
        <rFont val="Arial"/>
        <family val="2"/>
        <charset val="204"/>
      </rPr>
      <t>склад 6</t>
    </r>
  </si>
  <si>
    <t>Круг  65 мм  -  2,5м(по 63,5кг) - 2шт; по 2,44м(по 62,4кг) - 2шт   клейма</t>
  </si>
  <si>
    <r>
      <t xml:space="preserve">Лист  38 мм  -  0,63х0,72м(146кг)  - 1шт   </t>
    </r>
    <r>
      <rPr>
        <b/>
        <sz val="10"/>
        <rFont val="Arial"/>
        <family val="2"/>
        <charset val="204"/>
      </rPr>
      <t xml:space="preserve">   склад 6</t>
    </r>
  </si>
  <si>
    <r>
      <t xml:space="preserve">Круг  80 мм  - 3,24м - 1шт н\о  клеймо  </t>
    </r>
    <r>
      <rPr>
        <b/>
        <sz val="10"/>
        <rFont val="Arial"/>
        <family val="2"/>
        <charset val="204"/>
      </rPr>
      <t xml:space="preserve">  склад 6</t>
    </r>
  </si>
  <si>
    <t xml:space="preserve">Круг  174 мм  -  90мм(17кг) - 1шт                           </t>
  </si>
  <si>
    <t>Проволока   1,2мм    -   2,9кг - 1  бухта</t>
  </si>
  <si>
    <t>Проволока   2,0мм    -   11,8кг - 1  бухта</t>
  </si>
  <si>
    <t>Круг  54 мм  -   1,48м(15,4кг) - 1шт</t>
  </si>
  <si>
    <t>Круг  180 мм  -  0,59м(73,3кг) - 1шт  кованый</t>
  </si>
  <si>
    <t xml:space="preserve">Круг  117 мм - 0,41м(34+34кг); 0,4м(33,7кг); 1,23м(103кг) по 1шт </t>
  </si>
  <si>
    <t>Круг  300 мм - 0,33м(64; 63,4кг клеймо) по 1шт</t>
  </si>
  <si>
    <t>Круг  72 мм  - 1,51м(по 28кг) - 2шт клеймо</t>
  </si>
  <si>
    <t>Лента - 0,1х70мм - 32,4кг - 1 рулон</t>
  </si>
  <si>
    <t xml:space="preserve">Круг   54 мм - 2,11; 2,3м по 1шт </t>
  </si>
  <si>
    <t>Круг   54 мм  -  1,55; 1,71м по 1шт</t>
  </si>
  <si>
    <r>
      <t xml:space="preserve">Труба  168 х 7,0  -  6,92м - 2шт; 5,42м - 1шт               </t>
    </r>
    <r>
      <rPr>
        <b/>
        <sz val="10"/>
        <rFont val="Arial"/>
        <family val="2"/>
        <charset val="204"/>
      </rPr>
      <t xml:space="preserve"> склад 6</t>
    </r>
  </si>
  <si>
    <t>Круг   109 мм  -  0,16м(11,9кг) - 1шт</t>
  </si>
  <si>
    <t xml:space="preserve">Круг  100 мм -  1,65м(101кг н\о) - 1шт                          </t>
  </si>
  <si>
    <r>
      <t xml:space="preserve">Труба  89 х 8,0  -  2,85м(46,5кг) - 1шт              </t>
    </r>
    <r>
      <rPr>
        <b/>
        <sz val="10"/>
        <rFont val="Arial"/>
        <family val="2"/>
        <charset val="204"/>
      </rPr>
      <t xml:space="preserve">316-L </t>
    </r>
    <r>
      <rPr>
        <b/>
        <sz val="8.3000000000000007"/>
        <rFont val="Arial"/>
        <family val="2"/>
        <charset val="204"/>
      </rPr>
      <t xml:space="preserve">          </t>
    </r>
  </si>
  <si>
    <t>Проволока  3,01 мм   - 60,4кг - 1 бухта   н\о   пружинная    ВО</t>
  </si>
  <si>
    <t xml:space="preserve">Проволока   2,3мм    -  0,8кг - 1 бухта   </t>
  </si>
  <si>
    <t>Круг  3,5 мм -  2,1-2,2м   калиброванный</t>
  </si>
  <si>
    <t>Труба  57 х 2-2,5 -  1,19м(3,5кг) - 1шт</t>
  </si>
  <si>
    <t xml:space="preserve">Круг  16 мм  - 1,5-1,85м </t>
  </si>
  <si>
    <t>04Х19Н11М3</t>
  </si>
  <si>
    <r>
      <t xml:space="preserve">Проволока  1,2 мм  -  катушки по 15кг - 2шт в коробках, HORDA, сварочная          </t>
    </r>
    <r>
      <rPr>
        <b/>
        <sz val="10"/>
        <rFont val="Arial"/>
        <family val="2"/>
        <charset val="204"/>
      </rPr>
      <t>316-L</t>
    </r>
    <r>
      <rPr>
        <b/>
        <sz val="8.3000000000000007"/>
        <rFont val="Arial"/>
        <family val="2"/>
        <charset val="204"/>
      </rPr>
      <t xml:space="preserve">                       </t>
    </r>
  </si>
  <si>
    <r>
      <t xml:space="preserve">Проволока  1,0 мм  -  катушки по 15кг - 2шт в коробках, HORDA, сварочная          </t>
    </r>
    <r>
      <rPr>
        <b/>
        <sz val="10"/>
        <rFont val="Arial"/>
        <family val="2"/>
        <charset val="204"/>
      </rPr>
      <t>316-L</t>
    </r>
    <r>
      <rPr>
        <b/>
        <sz val="8.3000000000000007"/>
        <rFont val="Arial"/>
        <family val="2"/>
        <charset val="204"/>
      </rPr>
      <t xml:space="preserve">                       </t>
    </r>
  </si>
  <si>
    <t>01Х19Н9</t>
  </si>
  <si>
    <r>
      <t xml:space="preserve">Проволока  1,2 мм  -  катушка 15кг - 1шт в коробке, HORDA, сварочная          </t>
    </r>
    <r>
      <rPr>
        <b/>
        <sz val="10"/>
        <rFont val="Arial"/>
        <family val="2"/>
        <charset val="204"/>
      </rPr>
      <t xml:space="preserve">309 </t>
    </r>
    <r>
      <rPr>
        <b/>
        <sz val="8.3000000000000007"/>
        <rFont val="Arial"/>
        <family val="2"/>
        <charset val="204"/>
      </rPr>
      <t xml:space="preserve">                    </t>
    </r>
  </si>
  <si>
    <t>03Х25Н13</t>
  </si>
  <si>
    <r>
      <t xml:space="preserve">Лист  0,8 мм - 0,27-0,29х0,72м(4,4кг);  0,27х0,54м(1кг) - 1шт       </t>
    </r>
    <r>
      <rPr>
        <b/>
        <sz val="10"/>
        <rFont val="Arial"/>
        <family val="2"/>
        <charset val="204"/>
      </rPr>
      <t>ЭИ-868</t>
    </r>
  </si>
  <si>
    <r>
      <t xml:space="preserve">Труба  38 х 5,5-6   -  2,94+4,1м=31,2кг                                     </t>
    </r>
    <r>
      <rPr>
        <b/>
        <sz val="10"/>
        <rFont val="Arial"/>
        <family val="2"/>
        <charset val="204"/>
      </rPr>
      <t>ЭП-670</t>
    </r>
  </si>
  <si>
    <t>Лента - 0,4х250мм -  12,1кг - 1 бухта    твердая</t>
  </si>
  <si>
    <t xml:space="preserve">Труба  21 х 3"+"   -  0,96-1,15м </t>
  </si>
  <si>
    <r>
      <t xml:space="preserve">Круг  54 мм  -   0,58м(10,4кг есть заразы до 3мм) - 1шт   </t>
    </r>
    <r>
      <rPr>
        <b/>
        <sz val="10"/>
        <rFont val="Arial"/>
        <family val="2"/>
        <charset val="204"/>
      </rPr>
      <t xml:space="preserve">    ЭИ-69</t>
    </r>
  </si>
  <si>
    <t>Круг  34"-" мм -  0,22-0,27м(80,4кг н\о); 0,6м(4,4кг) - 1шт</t>
  </si>
  <si>
    <t xml:space="preserve">Труба  219х11-12  -   1,78м(104+101,5кг) по 1шт     </t>
  </si>
  <si>
    <t>Проволока  0,6 мм - 9кг; 7,8кг по 1-й бухте    константант</t>
  </si>
  <si>
    <t>Круг  19 мм - 2,6м; 1,6м - 1шт</t>
  </si>
  <si>
    <t xml:space="preserve">Круг  34мм -   0,5-0,57м(36,4кг   кованые) </t>
  </si>
  <si>
    <t>Труба  21 х 3,5   - 1,9+2,16м=5,8кг</t>
  </si>
  <si>
    <t>Круг  70 мм  -   0,35м(6,1кг) - 1шт</t>
  </si>
  <si>
    <t>Круг  28 мм  - 1,42м(2,4кг) - 1шт</t>
  </si>
  <si>
    <t>Проволока  1,1 мм - 20,3; 4,9кг; 27,6кг ло 1-й бухте    константант</t>
  </si>
  <si>
    <t>Проволока  3,0 мм  -  11,8кг -  1  бухта</t>
  </si>
  <si>
    <t>Труба  26 х 5,0 -  0,59-1,05м (основная масса 0,7-0,8м)</t>
  </si>
  <si>
    <t xml:space="preserve">Круг  27 мм  - 0,83-1,14м </t>
  </si>
  <si>
    <t xml:space="preserve">Лента бронзовая - 0,3х250мм - 1 бухта  6,75кг        </t>
  </si>
  <si>
    <t xml:space="preserve">Круг  13 мм  - 1,4-1,7м </t>
  </si>
  <si>
    <t>Круг  18 мм  - 2,48-2,56м</t>
  </si>
  <si>
    <t>Круг  15 мм  - 1,2-1,7м</t>
  </si>
  <si>
    <r>
      <t xml:space="preserve">Лист  8 мм - 1,34х1,34м(113кг); 1,3х1,4м(117,5кг); 1,25х1,44м(113кг) по 1шт     </t>
    </r>
    <r>
      <rPr>
        <b/>
        <sz val="10"/>
        <rFont val="Arial"/>
        <family val="2"/>
        <charset val="204"/>
      </rPr>
      <t xml:space="preserve"> склад 6</t>
    </r>
  </si>
  <si>
    <t xml:space="preserve">Труба  8 х 1,5  -  0,85м </t>
  </si>
  <si>
    <t xml:space="preserve">Круг 5мм  -  0,8м(0,3кг) - 3шт                 </t>
  </si>
  <si>
    <t xml:space="preserve">Круг 5мм  -  0,8м(0,1кг) - 1шт                 </t>
  </si>
  <si>
    <t xml:space="preserve">Лист  0,8 мм  -  1х2м(по 12кг) - 2шт </t>
  </si>
  <si>
    <t>Круг  133 мм - 0,62м(24,5+24,3кг) по 1шт маркир 2017А (24,5кг не в гараже)</t>
  </si>
  <si>
    <t>Труба  34 х 5-5,5  -   0,91-1,15м</t>
  </si>
  <si>
    <t xml:space="preserve"> 12Х18Н10Т</t>
  </si>
  <si>
    <r>
      <t xml:space="preserve">Круг  22 мм   -  0,41м(1,2кг) - 1шт                     </t>
    </r>
    <r>
      <rPr>
        <b/>
        <sz val="10"/>
        <rFont val="Arial"/>
        <family val="2"/>
        <charset val="204"/>
      </rPr>
      <t xml:space="preserve">   ЭИ-395</t>
    </r>
  </si>
  <si>
    <t xml:space="preserve">Круг  190 мм  -  1,4м(106,7кг) - 1шт клейма </t>
  </si>
  <si>
    <r>
      <t xml:space="preserve">Труба  25 х 3,0  - 4,8-5,5м                                        </t>
    </r>
    <r>
      <rPr>
        <b/>
        <sz val="10"/>
        <rFont val="Arial"/>
        <family val="2"/>
        <charset val="204"/>
      </rPr>
      <t xml:space="preserve"> </t>
    </r>
  </si>
  <si>
    <t xml:space="preserve">Лист  1,0 мм - 1х2м - 12шт   </t>
  </si>
  <si>
    <t xml:space="preserve">Лист  12 мм  -  0,46х0,84м(37,1кг)  - 1шт                                  </t>
  </si>
  <si>
    <t xml:space="preserve">Круг   177 мм -   0,5м(113кг) - 1шт  </t>
  </si>
  <si>
    <t xml:space="preserve">Круг  70 мм  -  0,43м(7,9кг клеймо); 0,46м(8,1кг)  по 1шт  </t>
  </si>
  <si>
    <t xml:space="preserve">Труба  10 х 2,0  -  6-7м                                       </t>
  </si>
  <si>
    <r>
      <t xml:space="preserve">Круг  130 мм  - 0,82м(84кг  клеймо) - 1шт           </t>
    </r>
    <r>
      <rPr>
        <b/>
        <sz val="10"/>
        <rFont val="Arial"/>
        <family val="2"/>
        <charset val="204"/>
      </rPr>
      <t xml:space="preserve">ЭИ-268   </t>
    </r>
  </si>
  <si>
    <r>
      <t xml:space="preserve">Круг   30 мм - все по  2,97м                        </t>
    </r>
    <r>
      <rPr>
        <b/>
        <sz val="12"/>
        <rFont val="Arial"/>
        <family val="2"/>
        <charset val="204"/>
      </rPr>
      <t xml:space="preserve">   </t>
    </r>
    <r>
      <rPr>
        <b/>
        <sz val="10"/>
        <rFont val="Arial"/>
        <family val="2"/>
        <charset val="204"/>
      </rPr>
      <t xml:space="preserve">  </t>
    </r>
    <r>
      <rPr>
        <b/>
        <sz val="12"/>
        <rFont val="Arial"/>
        <family val="2"/>
        <charset val="204"/>
      </rPr>
      <t xml:space="preserve"> </t>
    </r>
  </si>
  <si>
    <r>
      <t xml:space="preserve">Лист  5,0 мм  - 1х1,5м(56,8кг)  -  1шт            </t>
    </r>
    <r>
      <rPr>
        <b/>
        <sz val="10"/>
        <rFont val="Arial"/>
        <family val="2"/>
        <charset val="204"/>
      </rPr>
      <t>маркировка 430-я</t>
    </r>
  </si>
  <si>
    <t>Труба  89 х 3-3,5  -  4,54м(30кг) - 1шт</t>
  </si>
  <si>
    <t>Круг  34 мм  - 1м(21,5кг) - 3шт</t>
  </si>
  <si>
    <t xml:space="preserve">Труба  85 х 3,0  -  5,21; 5,31; 5,72м по 1шт </t>
  </si>
  <si>
    <r>
      <t xml:space="preserve">Круг  30 мм  -  3,8-4,25м     </t>
    </r>
    <r>
      <rPr>
        <b/>
        <sz val="10"/>
        <rFont val="Arial"/>
        <family val="2"/>
        <charset val="204"/>
      </rPr>
      <t xml:space="preserve"> </t>
    </r>
  </si>
  <si>
    <t xml:space="preserve">Труба  38 х 3,5   -  3,49м(20,3кг) - 2шт; 1,46+1,99м=10кг </t>
  </si>
  <si>
    <t>Круг  120 мм - 0,98м(30,8кг) - 1шт</t>
  </si>
  <si>
    <t>Круг  37 мм - 2,7-2,97м</t>
  </si>
  <si>
    <t xml:space="preserve">Лист  6 мм  -  0,65х1,5м(44,4кг) - 1шт </t>
  </si>
  <si>
    <t xml:space="preserve">Лист  4,0 мм  -  1,5х2м(90,6кг) - 1шт </t>
  </si>
  <si>
    <r>
      <t xml:space="preserve">Лист  4,0 мм   -   1х1,65м(57,7кг) - 1шт                                        </t>
    </r>
    <r>
      <rPr>
        <b/>
        <sz val="10"/>
        <rFont val="Arial"/>
        <family val="2"/>
        <charset val="204"/>
      </rPr>
      <t>ЭИ-435</t>
    </r>
  </si>
  <si>
    <t>Круг  6 мм  -  1м(1,2кг)</t>
  </si>
  <si>
    <t xml:space="preserve">Круг   34 мм  -  1,53м(10,5кг) - 1шт   </t>
  </si>
  <si>
    <t>Лист  20 мм  -  0,6х0,9м(85кг без угла 150х150мм) - 1шт</t>
  </si>
  <si>
    <t xml:space="preserve">Ферромарганец 95-й -  </t>
  </si>
  <si>
    <t>Мн95%</t>
  </si>
  <si>
    <t>Кремний КР</t>
  </si>
  <si>
    <r>
      <t xml:space="preserve">Круг  8 мм  -  1,17-1,3м    </t>
    </r>
    <r>
      <rPr>
        <b/>
        <sz val="10"/>
        <rFont val="Arial"/>
        <family val="2"/>
        <charset val="204"/>
      </rPr>
      <t xml:space="preserve">        ЭП-33вд</t>
    </r>
  </si>
  <si>
    <t xml:space="preserve">Круг  55 мм  -  0,24м(2,6кг) - 1шт </t>
  </si>
  <si>
    <t>Круг  24-25 мм -  0,51м(1,1кг) - 1шт</t>
  </si>
  <si>
    <t>Круг  28мм  - 0,42м(0,7кг) - 1шт</t>
  </si>
  <si>
    <r>
      <t xml:space="preserve">Труба  18 х 1,5 -  5,8-6,4м(43,5кг)    </t>
    </r>
    <r>
      <rPr>
        <b/>
        <sz val="10"/>
        <rFont val="Arial"/>
        <family val="2"/>
        <charset val="204"/>
      </rPr>
      <t xml:space="preserve"> 316Тi</t>
    </r>
  </si>
  <si>
    <t xml:space="preserve">Круг  75мм  -   1,04м(35,3кг) - 1шт                           </t>
  </si>
  <si>
    <t>ХН65ВМТЮ</t>
  </si>
  <si>
    <t xml:space="preserve">Круг  85 мм  -  1,27м(57,3кг клеймо) - 1шт                               </t>
  </si>
  <si>
    <r>
      <t xml:space="preserve">Лента - 0,25х200мм - 23,9кг - 1 рулон         </t>
    </r>
    <r>
      <rPr>
        <b/>
        <sz val="10"/>
        <rFont val="Arial"/>
        <family val="2"/>
        <charset val="204"/>
      </rPr>
      <t xml:space="preserve"> </t>
    </r>
    <r>
      <rPr>
        <b/>
        <sz val="8"/>
        <rFont val="Arial"/>
        <family val="2"/>
        <charset val="204"/>
      </rPr>
      <t>твердая</t>
    </r>
  </si>
  <si>
    <r>
      <t xml:space="preserve">Круг  180 мм  -  60мм(13,8кг) -  1шт                  </t>
    </r>
    <r>
      <rPr>
        <b/>
        <sz val="10"/>
        <rFont val="Arial"/>
        <family val="2"/>
        <charset val="204"/>
      </rPr>
      <t>ЭИ-943</t>
    </r>
  </si>
  <si>
    <t>Труба  56 х 2,0    -  1,14м - 1шт</t>
  </si>
  <si>
    <t>АК-8</t>
  </si>
  <si>
    <t>Труба  89 х 5"+"  -   3,63м(по 37,8кг) - 2шт</t>
  </si>
  <si>
    <t xml:space="preserve">Труба  6 х 1,0   -  1,7-3,9м </t>
  </si>
  <si>
    <t xml:space="preserve">Лист  25 мм  -   0,43х1м(87кг); 0,45х1,07м(98кг) по 1шт  </t>
  </si>
  <si>
    <r>
      <t>Труба  219 х 8,0  - 3,54м(150кг) - 1шт</t>
    </r>
    <r>
      <rPr>
        <b/>
        <sz val="10"/>
        <rFont val="Arial"/>
        <family val="2"/>
        <charset val="204"/>
      </rPr>
      <t xml:space="preserve">    </t>
    </r>
    <r>
      <rPr>
        <b/>
        <sz val="8"/>
        <rFont val="Arial"/>
        <family val="2"/>
        <charset val="204"/>
      </rPr>
      <t>клеймо</t>
    </r>
    <r>
      <rPr>
        <b/>
        <sz val="10"/>
        <rFont val="Arial"/>
        <family val="2"/>
        <charset val="204"/>
      </rPr>
      <t xml:space="preserve">        склад 6</t>
    </r>
  </si>
  <si>
    <t>Ферромарганец 78-й -  лежалый</t>
  </si>
  <si>
    <t>Круг  30мм  - 1,32м(2,5кг) - 1шт</t>
  </si>
  <si>
    <t>Круг  32мм  - 1м(2,2кг) - 1шт</t>
  </si>
  <si>
    <t>Труба  48 х 11-12 - 0,9м(9,7кг) - 1шт</t>
  </si>
  <si>
    <t>Полоса        2х40мм   -   6,4; 7,8кг по 1-й бухте</t>
  </si>
  <si>
    <t>Труба  57 х 2,0 -  3,5м(9,7кг) - 1шт</t>
  </si>
  <si>
    <r>
      <t xml:space="preserve">Лист  1,8 мм -  0,87х1,82м(23,3кг маркирован)  - 1шт       </t>
    </r>
    <r>
      <rPr>
        <b/>
        <sz val="10"/>
        <rFont val="Arial"/>
        <family val="2"/>
        <charset val="204"/>
      </rPr>
      <t>ЭИ-435</t>
    </r>
  </si>
  <si>
    <t>Феррофосфор</t>
  </si>
  <si>
    <t>фосфор 20%</t>
  </si>
  <si>
    <r>
      <t xml:space="preserve">Круг  140 мм  -   0,67м(84,4кг клеймо) - 1шт </t>
    </r>
    <r>
      <rPr>
        <b/>
        <sz val="10"/>
        <rFont val="Arial"/>
        <family val="2"/>
        <charset val="204"/>
      </rPr>
      <t xml:space="preserve">               ДИ-80</t>
    </r>
  </si>
  <si>
    <t>05Х12Н6Д2МФСГТ</t>
  </si>
  <si>
    <r>
      <t xml:space="preserve">Круг  10 мм   -  2,87м(1кг) - 1шт                 </t>
    </r>
    <r>
      <rPr>
        <b/>
        <sz val="10"/>
        <rFont val="Arial"/>
        <family val="2"/>
        <charset val="204"/>
      </rPr>
      <t xml:space="preserve"> ЭИ-437</t>
    </r>
  </si>
  <si>
    <t>Проволока  2,0 мм - 2,9; 4; 2,6кг; 4; 6кг по 1-й бухте    константант</t>
  </si>
  <si>
    <t>Проволока  2,5 мм - 3,6кг - 1 бухта    константант</t>
  </si>
  <si>
    <t xml:space="preserve">Круг  100 мм  -  0,16м(23кг) - 4шт;  0,15м(6,3кг)  клеймо      </t>
  </si>
  <si>
    <r>
      <t xml:space="preserve">Лист  4 мм - </t>
    </r>
    <r>
      <rPr>
        <b/>
        <sz val="8.5"/>
        <rFont val="Arial"/>
        <family val="2"/>
        <charset val="204"/>
      </rPr>
      <t xml:space="preserve">0,6х1м(19,3кг) - 1шт  </t>
    </r>
  </si>
  <si>
    <t xml:space="preserve">Лист  4 мм  - 0,45х0,71м(30кг маркир) - 3шт </t>
  </si>
  <si>
    <r>
      <t xml:space="preserve">Труба  152 х 7,0 - 2,07м(51,6кг) - 1шт        </t>
    </r>
    <r>
      <rPr>
        <b/>
        <sz val="10"/>
        <rFont val="Arial"/>
        <family val="2"/>
        <charset val="204"/>
      </rPr>
      <t xml:space="preserve">   </t>
    </r>
    <r>
      <rPr>
        <b/>
        <sz val="8.3000000000000007"/>
        <rFont val="Arial"/>
        <family val="2"/>
        <charset val="204"/>
      </rPr>
      <t xml:space="preserve">              </t>
    </r>
  </si>
  <si>
    <t>Круг  45 мм  -  1,35; 1,31; 1,25; 1,18; 1,05; 0,99; 0,94; 1,34м по 1шт; 0,99м(7,2кг точеный)</t>
  </si>
  <si>
    <t xml:space="preserve">Круг  180 мм  - 0,33м(37,5кг) - 1шт  </t>
  </si>
  <si>
    <t xml:space="preserve">Труба  32х1,5  -  3м </t>
  </si>
  <si>
    <t>ЛАМш77-2-0.05</t>
  </si>
  <si>
    <t xml:space="preserve">Лист  16 мм  -  блины ф380мм  по 14,6кг - 2шт </t>
  </si>
  <si>
    <t>Круг  120мм  - 1,2м(120,8кг) - 1шт</t>
  </si>
  <si>
    <t>Круг  32 мм  - 0,27м(0,7кг) - 1шт</t>
  </si>
  <si>
    <t xml:space="preserve">Труба  45 х 3,5  -  5,9-6,75м(81,2кг резали куски 0,75; 1; 1м); 4,35+4,19м=31,7кг; 2,61м(9,4кг); 2,74м(10кг) </t>
  </si>
  <si>
    <t>Проволока   ф 2,0мм  -  30,5; 22,1; 19,7; 26,4кг по 1-й  бухте</t>
  </si>
  <si>
    <r>
      <t xml:space="preserve">Труба  76 х 4,5   -   2,63м(20,4кг пескостр); 2,99м(25кг); 2,69м(23,2кг) по 1шт      </t>
    </r>
    <r>
      <rPr>
        <b/>
        <sz val="10"/>
        <rFont val="Arial"/>
        <family val="2"/>
        <charset val="204"/>
      </rPr>
      <t xml:space="preserve">316-Ti </t>
    </r>
  </si>
  <si>
    <r>
      <t xml:space="preserve">Круг  14мм  -  1,15-1,54м(255кг)   клейм                        </t>
    </r>
    <r>
      <rPr>
        <b/>
        <sz val="10"/>
        <rFont val="Arial"/>
        <family val="2"/>
        <charset val="204"/>
      </rPr>
      <t>ЭИ-654</t>
    </r>
  </si>
  <si>
    <t>Никель лента - 0,7х110мм -  1 бухта 8,6кг    птв</t>
  </si>
  <si>
    <r>
      <t xml:space="preserve">Круг  100мм  -  0,12м(8,55кг); 0,16м(11,65кг клеймо) - 1шт             </t>
    </r>
    <r>
      <rPr>
        <b/>
        <sz val="10"/>
        <rFont val="Arial"/>
        <family val="2"/>
        <charset val="204"/>
      </rPr>
      <t xml:space="preserve">        ЭП-33вд</t>
    </r>
  </si>
  <si>
    <t xml:space="preserve">Лист  25 мм  -   0,39х0,57м(46,5кг) - 1шт  </t>
  </si>
  <si>
    <t>Лист латунный 6,0 мм - 0,59х1,49м(43,2кг) - 1шт</t>
  </si>
  <si>
    <r>
      <t xml:space="preserve">Круг  100 мм -   1,72м(103кг) - 1шт                                    </t>
    </r>
    <r>
      <rPr>
        <b/>
        <sz val="10"/>
        <rFont val="Arial"/>
        <family val="2"/>
        <charset val="204"/>
      </rPr>
      <t xml:space="preserve">склад 2 </t>
    </r>
  </si>
  <si>
    <t>Труба  17 х 3,0   -                                        3,06-3,3м(6,4кг найти!!!!!!)</t>
  </si>
  <si>
    <t>В-95 АТ</t>
  </si>
  <si>
    <r>
      <t xml:space="preserve">Втулка ф250мм стенка 85мм - 0,35м(118кг) - 1шт    </t>
    </r>
    <r>
      <rPr>
        <b/>
        <sz val="12"/>
        <rFont val="Arial"/>
        <family val="2"/>
        <charset val="204"/>
      </rPr>
      <t xml:space="preserve"> </t>
    </r>
  </si>
  <si>
    <t>Проволока   0,4мм  -  2,7кг - 1  катушка</t>
  </si>
  <si>
    <t xml:space="preserve"> 08Х18Н10Т </t>
  </si>
  <si>
    <t>Труба  25 х 2,0 -  2,97-2,99м   маркирована</t>
  </si>
  <si>
    <t xml:space="preserve">Круг  170 мм - 0,73м(129кг клеймо) - 1шт     </t>
  </si>
  <si>
    <r>
      <t xml:space="preserve">Труба  168 х 4,5  -  4,14м(74,7кг) - 1шт        </t>
    </r>
    <r>
      <rPr>
        <b/>
        <sz val="10"/>
        <rFont val="Arial"/>
        <family val="2"/>
        <charset val="204"/>
      </rPr>
      <t xml:space="preserve">   </t>
    </r>
  </si>
  <si>
    <t>Лист 0,3мм -  0,6х2м(1,6; 1,7; 1,7кг); 0,6х1,5м(1,3кг) по 1шт  в рулоне скручены</t>
  </si>
  <si>
    <t xml:space="preserve">Круг  110 мм -  0,82м(36,1кг); 0,35м(15,8кг); 0,45м(20,1кг клеймо) по 1шт </t>
  </si>
  <si>
    <t>с</t>
  </si>
  <si>
    <t xml:space="preserve">Круг  42 мм  - 3,16; 3,4; 3,31м по 1шт </t>
  </si>
  <si>
    <t>Лист  8 мм -  0,24х1,44м(22,4кг н\о);  0,24х1,44м(23,6кг н\о); 0,25х1,44м(21,8кг - 2 выреза 30мм по краю 1-й длинной стороны на расстоянни 250мм от короткой стороны); 0,49х1,44м(46,8кг на расстоянии 250мм от коротких сторон по центру листа 2 выреза ф70мм) по 1шт</t>
  </si>
  <si>
    <t>Круг   105 мм -  0,85м(65,3кг) - 1шт</t>
  </si>
  <si>
    <t xml:space="preserve">Круг  65 мм - 1,88м(29кг клеймо); 0,45м(7,2кг); 0,89м(13,9кг клеймо) по 1шт     </t>
  </si>
  <si>
    <t xml:space="preserve">Круг  75 мм - 0,84м(17,5кг клеймо) - 1шт     </t>
  </si>
  <si>
    <t xml:space="preserve">Круг  100 мм  - 0,16м(11,7кг - 2шт); 0,24м(8,8кг); 0,32м(11,8кг); 0,34м(12,7кг)  клеймо   </t>
  </si>
  <si>
    <t xml:space="preserve">Круг  140 мм - 0,9м(65,5кг клеймо) - 1шт     </t>
  </si>
  <si>
    <t xml:space="preserve">Круг  20 мм -   0,37м(0,5кг) - 1шт     </t>
  </si>
  <si>
    <t>Проволока  1,0 мм  -  22,3кг - 1 бухта  твердая</t>
  </si>
  <si>
    <r>
      <t>Круг  100 мм  -  0,45м(28,2кг н\о) - 1шт</t>
    </r>
    <r>
      <rPr>
        <b/>
        <sz val="10"/>
        <rFont val="Arial"/>
        <family val="2"/>
        <charset val="204"/>
      </rPr>
      <t xml:space="preserve">  </t>
    </r>
    <r>
      <rPr>
        <b/>
        <sz val="10"/>
        <color indexed="10"/>
        <rFont val="Arial"/>
        <family val="2"/>
        <charset val="204"/>
      </rPr>
      <t xml:space="preserve">       </t>
    </r>
    <r>
      <rPr>
        <b/>
        <sz val="10"/>
        <rFont val="Arial"/>
        <family val="2"/>
        <charset val="204"/>
      </rPr>
      <t xml:space="preserve"> ЭП-678  </t>
    </r>
  </si>
  <si>
    <r>
      <t xml:space="preserve">Круг  26 мм -  2,29м(9,8кг); 1,01м(4,4кг клеймо); 0,63м(2,7кг клеймо) по 1шт     </t>
    </r>
    <r>
      <rPr>
        <b/>
        <sz val="10"/>
        <rFont val="Arial"/>
        <family val="2"/>
        <charset val="204"/>
      </rPr>
      <t xml:space="preserve"> ЭИ-437</t>
    </r>
  </si>
  <si>
    <t xml:space="preserve">Круг  21 мм  -   1м(5,4кг) - 2шт;  1,33+1,4+1,87м </t>
  </si>
  <si>
    <t xml:space="preserve">Круг  180 мм - 0,16м(32,8кг) - 1шт                 40мм(9,4кг не нашли!!!!!) по 1шт  все клейм 316L   </t>
  </si>
  <si>
    <t xml:space="preserve">Труба  38 х 4,5  - 2,25м(16,7кг) - 2шт; 2,83м(10,7кг); 2,75м(10,2кг); 2,15+2,15+2,2м=23,4кг   </t>
  </si>
  <si>
    <t xml:space="preserve">Труба  18 х 1,5  -  6,1-6,25м </t>
  </si>
  <si>
    <r>
      <t xml:space="preserve">Круг  260 мм  -  60мм(28кг) - 1шт                         </t>
    </r>
    <r>
      <rPr>
        <b/>
        <sz val="10"/>
        <rFont val="Arial"/>
        <family val="2"/>
        <charset val="204"/>
      </rPr>
      <t xml:space="preserve"> ЭП-56</t>
    </r>
  </si>
  <si>
    <t xml:space="preserve">Лента бронзовая - 0,5х220мм - 1 бухта  2,3кг       </t>
  </si>
  <si>
    <t xml:space="preserve">Лента бронзовая - 0,6х230мм - 1 бухта  3,6кг       </t>
  </si>
  <si>
    <t>Проволока   3,5 мм  -   бухты 5,4 и 6,4кг по 1шт</t>
  </si>
  <si>
    <t>Проволока   5,0 мм  -   бухта 20,4кг - 1шт</t>
  </si>
  <si>
    <t>Труба  76 х 3,5  -  3,21м(20,2кг); 2,72+2,74+3+3м=70кг</t>
  </si>
  <si>
    <t xml:space="preserve">Труба  202 х 21-23  -  0,21м(22,4кг) - 1шт </t>
  </si>
  <si>
    <r>
      <t xml:space="preserve">Шестигранник №19 -  0,56м(1,3кг); 0,4+0,44м=2кг                 </t>
    </r>
    <r>
      <rPr>
        <b/>
        <sz val="10"/>
        <rFont val="Arial"/>
        <family val="2"/>
        <charset val="204"/>
      </rPr>
      <t xml:space="preserve"> ЭП-33вд</t>
    </r>
  </si>
  <si>
    <t>Труба  13 х 1,5   -  1,75м(1,4кг) - 3шт</t>
  </si>
  <si>
    <t>Труба  14 х 1,5   -  2,48м(0,6кг) - 1шт</t>
  </si>
  <si>
    <t xml:space="preserve">Труба  38 х 3,0   -  4,03м(10,4кг) - 1шт </t>
  </si>
  <si>
    <t>Труба  108 х 8,0 - 2,84м(56кг) - 1шт</t>
  </si>
  <si>
    <t>Круг  65 мм  -  0,47м(7кг); 0,46м(6,9кг); 0,47м(6,9кг); 0,44м(6,4кг от края на 55мм проточка на ф62мм); 0,47м(6,9кг от края на 50мм проточка на ф64мм) по 1шт</t>
  </si>
  <si>
    <r>
      <t xml:space="preserve">Квадрат  160х160мм  - 1,6м(327кг) - клеймо                                  </t>
    </r>
    <r>
      <rPr>
        <b/>
        <sz val="10"/>
        <rFont val="Arial"/>
        <family val="2"/>
        <charset val="204"/>
      </rPr>
      <t>склад 6</t>
    </r>
  </si>
  <si>
    <r>
      <t xml:space="preserve">Лист  2,0 мм -  </t>
    </r>
    <r>
      <rPr>
        <b/>
        <sz val="8.5"/>
        <rFont val="Arial"/>
        <family val="2"/>
        <charset val="204"/>
      </rPr>
      <t xml:space="preserve">0,67-0,72х1,42м(113,8кг) - 7шт, маркированы      </t>
    </r>
    <r>
      <rPr>
        <b/>
        <sz val="10"/>
        <rFont val="Arial"/>
        <family val="2"/>
        <charset val="204"/>
      </rPr>
      <t>ЭИ-652</t>
    </r>
  </si>
  <si>
    <t xml:space="preserve">Круг  42 мм -  0,54м(6кг) - 1шт   </t>
  </si>
  <si>
    <t xml:space="preserve">Круг  26 мм -  0,37+0,44м=2,3кг  кованый  </t>
  </si>
  <si>
    <t xml:space="preserve">Круг  60 мм -   0,23м(3кг) - 1шт  </t>
  </si>
  <si>
    <t>Круг  55 мм -  1,77; 2,78; 2,7м по 1шт</t>
  </si>
  <si>
    <t xml:space="preserve">Круг  205мм  -   0,11м(29,8кг) - 1шт                           </t>
  </si>
  <si>
    <t>Труба  13,5 х 2,5  -  6,5-6,9мм(16,9 от 1шт рез 1мкг); 4,87м(3,2кг) - 1шт</t>
  </si>
  <si>
    <t>Лист 0,3мм -  0,6х1,5м(47,4кг) - 38шт   маркированы</t>
  </si>
  <si>
    <t>12Х18Н10</t>
  </si>
  <si>
    <t>Круг  80 мм  -   0,3м(12,4кг н\о) - 1шт</t>
  </si>
  <si>
    <r>
      <t xml:space="preserve">Шестигранник №24 -  3,45-4м - 9шт - от 1шт резали 0,64м; 2,3м; 1,23м(4,7кг)       </t>
    </r>
    <r>
      <rPr>
        <b/>
        <sz val="10"/>
        <rFont val="Arial"/>
        <family val="2"/>
        <charset val="204"/>
      </rPr>
      <t>ЭП-33вд</t>
    </r>
  </si>
  <si>
    <t xml:space="preserve">Круг  117 мм  -  0,23м(21,4кг) - 1шт </t>
  </si>
  <si>
    <r>
      <t xml:space="preserve">Лист  42 мм  -  0,82х1,04м(286кг) - 1шт    </t>
    </r>
    <r>
      <rPr>
        <b/>
        <sz val="10"/>
        <rFont val="Arial"/>
        <family val="2"/>
        <charset val="204"/>
      </rPr>
      <t xml:space="preserve"> склад 2</t>
    </r>
  </si>
  <si>
    <t>Лист  0,8 мм - 1,14х1,2м(8,4кг); 1,1х1,25м(8,2кг) по 1шт; 0,98х1,25м(7,5кг) по 1шт</t>
  </si>
  <si>
    <t>Шестигранник №22  -  3,05м(по 10кг) - 2шт</t>
  </si>
  <si>
    <t>Круг  32 мм  - 3,05м(19,2кг); 1,4м - 6шт; 1,03м - 1шт</t>
  </si>
  <si>
    <r>
      <t xml:space="preserve">Труба  18 х 4,0  -  3,8-4,2м          </t>
    </r>
    <r>
      <rPr>
        <b/>
        <sz val="10"/>
        <rFont val="Arial"/>
        <family val="2"/>
        <charset val="204"/>
      </rPr>
      <t>мельхиор</t>
    </r>
  </si>
  <si>
    <r>
      <t xml:space="preserve">Круг  150 мм    -   2,35м(317кг) - 1шт      </t>
    </r>
    <r>
      <rPr>
        <b/>
        <sz val="10"/>
        <rFont val="Arial"/>
        <family val="2"/>
        <charset val="204"/>
      </rPr>
      <t xml:space="preserve">  ЭП-53  клеймо    склад 6</t>
    </r>
  </si>
  <si>
    <t>Круг   50 мм  -  0,76м(12,8кг) - 1шт           МОНЕЛЬ</t>
  </si>
  <si>
    <t xml:space="preserve">Труба  30 х 4,0  -  0,98-1,19м </t>
  </si>
  <si>
    <t>ПОССу-40-2</t>
  </si>
  <si>
    <t xml:space="preserve">Круг  73мм  -  0,17м(5,8кг) - 1шт                           </t>
  </si>
  <si>
    <t xml:space="preserve">Труба  114 х 6,5-7,5  - 2м(37,8кг) - 1шт  </t>
  </si>
  <si>
    <t xml:space="preserve">Чушка, прутки медь фосфористая  </t>
  </si>
  <si>
    <t xml:space="preserve">Лист  28 мм  -  блин  ф570мм(62,3кг) - 1шт  </t>
  </si>
  <si>
    <t xml:space="preserve">Лист  27 мм  -  блин  ф530мм(49кг) - 1шт  </t>
  </si>
  <si>
    <t>Круг  140 мм  -  0,15м(10,2кг) - 1шт   клеймо</t>
  </si>
  <si>
    <r>
      <t xml:space="preserve">Круг  90 мм  -  0,58м(28,6кг); 0,43м(22,1кг); 0,55м(27+27кг)  по 1шт   </t>
    </r>
    <r>
      <rPr>
        <b/>
        <sz val="10"/>
        <rFont val="Arial"/>
        <family val="2"/>
        <charset val="204"/>
      </rPr>
      <t>ЭИ-268</t>
    </r>
  </si>
  <si>
    <r>
      <t xml:space="preserve">Лента  0,2х100 мм  -   рулоны  9,9; 5,3кг по 1шт                           </t>
    </r>
    <r>
      <rPr>
        <b/>
        <sz val="10"/>
        <rFont val="Arial"/>
        <family val="2"/>
        <charset val="204"/>
      </rPr>
      <t>ЭИ-435</t>
    </r>
  </si>
  <si>
    <t>Круг  30 мм -                                                         20,8кг - найти!!!!!</t>
  </si>
  <si>
    <r>
      <t xml:space="preserve">Круг  85 мм  - 0,89м(40,6кг клеймо) - 1шт               </t>
    </r>
    <r>
      <rPr>
        <b/>
        <sz val="10"/>
        <rFont val="Arial"/>
        <family val="2"/>
        <charset val="204"/>
      </rPr>
      <t>ЭИ-268</t>
    </r>
  </si>
  <si>
    <t>Проволока   0,31мм    -  катушка  8,2кг - 1шт</t>
  </si>
  <si>
    <t>Круг  215 мм -  55мм(15,8кг) - 1шт</t>
  </si>
  <si>
    <t xml:space="preserve">Лист  3,0 мм - 1,02х2,54м(69,4кг); 1,25х1,71м(51,2кг) по 1шт   </t>
  </si>
  <si>
    <t xml:space="preserve">Труба  85 х 14,0  -  0,94м(24,8кг) - 1шт                   </t>
  </si>
  <si>
    <t xml:space="preserve">06Х16Н15М3Б </t>
  </si>
  <si>
    <t xml:space="preserve">Круг  70 мм  -   3,9м(114,4кг) -  1шт    </t>
  </si>
  <si>
    <t xml:space="preserve">Круг   90(89) мм -  0,18м(8,8кг) - 1шт </t>
  </si>
  <si>
    <t xml:space="preserve">Лист  1,5 мм -  0,72х1,36м(11,5кг) - 1шт  </t>
  </si>
  <si>
    <t>Проволока   ф 1,0мм  -  4,7кг; 10,4кг; 5,1кг по 1-й бухта</t>
  </si>
  <si>
    <r>
      <t xml:space="preserve">Проволока  1,2 мм  -  катушки по 15кг - 1шт в коробках, HORDA, сварочная          </t>
    </r>
    <r>
      <rPr>
        <b/>
        <sz val="10"/>
        <rFont val="Arial"/>
        <family val="2"/>
        <charset val="204"/>
      </rPr>
      <t>308-L</t>
    </r>
    <r>
      <rPr>
        <b/>
        <sz val="8.3000000000000007"/>
        <rFont val="Arial"/>
        <family val="2"/>
        <charset val="204"/>
      </rPr>
      <t xml:space="preserve">                       </t>
    </r>
  </si>
  <si>
    <t xml:space="preserve">Круг  90 мм - 0,98м(29,5кг клейм); 0,72м(21,3кг); 0,23м(7кг) по 1шт </t>
  </si>
  <si>
    <t>Круг  90 мм  - 1,96м(59,2кг) клеймо); 1,67м(49,5кг); 0,92м(27,3кг) по 1шт     маркировка, клеймо</t>
  </si>
  <si>
    <r>
      <t xml:space="preserve">Круг  46 мм  - 0,8м(21,6кг) - 2шт </t>
    </r>
    <r>
      <rPr>
        <b/>
        <sz val="10"/>
        <rFont val="Arial"/>
        <family val="2"/>
        <charset val="204"/>
      </rPr>
      <t xml:space="preserve">                        </t>
    </r>
  </si>
  <si>
    <t xml:space="preserve">Круг   7,5 мм  -  2,8м - 2шт </t>
  </si>
  <si>
    <t xml:space="preserve">Круг   7,5 мм  -  3м - 1шт </t>
  </si>
  <si>
    <r>
      <t xml:space="preserve">Труба  33 х 4,5-4,7  -  3,78м - 1шт                     </t>
    </r>
    <r>
      <rPr>
        <b/>
        <sz val="10"/>
        <rFont val="Arial"/>
        <family val="2"/>
        <charset val="204"/>
      </rPr>
      <t xml:space="preserve"> </t>
    </r>
  </si>
  <si>
    <t>Круг   85 мм  -  0,13м(5,8кг) - 1шт</t>
  </si>
  <si>
    <t>Круг   120 мм -  0,58м(54,3кг)  - 1шт</t>
  </si>
  <si>
    <t>Круг  45 мм - 1,08м(7,3кг); 2,09м(14,6кг) по 1шт зел торец и бел полоса</t>
  </si>
  <si>
    <t>Круг  19 мм -   1,92м(2,4кг) - 1шт</t>
  </si>
  <si>
    <t>Круг  80 мм - 1,58м(37,2кг) - 1шт</t>
  </si>
  <si>
    <t>Лента бронзовая - 0,7х250мм - 1 бухта  3кг                    твердая</t>
  </si>
  <si>
    <t>Лента - 0,15х100мм - 13,6кг - 1 рулон     клеймо</t>
  </si>
  <si>
    <t xml:space="preserve">Круг  228 мм  -  55мм(17,7кг) - 1шт                           </t>
  </si>
  <si>
    <t>Круг  19-20 мм  -  1м(1,4кг) - 1шт</t>
  </si>
  <si>
    <t>Проволока  0,18 мм  -  2,5кг  -  1  алюминиевая катушка</t>
  </si>
  <si>
    <t>Труба  108 х 5-5,5 -  1,8м(23,9кг) - 1шт</t>
  </si>
  <si>
    <t xml:space="preserve">Труба  12 х 0,7   -  0,62-0,96м </t>
  </si>
  <si>
    <t>07Х16Н6мш</t>
  </si>
  <si>
    <r>
      <t xml:space="preserve">Лист  0,8 мм  -  0,71х1,43м(27,2кг) - 4шт; 0,71х1,35м(6,1кг); 0,65х1,38м(17,4кг) - 3шт    маркировка    </t>
    </r>
    <r>
      <rPr>
        <b/>
        <sz val="10"/>
        <rFont val="Arial"/>
        <family val="2"/>
        <charset val="204"/>
      </rPr>
      <t xml:space="preserve"> ЭИ-943 </t>
    </r>
  </si>
  <si>
    <r>
      <t xml:space="preserve">Лист  0,9 мм  -  0,7х1,31м(6,9кг); 0,71х1,43м(28,8кг) - 4шт    маркировка    </t>
    </r>
    <r>
      <rPr>
        <b/>
        <sz val="10"/>
        <rFont val="Arial"/>
        <family val="2"/>
        <charset val="204"/>
      </rPr>
      <t xml:space="preserve"> ЭИ-943 </t>
    </r>
  </si>
  <si>
    <t>Труба  32 х 5,5   -  1,86+1,86м=7,8кг</t>
  </si>
  <si>
    <t>Круг   50 мм  -  2,57+1,64м=69,2кг; 2,62м(44,3кг) по 1шт</t>
  </si>
  <si>
    <t>Труба  38 х 3,5 -  1,1м(3,4+3,3+3,3кг) по 1шт</t>
  </si>
  <si>
    <r>
      <t xml:space="preserve">Круг  38 мм  - 0,99м(8,7кг) - 1шт                     </t>
    </r>
    <r>
      <rPr>
        <b/>
        <sz val="10"/>
        <rFont val="Arial"/>
        <family val="2"/>
        <charset val="204"/>
      </rPr>
      <t xml:space="preserve"> </t>
    </r>
  </si>
  <si>
    <t xml:space="preserve">Проволока   ф 3,5 мм -  16,3кг - 1 бухта </t>
  </si>
  <si>
    <t xml:space="preserve">Труба  36 х 2,5   -  1,74м(3,7кг) - 1шт       </t>
  </si>
  <si>
    <t xml:space="preserve">Труба  36 х 3,0   -  1,69-1,74м  - 6шт       </t>
  </si>
  <si>
    <t>Круг   15 мм  -  0,67; 0,75; 0,84м по 1шт</t>
  </si>
  <si>
    <t xml:space="preserve">Лента 0,2х150мм - 13,9; 2кг по 1 рулону </t>
  </si>
  <si>
    <r>
      <t xml:space="preserve">Лист  38 мм  -   0,68х0,76м(161,5кг) по 1шт           </t>
    </r>
    <r>
      <rPr>
        <b/>
        <sz val="10"/>
        <rFont val="Arial"/>
        <family val="2"/>
        <charset val="204"/>
      </rPr>
      <t>склад 6</t>
    </r>
    <r>
      <rPr>
        <b/>
        <sz val="8"/>
        <rFont val="Arial"/>
        <family val="2"/>
        <charset val="204"/>
      </rPr>
      <t xml:space="preserve">        </t>
    </r>
    <r>
      <rPr>
        <b/>
        <sz val="10"/>
        <rFont val="Arial"/>
        <family val="2"/>
        <charset val="204"/>
      </rPr>
      <t xml:space="preserve"> </t>
    </r>
  </si>
  <si>
    <t>Круг  80 мм  -   2,94м(112,4кг); 0,82м(33,5кг)  по 1шт</t>
  </si>
  <si>
    <t>Круг   16 мм  -  длины в районе 3м</t>
  </si>
  <si>
    <t xml:space="preserve">Круг  30 мм  - 1,35-1,47м(17,1кг отрезали куски) </t>
  </si>
  <si>
    <r>
      <rPr>
        <b/>
        <sz val="8"/>
        <rFont val="Arial"/>
        <family val="2"/>
        <charset val="204"/>
      </rPr>
      <t xml:space="preserve">Шестигранник №12 -  0,5+0,56м=1кг                           2,17-2,25м(2,1кг найти!!!!!)     </t>
    </r>
    <r>
      <rPr>
        <b/>
        <sz val="10"/>
        <rFont val="Arial"/>
        <family val="2"/>
        <charset val="204"/>
      </rPr>
      <t>ЭП-33вд</t>
    </r>
  </si>
  <si>
    <t xml:space="preserve">Труба  45 х 4,5  -  2,24м(9,8кг); 2+2,42+2,7+2,74м=44,6кг </t>
  </si>
  <si>
    <t>Труба  32 х 2,5   -  1,41м(2,4кг); 1,85м(3,2кг) по 1шт</t>
  </si>
  <si>
    <r>
      <t xml:space="preserve">Круг  90 мм -    1,72м(87,4кг) - 1шт          </t>
    </r>
    <r>
      <rPr>
        <b/>
        <sz val="10"/>
        <rFont val="Arial"/>
        <family val="2"/>
        <charset val="204"/>
      </rPr>
      <t xml:space="preserve">  ЭИ-943</t>
    </r>
  </si>
  <si>
    <r>
      <t xml:space="preserve">Круг  20 мм  -  1,5-2,5м                                    </t>
    </r>
    <r>
      <rPr>
        <b/>
        <sz val="10"/>
        <rFont val="Arial"/>
        <family val="2"/>
        <charset val="204"/>
      </rPr>
      <t>ЭИ-268</t>
    </r>
  </si>
  <si>
    <r>
      <t xml:space="preserve">Квадрат  200х200мм  -  1,07м(350кг); 1,08+1,27м=740кг    клейма                  </t>
    </r>
    <r>
      <rPr>
        <b/>
        <sz val="10"/>
        <rFont val="Arial"/>
        <family val="2"/>
        <charset val="204"/>
      </rPr>
      <t xml:space="preserve"> склад 6</t>
    </r>
  </si>
  <si>
    <t xml:space="preserve">Круг  75 мм  -  1,2м(42,1кг); 0,6м(20,8кг); 0,52м(18,2кг) по 1шт    </t>
  </si>
  <si>
    <r>
      <t xml:space="preserve">Шестигранник №32  -  3,33; 3,44; 3,48; 3,5м по 1шт </t>
    </r>
    <r>
      <rPr>
        <b/>
        <sz val="10"/>
        <rFont val="Arial"/>
        <family val="2"/>
        <charset val="204"/>
      </rPr>
      <t xml:space="preserve">     ЭП-33вд</t>
    </r>
  </si>
  <si>
    <r>
      <t xml:space="preserve">Круг  25"-" мм -    1,4-1,45м    </t>
    </r>
    <r>
      <rPr>
        <b/>
        <sz val="10"/>
        <rFont val="Arial"/>
        <family val="2"/>
        <charset val="204"/>
      </rPr>
      <t xml:space="preserve"> </t>
    </r>
    <r>
      <rPr>
        <b/>
        <sz val="8"/>
        <rFont val="Arial"/>
        <family val="2"/>
        <charset val="204"/>
      </rPr>
      <t>клеймо</t>
    </r>
    <r>
      <rPr>
        <b/>
        <sz val="10"/>
        <rFont val="Arial"/>
        <family val="2"/>
        <charset val="204"/>
      </rPr>
      <t xml:space="preserve">   ЭП-56   </t>
    </r>
  </si>
  <si>
    <t>Круг  15 мм  -                                                (0,95-1,2м; 2,33м(3,5кг) найти!!!!)</t>
  </si>
  <si>
    <r>
      <t xml:space="preserve">Лист  0,8 мм   -  0,85х2,6м - 19шт      по 13,5кг\шт      </t>
    </r>
    <r>
      <rPr>
        <b/>
        <sz val="10"/>
        <rFont val="Arial"/>
        <family val="2"/>
        <charset val="204"/>
      </rPr>
      <t xml:space="preserve"> ДИ-61</t>
    </r>
  </si>
  <si>
    <t>Круг  46мм  -  0,37м(5,4кг клеймо) - 1шт</t>
  </si>
  <si>
    <r>
      <t xml:space="preserve">Труба  89 х 6-7  -  1,48м(18,7кг клеймо) - 1шт                     </t>
    </r>
    <r>
      <rPr>
        <b/>
        <sz val="10"/>
        <rFont val="Arial"/>
        <family val="2"/>
        <charset val="204"/>
      </rPr>
      <t>316-Ti</t>
    </r>
    <r>
      <rPr>
        <b/>
        <sz val="8.3000000000000007"/>
        <rFont val="Arial"/>
        <family val="2"/>
        <charset val="204"/>
      </rPr>
      <t xml:space="preserve">     </t>
    </r>
  </si>
  <si>
    <t>Труба  85х22-23  -  2,15м - 1шт</t>
  </si>
  <si>
    <t xml:space="preserve">Проволока  3,0  мм    -  10кг  - 1 бухта   </t>
  </si>
  <si>
    <t>Проволока  6,0 мм   -   2,8кг(найти!!!!)  по 1-й бухте</t>
  </si>
  <si>
    <r>
      <t xml:space="preserve">Проволока  1,0 мм  -   7,3кг -  1-й бухта           </t>
    </r>
    <r>
      <rPr>
        <b/>
        <sz val="10"/>
        <rFont val="Arial"/>
        <family val="2"/>
        <charset val="204"/>
      </rPr>
      <t>ЭП-367</t>
    </r>
  </si>
  <si>
    <t>Лист бронзовый 14"-"мм - 0,78х0,79м(74,5кг); 0,64х0,78м(60,2кг) по 1шт</t>
  </si>
  <si>
    <r>
      <t xml:space="preserve">Лист  34 мм  -   0,96х1,97м(510кг); 0,65х0,81м(140кг без угла 120х130мм) по 1шт </t>
    </r>
    <r>
      <rPr>
        <b/>
        <sz val="10"/>
        <rFont val="Arial"/>
        <family val="2"/>
        <charset val="204"/>
      </rPr>
      <t xml:space="preserve">  склад 2</t>
    </r>
  </si>
  <si>
    <t>Труба  35 х 2,7  -  2,55м - 1шт</t>
  </si>
  <si>
    <t>ниобий 99,9%</t>
  </si>
  <si>
    <r>
      <t xml:space="preserve">Круг  200 мм  -  45мм(16,9кг) - 1шт       </t>
    </r>
    <r>
      <rPr>
        <b/>
        <sz val="10"/>
        <rFont val="Arial"/>
        <family val="2"/>
        <charset val="204"/>
      </rPr>
      <t xml:space="preserve">   </t>
    </r>
  </si>
  <si>
    <t>Лист  21 мм -  блин ф940мм - 1шт</t>
  </si>
  <si>
    <t>Труба  57 х 3,5-4 -  3,08м(15,7кг)  - 1шт; 2м(60кг)</t>
  </si>
  <si>
    <t>Труба  57 х 2,5  -   1,6; 1,6; 1,58м по 1шт</t>
  </si>
  <si>
    <t>Круг  35 мм  -  0,54м(4,4кг) - 1шт</t>
  </si>
  <si>
    <t xml:space="preserve">Круг  130 мм - 0,64м(23,3м) - 1шт </t>
  </si>
  <si>
    <t>Проволока   ф 3,5 мм -  2,1кг - 1 бухта</t>
  </si>
  <si>
    <t xml:space="preserve">Труба 65х10 - 2,39м(11,5кг клеймо) - 1шт  </t>
  </si>
  <si>
    <t xml:space="preserve">Труба 42х6,0 - 2,32; 2,36м по 1шт  </t>
  </si>
  <si>
    <t xml:space="preserve">Труба 38х7,0 - 0,98м(1,8кг) - 1шт </t>
  </si>
  <si>
    <t xml:space="preserve">Труба 35х10 - 1,51м(3,3кг) - 1шт </t>
  </si>
  <si>
    <r>
      <t xml:space="preserve">Шестигранник №19 -  0,17-0,55м(3,7кг); 30-260мм(10,8кг)   </t>
    </r>
    <r>
      <rPr>
        <b/>
        <sz val="10"/>
        <rFont val="Arial"/>
        <family val="2"/>
        <charset val="204"/>
      </rPr>
      <t>ЭП-33вд</t>
    </r>
  </si>
  <si>
    <t>Проволока  1,2 мм  -  15кг - 1 бухта   твердая</t>
  </si>
  <si>
    <r>
      <t xml:space="preserve">Круг  40 мм  -  0,97м(9,5кг) - 1шт                </t>
    </r>
    <r>
      <rPr>
        <b/>
        <sz val="10"/>
        <rFont val="Arial"/>
        <family val="2"/>
        <charset val="204"/>
      </rPr>
      <t>ЭИ-474</t>
    </r>
  </si>
  <si>
    <t>20Х17Н3М</t>
  </si>
  <si>
    <r>
      <t xml:space="preserve">Круг  60 мм  -  0,5м(11,5кг) - 1шт               </t>
    </r>
    <r>
      <rPr>
        <b/>
        <sz val="10"/>
        <rFont val="Arial"/>
        <family val="2"/>
        <charset val="204"/>
      </rPr>
      <t>ЭИ-943</t>
    </r>
  </si>
  <si>
    <t>Круг   65 мм  -  0,84м(25,7кг); 0,85м(26,2кг); 1,46м(44,6кг) по 1шт           МЕЛЬХИОР</t>
  </si>
  <si>
    <r>
      <t xml:space="preserve">Труба  14 х 2,0  -    1,3м(0,8кг) - 1шт                           </t>
    </r>
    <r>
      <rPr>
        <b/>
        <sz val="10"/>
        <rFont val="Arial"/>
        <family val="2"/>
        <charset val="204"/>
      </rPr>
      <t xml:space="preserve">ЭИ-943  </t>
    </r>
  </si>
  <si>
    <t>Лист  1,0 мм - 1х2м(170,4кг) - 11шт</t>
  </si>
  <si>
    <t xml:space="preserve">Лист  1,0 мм - 1,25х2,5м - 1шт  </t>
  </si>
  <si>
    <t xml:space="preserve">Труба  56 х 2,0    -  3,84-3,94м(17,8кг)     </t>
  </si>
  <si>
    <t>Труба  48 х 2,5  -  0,97-1м</t>
  </si>
  <si>
    <t xml:space="preserve">Труба  57 х 4,0  -  3,54м(18,4кг) - 1шт </t>
  </si>
  <si>
    <r>
      <t xml:space="preserve">Лента  0,4х190 мм  -   рулоны     матовая           мягкая                            </t>
    </r>
    <r>
      <rPr>
        <b/>
        <sz val="10"/>
        <rFont val="Arial"/>
        <family val="2"/>
        <charset val="204"/>
      </rPr>
      <t>склад 7</t>
    </r>
  </si>
  <si>
    <t>Круг  40"-" мм  -  1,72-1,77м    клейма</t>
  </si>
  <si>
    <t>Круг  45 мм  -  1,52-1,73м    клейма</t>
  </si>
  <si>
    <r>
      <t xml:space="preserve">Труба  114 х 8,5-9 -  5,31; 5,38; 5,49м по 1шт            </t>
    </r>
    <r>
      <rPr>
        <b/>
        <sz val="10"/>
        <rFont val="Arial"/>
        <family val="2"/>
        <charset val="204"/>
      </rPr>
      <t xml:space="preserve"> склад 6     </t>
    </r>
    <r>
      <rPr>
        <b/>
        <sz val="8.3000000000000007"/>
        <rFont val="Arial"/>
        <family val="2"/>
        <charset val="204"/>
      </rPr>
      <t xml:space="preserve">              </t>
    </r>
  </si>
  <si>
    <r>
      <t xml:space="preserve">Труба  114 х 13-17 -  0,71м(26,4кг) - 1шт        </t>
    </r>
    <r>
      <rPr>
        <b/>
        <sz val="10"/>
        <rFont val="Arial"/>
        <family val="2"/>
        <charset val="204"/>
      </rPr>
      <t xml:space="preserve"> </t>
    </r>
  </si>
  <si>
    <t>Круг  60 мм  - 1,25м(15,7кг); 0,95м(12,4кг); 0,45м(6кг); 0,41м(5,3кг)  по 1шт</t>
  </si>
  <si>
    <r>
      <t xml:space="preserve">Труба  219 х 6-6,5  -  6,24м  - 1шт          </t>
    </r>
    <r>
      <rPr>
        <b/>
        <sz val="10"/>
        <rFont val="Arial"/>
        <family val="2"/>
        <charset val="204"/>
      </rPr>
      <t>склад 6</t>
    </r>
  </si>
  <si>
    <t>Труба  56 х 14  -  3,11м(46,6кг); 5,55м(82,5кг)  по 1шт</t>
  </si>
  <si>
    <t xml:space="preserve">Шестигранник №41мм - 0,6м(2,4кг) - 1шт </t>
  </si>
  <si>
    <t>Труба  57 х 4,5 -  1,37м(7,5кг) - 1шт</t>
  </si>
  <si>
    <t>Круг  70 мм  -  1,46м(43кг клеймо); 1,52м(44,8кг); 1,31м(38,8кг); 1,32м(38,8кг клеймо)  по 1шт</t>
  </si>
  <si>
    <t xml:space="preserve"> 40Х13</t>
  </si>
  <si>
    <r>
      <t xml:space="preserve">Труба  89 х 5,5-6 -  2,38; 2,63; 2,74; 2,93; 3,31; 3,39; 3,44; 3,6; 3,72; 3,89м по 1шт    </t>
    </r>
    <r>
      <rPr>
        <b/>
        <sz val="10"/>
        <rFont val="Arial"/>
        <family val="2"/>
        <charset val="204"/>
      </rPr>
      <t xml:space="preserve"> склад 6</t>
    </r>
  </si>
  <si>
    <t xml:space="preserve">Лист бронзовый 19мм - 120х290мм(61,3кг) - 10шт   </t>
  </si>
  <si>
    <t xml:space="preserve">Круг  10 мм - 2,6-2,9м(64,3кг) </t>
  </si>
  <si>
    <r>
      <t xml:space="preserve">Труба  38 х 3,5 -  1,52; 1,54; 1,8; 1,9м по 1шт                </t>
    </r>
    <r>
      <rPr>
        <b/>
        <sz val="10"/>
        <rFont val="Arial"/>
        <family val="2"/>
        <charset val="204"/>
      </rPr>
      <t xml:space="preserve"> ЭИ-435</t>
    </r>
  </si>
  <si>
    <r>
      <t xml:space="preserve">Труба  32 х 2,7 -  1,29+1,49м=5,6кг             </t>
    </r>
    <r>
      <rPr>
        <b/>
        <sz val="10"/>
        <rFont val="Arial"/>
        <family val="2"/>
        <charset val="204"/>
      </rPr>
      <t>ЭИ-435</t>
    </r>
  </si>
  <si>
    <r>
      <t xml:space="preserve">Лист  10 мм -  0,63х1м(50,8кг); 0,63х0,95м(48,7кг)  по 1шт    </t>
    </r>
    <r>
      <rPr>
        <b/>
        <sz val="10"/>
        <rFont val="Arial"/>
        <family val="2"/>
        <charset val="204"/>
      </rPr>
      <t>ЭИ-435</t>
    </r>
  </si>
  <si>
    <r>
      <t xml:space="preserve">Квадрат  50х80мм -  0,22м(7,6кг) - 1шт                        </t>
    </r>
    <r>
      <rPr>
        <b/>
        <sz val="10"/>
        <rFont val="Arial"/>
        <family val="2"/>
        <charset val="204"/>
      </rPr>
      <t xml:space="preserve">ЭИ-435 </t>
    </r>
    <r>
      <rPr>
        <b/>
        <sz val="8.3000000000000007"/>
        <rFont val="Arial"/>
        <family val="2"/>
        <charset val="204"/>
      </rPr>
      <t xml:space="preserve">         </t>
    </r>
    <r>
      <rPr>
        <b/>
        <sz val="10"/>
        <rFont val="Arial"/>
        <family val="2"/>
        <charset val="204"/>
      </rPr>
      <t xml:space="preserve">      </t>
    </r>
  </si>
  <si>
    <r>
      <t xml:space="preserve">Круг  32 мм  - 0,74м(5,5кг) -  1шт               </t>
    </r>
    <r>
      <rPr>
        <b/>
        <sz val="10"/>
        <rFont val="Arial"/>
        <family val="2"/>
        <charset val="204"/>
      </rPr>
      <t>ЭИ-435</t>
    </r>
  </si>
  <si>
    <r>
      <t xml:space="preserve">Круг  50 мм  - 0,79м(13,6кг клеймо) -  1шт         </t>
    </r>
    <r>
      <rPr>
        <b/>
        <sz val="10"/>
        <rFont val="Arial"/>
        <family val="2"/>
        <charset val="204"/>
      </rPr>
      <t>ЭИ-435</t>
    </r>
  </si>
  <si>
    <r>
      <t xml:space="preserve">Шестигранник №27 - 1,67м(8,2кг); 1,2м(5,9кг); 0,98+0,99м=9,8кг; 0,63м(3,8кг); 0,21м(1,1кг); 0,14м(0,7кг); 0,28+0,32м=2,9кг по 1шт </t>
    </r>
    <r>
      <rPr>
        <b/>
        <sz val="10"/>
        <rFont val="Arial"/>
        <family val="2"/>
        <charset val="204"/>
      </rPr>
      <t>ЭП-33вд</t>
    </r>
  </si>
  <si>
    <t xml:space="preserve">Круг  105-108 мм  - 0,65м(45,8кг вал с 1 края ф105мм, с другого - ф108мм) - 1шт      </t>
  </si>
  <si>
    <r>
      <t xml:space="preserve">Труба  219 х 10,0  -  2,04м(109,2кг) -  1шт      </t>
    </r>
    <r>
      <rPr>
        <b/>
        <sz val="10"/>
        <rFont val="Arial"/>
        <family val="2"/>
        <charset val="204"/>
      </rPr>
      <t xml:space="preserve"> склад 6</t>
    </r>
  </si>
  <si>
    <t xml:space="preserve">Труба  168 х 10-10,5  -   2,06м(83,3кг) -  1шт  </t>
  </si>
  <si>
    <t>Круг  180 мм -  0,78м(55кг клеймо); 0,43м(30,2кг клеймо) по 1шт</t>
  </si>
  <si>
    <r>
      <t xml:space="preserve">Круг  100 мм  - 1,15м(70кг); 1,22м(74кг н\о клеймо) - 1шт  </t>
    </r>
    <r>
      <rPr>
        <b/>
        <sz val="10"/>
        <rFont val="Arial"/>
        <family val="2"/>
        <charset val="204"/>
      </rPr>
      <t>ЭИ-268   склад 2</t>
    </r>
  </si>
  <si>
    <t xml:space="preserve">Лист 0,4-45мм -  0,59х1,65м(1,8кг маркир) - 1шт </t>
  </si>
  <si>
    <t xml:space="preserve">Лист 2,0мм -  0,58х1,35м(7кг маркир) - 1шт </t>
  </si>
  <si>
    <r>
      <t xml:space="preserve">Круг  14-15 мм    - 1,63; 2,79; 2,79м по 1шт    </t>
    </r>
    <r>
      <rPr>
        <b/>
        <sz val="10"/>
        <rFont val="Arial"/>
        <family val="2"/>
        <charset val="204"/>
      </rPr>
      <t xml:space="preserve">                  ЭП-693</t>
    </r>
  </si>
  <si>
    <t xml:space="preserve">Труба  114 х 6-7  - 2,1м(34,3кг) - 1шт  </t>
  </si>
  <si>
    <t>Проволока  9 мм  -  17,2кг  - 1 бухта</t>
  </si>
  <si>
    <t>Круг  245 мм -  0,62м(86кг) - 1шт</t>
  </si>
  <si>
    <t>Круг  10 мм  -  5,9-6,1м(167,5кг)</t>
  </si>
  <si>
    <t>Круг  50 мм  -  1,45м - 1шт    клеймо</t>
  </si>
  <si>
    <r>
      <t xml:space="preserve">Проволока  1,2 мм  -  катушки по 15кг - 13шт бирки                       </t>
    </r>
    <r>
      <rPr>
        <b/>
        <sz val="10"/>
        <rFont val="Arial"/>
        <family val="2"/>
        <charset val="204"/>
      </rPr>
      <t xml:space="preserve"> ER-307   </t>
    </r>
  </si>
  <si>
    <t>Шина медная - 6х80мм - 4м(17,6кг) - 1шт   мягкая</t>
  </si>
  <si>
    <t>Круг  225 мм  -  0,4м(46кг клеймо) - 1шт</t>
  </si>
  <si>
    <t>Проволока   0,63мм  -  2,6; 2,5кг по  1-й  бухте</t>
  </si>
  <si>
    <t>Труба  19 х 1,0  -  1,2м(1,2кг) - 2шт</t>
  </si>
  <si>
    <t>Ферросилиций 85% -  мелкий</t>
  </si>
  <si>
    <t>силиций 98-99%</t>
  </si>
  <si>
    <t xml:space="preserve">Труба  245 х 9-11  -  1,62(1,78)м(56,7кг) -  1шт   </t>
  </si>
  <si>
    <t>Круг  56 мм -   0,9м(17,6кг); (0,42м(8,4кг); 0,4м;  0,74м ; 0,46м(9,1кг)   найти!!!!!!!!!!!!!!!!!!)</t>
  </si>
  <si>
    <t xml:space="preserve">Круг  177 мм -  0,12м(23,3кг) - 1шт  </t>
  </si>
  <si>
    <t xml:space="preserve">Труба  63 х 16,0   -  1,04м(19,3кг) - 1шт            </t>
  </si>
  <si>
    <t>Круг  20 мм  - 0,97м - 1шт</t>
  </si>
  <si>
    <t>Лента - 0,1х70мм -   (3 рулона  по 1,1кг)   очень   твердая</t>
  </si>
  <si>
    <r>
      <t xml:space="preserve">Шестигранник №19 -   0,2-0,38м               </t>
    </r>
    <r>
      <rPr>
        <b/>
        <sz val="10"/>
        <rFont val="Arial"/>
        <family val="2"/>
        <charset val="204"/>
      </rPr>
      <t xml:space="preserve"> ЭП-33вд</t>
    </r>
  </si>
  <si>
    <t xml:space="preserve">Круг   180 мм  -  0,12м(27кг); 0,1м(23,7кг) по 1шт      </t>
  </si>
  <si>
    <r>
      <t xml:space="preserve">Круг  25мм  -                                                           1,86м(7кг найти!!!)            </t>
    </r>
    <r>
      <rPr>
        <b/>
        <sz val="10"/>
        <rFont val="Arial"/>
        <family val="2"/>
        <charset val="204"/>
      </rPr>
      <t>ЭИ-268</t>
    </r>
  </si>
  <si>
    <t>Труба  21 х 2,7   -   2,99м(3,8кг) - 1шт</t>
  </si>
  <si>
    <t>Круг   16 мм - 3,06м(15,5кг) - 3шт</t>
  </si>
  <si>
    <t>Круг  60 мм - 0,12м(3,1кг) - 1шт</t>
  </si>
  <si>
    <t>НБ5ВМц</t>
  </si>
  <si>
    <t>Круг ф70мм -  0,5м(17,2кг) - 1шт                                  ниобий</t>
  </si>
  <si>
    <r>
      <t xml:space="preserve">Лист  15 мм - 1,35х0,8м(130кг) - 1шт     </t>
    </r>
    <r>
      <rPr>
        <b/>
        <sz val="10"/>
        <rFont val="Arial"/>
        <family val="2"/>
        <charset val="204"/>
      </rPr>
      <t xml:space="preserve">309-я марка </t>
    </r>
    <r>
      <rPr>
        <b/>
        <sz val="8.5"/>
        <rFont val="Arial"/>
        <family val="2"/>
        <charset val="204"/>
      </rPr>
      <t xml:space="preserve">         </t>
    </r>
    <r>
      <rPr>
        <b/>
        <sz val="10"/>
        <rFont val="Arial"/>
        <family val="2"/>
        <charset val="204"/>
      </rPr>
      <t>склад 6</t>
    </r>
  </si>
  <si>
    <t xml:space="preserve">Труба  73 х 3,0 - 1,89м(8,9кг) - 1шт  </t>
  </si>
  <si>
    <t>Лист  2,0 мм  -   1,25х1,75м(34кг шлиф в пленке) - 1шт</t>
  </si>
  <si>
    <t xml:space="preserve">Круг   84 мм -  0,53м(22,4кг); 0,56м(23,7кг) по 1шт  </t>
  </si>
  <si>
    <t>А-85</t>
  </si>
  <si>
    <t>Анод никель 10мм - 0,24х0,62м(13,2кг сварен с 2-х частей) по 1шт</t>
  </si>
  <si>
    <r>
      <t xml:space="preserve">Круг  75 мм  -   0,84м(32кг) - 1шт   </t>
    </r>
    <r>
      <rPr>
        <b/>
        <sz val="10"/>
        <rFont val="Arial"/>
        <family val="2"/>
        <charset val="204"/>
      </rPr>
      <t xml:space="preserve">                 ЭИ-69</t>
    </r>
  </si>
  <si>
    <t>Лист 8мм -  0,8х1,5м(43,7кг) - 1шт</t>
  </si>
  <si>
    <t>Проволока   2 мм  -   бухта 12,4кг - 1шт</t>
  </si>
  <si>
    <r>
      <t xml:space="preserve">Проволока  1,0 мм  -  катушка  10кг - 1шт железная катушка          </t>
    </r>
    <r>
      <rPr>
        <b/>
        <sz val="10"/>
        <rFont val="Arial"/>
        <family val="2"/>
        <charset val="204"/>
      </rPr>
      <t>308-L</t>
    </r>
    <r>
      <rPr>
        <b/>
        <sz val="8.3000000000000007"/>
        <rFont val="Arial"/>
        <family val="2"/>
        <charset val="204"/>
      </rPr>
      <t xml:space="preserve">                       </t>
    </r>
  </si>
  <si>
    <t xml:space="preserve">Труба  42 х 4,0   -  1,7м(6,6кг)  - 1шт       </t>
  </si>
  <si>
    <r>
      <t xml:space="preserve">Труба  171 х 21  -  3,72м  - 1шт          </t>
    </r>
    <r>
      <rPr>
        <b/>
        <sz val="10"/>
        <rFont val="Arial"/>
        <family val="2"/>
        <charset val="204"/>
      </rPr>
      <t>склад 6</t>
    </r>
  </si>
  <si>
    <r>
      <t xml:space="preserve">Проволока  1,6 мм  -  катушки по 15кг - 7шт бирки, коробки     </t>
    </r>
    <r>
      <rPr>
        <b/>
        <sz val="10"/>
        <rFont val="Arial"/>
        <family val="2"/>
        <charset val="204"/>
      </rPr>
      <t xml:space="preserve"> ER-307 </t>
    </r>
  </si>
  <si>
    <t xml:space="preserve">Полоса        0,4х40мм    бухта 12,8кг - 1шт   </t>
  </si>
  <si>
    <t>Проволока  4,01 мм   - 36,5; 12,9кг; 42кг; 37,6; 34,6кг бирка  по 1-й бухт   н\о   пружинная    ВО</t>
  </si>
  <si>
    <t>Труба  33,5 х 2,5  - 2,54; 6,67м по 1шт</t>
  </si>
  <si>
    <t>Труба  15 х 2,5   -   3,66м(3кг) - 1шт           Искать!!!!</t>
  </si>
  <si>
    <t>Круг  12 мм -  2,52м(2,3кг) - 1шт</t>
  </si>
  <si>
    <t xml:space="preserve">Круг  15 мм -  0,97м(3,2кг) - 4шт </t>
  </si>
  <si>
    <t xml:space="preserve">Труба  14 х 2,0  -  1,72-1,94м </t>
  </si>
  <si>
    <r>
      <t xml:space="preserve">Труба  133 х 5,0   -  5,33м - 1шт                    </t>
    </r>
    <r>
      <rPr>
        <b/>
        <sz val="10"/>
        <rFont val="Arial"/>
        <family val="2"/>
        <charset val="204"/>
      </rPr>
      <t>склад 6</t>
    </r>
  </si>
  <si>
    <t>Никель лента - 0,05х100мм -  1 бухта 19,5кг  мягкая</t>
  </si>
  <si>
    <t>Проволока   0,9мм  -   5,1кг  - 1  бухта</t>
  </si>
  <si>
    <t>Проволока   ф 3,5 мм -  23; 24,7кг по 1-й бухте    бирки</t>
  </si>
  <si>
    <t>Проволока   ф 3,5 мм -  37,2; 21,6; 31,5; 40,2; 28,8; 28,2; 32кг по 1-й бухте   бирки</t>
  </si>
  <si>
    <t>ВТ1-00</t>
  </si>
  <si>
    <t>Проволока   ф 4,0 мм -  30; 11кг по 1-й бухте,  бирки</t>
  </si>
  <si>
    <t>Д19п</t>
  </si>
  <si>
    <r>
      <t xml:space="preserve">Труба 12,7х0,81 - 11,5; 4,9; 7,8кг; 11,8; 10кг; 1,6кг - по 1-й бухте     </t>
    </r>
    <r>
      <rPr>
        <b/>
        <sz val="12"/>
        <rFont val="Arial"/>
        <family val="2"/>
        <charset val="204"/>
      </rPr>
      <t>1\2</t>
    </r>
  </si>
  <si>
    <t>Круг  12 мм  - 1,38+1,68м=0,9кг</t>
  </si>
  <si>
    <r>
      <t xml:space="preserve">Лента - 0,35х210мм - 2,4кг - 1 рулон       твердая  </t>
    </r>
    <r>
      <rPr>
        <b/>
        <sz val="10"/>
        <rFont val="Arial"/>
        <family val="2"/>
        <charset val="204"/>
      </rPr>
      <t xml:space="preserve"> </t>
    </r>
  </si>
  <si>
    <t>Проволока  2,5 мм - 55кг - 1 бухта    константант</t>
  </si>
  <si>
    <t>Труба  108 х 6-7  -  3,87м(59,4кг) - 1шт</t>
  </si>
  <si>
    <t xml:space="preserve">Круг   25 мм  -  0,22м(0,9кг) - 1шт  </t>
  </si>
  <si>
    <t>Круг  40 мм  -  0,61+1,4м=20,1кг</t>
  </si>
  <si>
    <t>Круг  16 мм -   1,49м(1,4кг) - 1шт</t>
  </si>
  <si>
    <t>Труба  60 х 2,5  -     1,13м - 2шт</t>
  </si>
  <si>
    <t>Труба  51 х 2,5  -  2,44; 2,5; 2,7м по 1шт</t>
  </si>
  <si>
    <t xml:space="preserve">Труба  114 х 3,5  -  4,2м(41кг) - 1шт         </t>
  </si>
  <si>
    <t xml:space="preserve">Круг   62 мм -  0,18м(4,7кг найти!!!!) - 1шт </t>
  </si>
  <si>
    <t xml:space="preserve">Труба  76 х 3,5 - 3,2-3,4м(79,3кг) - 4шт </t>
  </si>
  <si>
    <t>Труба  89 х 5,5  -  2,38м(27кг клеймо)  -  1шт</t>
  </si>
  <si>
    <t>Проволока ф3мм    бухты  11; 3,5; 4,9кг по 1шт</t>
  </si>
  <si>
    <t>Круг   100 мм - 0,12м(8,2кг) - 1шт</t>
  </si>
  <si>
    <t xml:space="preserve">Труба  51 х 8-9  -  0,82-1,21м </t>
  </si>
  <si>
    <t>Труба  45 х 8,5-9  - 1,17-1,18м</t>
  </si>
  <si>
    <t>Труба  40,5 х 8,0 -   1,17-1,18м</t>
  </si>
  <si>
    <t xml:space="preserve">Круг  120 мм  -  0,1м(8,7; 8,6кг клеймо) по 1шт      </t>
  </si>
  <si>
    <t xml:space="preserve">12Х18Н12Т  </t>
  </si>
  <si>
    <t xml:space="preserve">Круг  165 мм - 80мм(13,7кг); 80мм(14кг н\о); 95мм(17кг) по 1шт  </t>
  </si>
  <si>
    <t xml:space="preserve">Круг  310 мм  -  80мм(49,3кг); 125мм(75,9кг) по 1шт    </t>
  </si>
  <si>
    <t>Проволока   0,65мм  - 2,6кг - 1 бухта</t>
  </si>
  <si>
    <t xml:space="preserve">Круг  20 мм  -  1,67-3м(есть клейма, основная масса около 3м) </t>
  </si>
  <si>
    <r>
      <t xml:space="preserve">Лист  10 мм  -  0,52х0,69м(31,5кг*) - 1шт                     </t>
    </r>
    <r>
      <rPr>
        <b/>
        <sz val="10"/>
        <rFont val="Arial"/>
        <family val="2"/>
        <charset val="204"/>
      </rPr>
      <t xml:space="preserve">ЭП-567 </t>
    </r>
    <r>
      <rPr>
        <b/>
        <sz val="8.3000000000000007"/>
        <rFont val="Arial"/>
        <family val="2"/>
        <charset val="204"/>
      </rPr>
      <t xml:space="preserve"> </t>
    </r>
  </si>
  <si>
    <t xml:space="preserve">Лист  3,0 мм -   1х2м(46+45,7кг) по 1шт   </t>
  </si>
  <si>
    <r>
      <t xml:space="preserve">Проволока  1,0 мм  -   19кг - 1  бухта  бирка         </t>
    </r>
    <r>
      <rPr>
        <b/>
        <sz val="10"/>
        <rFont val="Arial"/>
        <family val="2"/>
        <charset val="204"/>
      </rPr>
      <t>ЭИ-868</t>
    </r>
  </si>
  <si>
    <t>Круг  26 мм -  1,18м(5кг) - 1шт</t>
  </si>
  <si>
    <t xml:space="preserve">Втулка ф164мм стенка 42мм - 0,31м(46,2кг) - 1шт   </t>
  </si>
  <si>
    <r>
      <t xml:space="preserve">Труба  76 х 4,0   -  2,59м(19,2кг); 2,42м(17,7кг) по 1шт        </t>
    </r>
    <r>
      <rPr>
        <b/>
        <sz val="10"/>
        <rFont val="Arial"/>
        <family val="2"/>
        <charset val="204"/>
      </rPr>
      <t xml:space="preserve">316-Ti </t>
    </r>
  </si>
  <si>
    <t>Труба  31 х 1,5   -  1,75м - 2шт</t>
  </si>
  <si>
    <r>
      <rPr>
        <b/>
        <sz val="8"/>
        <rFont val="Arial"/>
        <family val="2"/>
        <charset val="204"/>
      </rPr>
      <t xml:space="preserve">Шестигранник №10 -   0,78-1,27м       </t>
    </r>
    <r>
      <rPr>
        <b/>
        <sz val="10"/>
        <rFont val="Arial"/>
        <family val="2"/>
        <charset val="204"/>
      </rPr>
      <t>ЭП-33вд</t>
    </r>
  </si>
  <si>
    <t>Труба  65х10,5  - 1,25м(18кг) - 1шт</t>
  </si>
  <si>
    <t>БРАМЦ 9-2</t>
  </si>
  <si>
    <t>Лист бронзовый 3,0мм - 300х1070-1380мм      маркированы</t>
  </si>
  <si>
    <t>Чушка алюминий   -  бел, бел, зел полоски</t>
  </si>
  <si>
    <t xml:space="preserve">Труба  48 х 3,5   -  1,19м(4,4кг) -1шт </t>
  </si>
  <si>
    <t>Лист 0,6мм -  0,6х2м   маркированы</t>
  </si>
  <si>
    <t xml:space="preserve">Лист 6 мм  -  0,8х2м(43,1кг маркирован) - 1шт </t>
  </si>
  <si>
    <t>Круг  75 мм  -  0,75м(9,2кг) - 1шт</t>
  </si>
  <si>
    <t xml:space="preserve">АК-4 </t>
  </si>
  <si>
    <t>Проволока   ф 1,8мм  - 23кг - 1  бухта</t>
  </si>
  <si>
    <r>
      <t xml:space="preserve">Втулка ф200мм стенка 60мм - 0,35м(70,8кг) - 1шт    </t>
    </r>
    <r>
      <rPr>
        <b/>
        <sz val="12"/>
        <rFont val="Arial"/>
        <family val="2"/>
        <charset val="204"/>
      </rPr>
      <t xml:space="preserve"> </t>
    </r>
  </si>
  <si>
    <t xml:space="preserve">Труба  121 х 6,5-7   -  1,42м(26кг) - 1шт       </t>
  </si>
  <si>
    <t>Круг  19 мм -  0,33м(0,5кг) - 1шт</t>
  </si>
  <si>
    <t>Круг  18 мм  -                                                                  0,75м(1,5кг) - 1шт найти!!!!</t>
  </si>
  <si>
    <t xml:space="preserve">Круг  18 мм -   0,58-0,75м(24,2кг)  </t>
  </si>
  <si>
    <t>АМГ-4,5</t>
  </si>
  <si>
    <r>
      <t xml:space="preserve">Лист  8 мм  -  1,37х1,17м(106кг) - 1шт            </t>
    </r>
    <r>
      <rPr>
        <b/>
        <sz val="10"/>
        <rFont val="Arial"/>
        <family val="2"/>
        <charset val="204"/>
      </rPr>
      <t xml:space="preserve"> </t>
    </r>
  </si>
  <si>
    <t>Круг  16 мм -   0,47м(0,4кг) - 1шт</t>
  </si>
  <si>
    <r>
      <t xml:space="preserve">Круг  32 мм - 3,04м(18,8кг) - 1шт      </t>
    </r>
    <r>
      <rPr>
        <b/>
        <sz val="10"/>
        <rFont val="Arial"/>
        <family val="2"/>
        <charset val="204"/>
      </rPr>
      <t>ЭИ-268</t>
    </r>
  </si>
  <si>
    <r>
      <t xml:space="preserve">Круг  29 мм   -  0,88+0,87м=9,1кг клеймо;  0,56м(2,9кг) по 1шт                     </t>
    </r>
    <r>
      <rPr>
        <b/>
        <sz val="10"/>
        <rFont val="Arial"/>
        <family val="2"/>
        <charset val="204"/>
      </rPr>
      <t>ЭИ-652</t>
    </r>
  </si>
  <si>
    <t>Проволока  2,21 мм   -  10,3; 49,8кг по 1-й бухте   н\о   пружинная    ВО</t>
  </si>
  <si>
    <t xml:space="preserve">Лист 20мм - 0,33х0,78м(25,3кг) - 1шт </t>
  </si>
  <si>
    <r>
      <t xml:space="preserve">Круг  180 мм  -  1м(206кг клеймо) - 1шт            </t>
    </r>
    <r>
      <rPr>
        <b/>
        <sz val="10"/>
        <rFont val="Arial"/>
        <family val="2"/>
        <charset val="204"/>
      </rPr>
      <t xml:space="preserve"> 316Тi     склад 6</t>
    </r>
  </si>
  <si>
    <r>
      <t xml:space="preserve">Круг  185 мм  -  0,61м(135кг) - 1шт                          </t>
    </r>
    <r>
      <rPr>
        <b/>
        <sz val="10"/>
        <rFont val="Arial"/>
        <family val="2"/>
        <charset val="204"/>
      </rPr>
      <t xml:space="preserve"> 316Тi    склад 6</t>
    </r>
  </si>
  <si>
    <r>
      <t xml:space="preserve">Круг  215 мм  -  1,27м(367кг) - 1шт            </t>
    </r>
    <r>
      <rPr>
        <b/>
        <sz val="10"/>
        <rFont val="Arial"/>
        <family val="2"/>
        <charset val="204"/>
      </rPr>
      <t xml:space="preserve"> 347-я      склад 6</t>
    </r>
  </si>
  <si>
    <r>
      <t xml:space="preserve">Круг  300 мм  -  0,61м(345кг) - 1шт            </t>
    </r>
    <r>
      <rPr>
        <b/>
        <sz val="10"/>
        <rFont val="Arial"/>
        <family val="2"/>
        <charset val="204"/>
      </rPr>
      <t xml:space="preserve"> 317-я     склад 6</t>
    </r>
  </si>
  <si>
    <t xml:space="preserve">08Х19Н13М3 </t>
  </si>
  <si>
    <t xml:space="preserve">08Х23Н13 </t>
  </si>
  <si>
    <r>
      <t xml:space="preserve">Круг  325 мм  -  0,84м(560кг) - 1шт            </t>
    </r>
    <r>
      <rPr>
        <b/>
        <sz val="10"/>
        <rFont val="Arial"/>
        <family val="2"/>
        <charset val="204"/>
      </rPr>
      <t xml:space="preserve"> 309-S    склад 6</t>
    </r>
  </si>
  <si>
    <r>
      <t xml:space="preserve">Проволока  1,2 мм  -  15,6; 4,2кг по 1-й   бухте                   </t>
    </r>
    <r>
      <rPr>
        <b/>
        <sz val="10"/>
        <rFont val="Arial"/>
        <family val="2"/>
        <charset val="204"/>
      </rPr>
      <t>309-S</t>
    </r>
  </si>
  <si>
    <t>08Х23Н13</t>
  </si>
  <si>
    <t>Круг   150 мм  - 0,4м(54,6кг) - 1шт</t>
  </si>
  <si>
    <t>Круг  47 мм  -  0,65м(9кг) - 1шт</t>
  </si>
  <si>
    <t xml:space="preserve">Круг   58 мм - 0,26м(6,3кг) - 1шт    </t>
  </si>
  <si>
    <t xml:space="preserve">Круг  130 мм  -   0,2м(21кг) - 1шт               </t>
  </si>
  <si>
    <t>Лента бронзовая - 0,3х200мм  -  1 бухта  1,4кг   твердая</t>
  </si>
  <si>
    <t>Круг  24 мм  -  4,4м(30,7кг) - 2шт; 1,84+1,96м=13,1кг</t>
  </si>
  <si>
    <t xml:space="preserve">Круг  350 мм  -  60мм(48,6кг) - 1шт                           </t>
  </si>
  <si>
    <t>Лист  80 мм   -  0,16х0,25м(26,5кг); 0,15х0,34м(32,8кг) по 1шт</t>
  </si>
  <si>
    <t>Лист  83-94 мм   -  0,2х0,22м(31,5кг) - 1шт   резан равномерно на конус, указаны крайние толщины</t>
  </si>
  <si>
    <t>Лист  80-90 мм   -  0,18х0,22м(27,2кг) - 1шт   резан равномерно на конус, указаны крайние толщины</t>
  </si>
  <si>
    <t>Круг  46 мм  -   0,5м(13,4кг) - 2шт                                0,49-0,51м(13,3кг) - 2шт   найти!!!!!!</t>
  </si>
  <si>
    <t>Круг  22 мм  - 0,8м(2,7кг) - 1шт</t>
  </si>
  <si>
    <r>
      <t xml:space="preserve">Шестигранник №32  - 0,62м(4,4кг) - 1шт             </t>
    </r>
    <r>
      <rPr>
        <b/>
        <sz val="10"/>
        <rFont val="Arial"/>
        <family val="2"/>
        <charset val="204"/>
      </rPr>
      <t>ЭИ-69</t>
    </r>
  </si>
  <si>
    <t>Круг  25 мм -  1,84м(7,4кг н\о) - 1шт</t>
  </si>
  <si>
    <r>
      <t xml:space="preserve">Труба  60 х 3,0 -   1,19-1,23м                </t>
    </r>
    <r>
      <rPr>
        <b/>
        <sz val="10"/>
        <rFont val="Arial"/>
        <family val="2"/>
        <charset val="204"/>
      </rPr>
      <t>316-Ti</t>
    </r>
  </si>
  <si>
    <r>
      <t xml:space="preserve">Труба  35 х 2,5  -  1,04-1,1м                </t>
    </r>
    <r>
      <rPr>
        <b/>
        <sz val="10"/>
        <rFont val="Arial"/>
        <family val="2"/>
        <charset val="204"/>
      </rPr>
      <t>316-Ti</t>
    </r>
  </si>
  <si>
    <r>
      <t xml:space="preserve">Труба  10 х 1,0   -  2,4-2,6м            </t>
    </r>
    <r>
      <rPr>
        <b/>
        <sz val="10"/>
        <rFont val="Arial"/>
        <family val="2"/>
        <charset val="204"/>
      </rPr>
      <t xml:space="preserve"> 316-Ti</t>
    </r>
  </si>
  <si>
    <r>
      <t xml:space="preserve">Труба  10 х 1,5   -  0,95-0,98м          </t>
    </r>
    <r>
      <rPr>
        <b/>
        <sz val="10"/>
        <rFont val="Arial"/>
        <family val="2"/>
        <charset val="204"/>
      </rPr>
      <t xml:space="preserve"> 316-Ti</t>
    </r>
  </si>
  <si>
    <r>
      <t xml:space="preserve">Труба  15 х 1,0 - 3,3м - 1шт             </t>
    </r>
    <r>
      <rPr>
        <b/>
        <sz val="10"/>
        <rFont val="Arial"/>
        <family val="2"/>
        <charset val="204"/>
      </rPr>
      <t>316-Ti</t>
    </r>
  </si>
  <si>
    <r>
      <t xml:space="preserve">Труба  18 х 1,0 - 5,86+6,55м=5,4кг; 2,8-3,8м(35,3кг); 2,89-3,4м(10,6кг)        </t>
    </r>
    <r>
      <rPr>
        <b/>
        <sz val="10"/>
        <rFont val="Arial"/>
        <family val="2"/>
        <charset val="204"/>
      </rPr>
      <t xml:space="preserve"> 316-Ti</t>
    </r>
  </si>
  <si>
    <r>
      <t xml:space="preserve">Труба  21 х 1,5  - 3,29м(2,5кг); 3,1м(2,5кг) по 1шт            </t>
    </r>
    <r>
      <rPr>
        <b/>
        <sz val="10"/>
        <rFont val="Arial"/>
        <family val="2"/>
        <charset val="204"/>
      </rPr>
      <t>316-Ti</t>
    </r>
  </si>
  <si>
    <r>
      <t xml:space="preserve">Труба  21 х 2,0 -  2,5-3,7м        </t>
    </r>
    <r>
      <rPr>
        <b/>
        <sz val="10"/>
        <rFont val="Arial"/>
        <family val="2"/>
        <charset val="204"/>
      </rPr>
      <t>316-Ti</t>
    </r>
  </si>
  <si>
    <r>
      <t xml:space="preserve">Труба  21 х 2"+" -  2,4-3,25м(12,2кг)       </t>
    </r>
    <r>
      <rPr>
        <b/>
        <sz val="10"/>
        <rFont val="Arial"/>
        <family val="2"/>
        <charset val="204"/>
      </rPr>
      <t>316-Ti</t>
    </r>
  </si>
  <si>
    <r>
      <t xml:space="preserve">Труба  25 х 2,0   -  2,7-4,33м(5кг); 2,69м(2,9кг)                 </t>
    </r>
    <r>
      <rPr>
        <b/>
        <sz val="10"/>
        <rFont val="Arial"/>
        <family val="2"/>
        <charset val="204"/>
      </rPr>
      <t>316-Ti</t>
    </r>
  </si>
  <si>
    <r>
      <t xml:space="preserve">Труба  25 х 2,5 -  6,5-6,8м(38кг); 6,7-6,87м(19кг)            </t>
    </r>
    <r>
      <rPr>
        <b/>
        <sz val="10"/>
        <rFont val="Arial"/>
        <family val="2"/>
        <charset val="204"/>
      </rPr>
      <t xml:space="preserve"> 316-Ti</t>
    </r>
  </si>
  <si>
    <r>
      <t xml:space="preserve">Труба  27 х 1,5  -  2,86-3,23м(12,4кг)           </t>
    </r>
    <r>
      <rPr>
        <b/>
        <sz val="10"/>
        <rFont val="Arial"/>
        <family val="2"/>
        <charset val="204"/>
      </rPr>
      <t xml:space="preserve"> 316-Ti</t>
    </r>
  </si>
  <si>
    <r>
      <t xml:space="preserve">Труба  28 х 1,0  -   2,5-3,5м             </t>
    </r>
    <r>
      <rPr>
        <b/>
        <sz val="10"/>
        <rFont val="Arial"/>
        <family val="2"/>
        <charset val="204"/>
      </rPr>
      <t xml:space="preserve">  316-Ti</t>
    </r>
  </si>
  <si>
    <r>
      <t xml:space="preserve">Труба  28,5 х 1,3  -   2,45м(2,2кг) - 1шт              </t>
    </r>
    <r>
      <rPr>
        <b/>
        <sz val="10"/>
        <rFont val="Arial"/>
        <family val="2"/>
        <charset val="204"/>
      </rPr>
      <t xml:space="preserve"> 316-Ti</t>
    </r>
  </si>
  <si>
    <r>
      <t xml:space="preserve">Труба  32 х 1,7  - 5,14-5,4м             </t>
    </r>
    <r>
      <rPr>
        <b/>
        <sz val="10"/>
        <rFont val="Arial"/>
        <family val="2"/>
        <charset val="204"/>
      </rPr>
      <t xml:space="preserve">  316-Ti</t>
    </r>
  </si>
  <si>
    <r>
      <t xml:space="preserve">Труба  32 х 8,0  -  0,96-1,19м          </t>
    </r>
    <r>
      <rPr>
        <b/>
        <sz val="10"/>
        <rFont val="Arial"/>
        <family val="2"/>
        <charset val="204"/>
      </rPr>
      <t>316-Ti</t>
    </r>
  </si>
  <si>
    <r>
      <t xml:space="preserve">Труба  34"-" х 3,0  -  1,15-1,18м            </t>
    </r>
    <r>
      <rPr>
        <b/>
        <sz val="10"/>
        <rFont val="Arial"/>
        <family val="2"/>
        <charset val="204"/>
      </rPr>
      <t xml:space="preserve"> 316-Ti</t>
    </r>
  </si>
  <si>
    <t>Труба  57 х 3,5 - 1,68м(7,5кг); 1,48м(6,5кг); 1,7+1,71м=16,3кг  по 1шт</t>
  </si>
  <si>
    <t>Проволока  4,0  мм    -  20,6; 11,9; 11; 18,2; 21,8; 18кг; 2,7кг  по 1-й бухте</t>
  </si>
  <si>
    <t>Полоса        2,5х20мм   -  24,4; 29,4кг  по 1 бухте</t>
  </si>
  <si>
    <r>
      <t xml:space="preserve">Круг  12 мм  -  2,61м(2,9кг); 2,43м(2,7кг) по 1шт                   </t>
    </r>
    <r>
      <rPr>
        <b/>
        <sz val="10"/>
        <rFont val="Arial"/>
        <family val="2"/>
        <charset val="204"/>
      </rPr>
      <t>ЭП-567</t>
    </r>
  </si>
  <si>
    <t>П</t>
  </si>
  <si>
    <t>Проволока   ф 3,5 мм -  25; 36,2; 2,7кг по 1-й бухте,    бирки</t>
  </si>
  <si>
    <t xml:space="preserve">Лист  26 мм  -   0,28х0,34м(20,4кг) - 1шт; 0,28х0,34м(по 20,1кг) - 3шт  </t>
  </si>
  <si>
    <r>
      <t xml:space="preserve">Круг  50 мм  -  1,93м(29,5кг клеймо); 0,92м(14кг клеймо) по 1шт            </t>
    </r>
    <r>
      <rPr>
        <b/>
        <sz val="10"/>
        <rFont val="Arial"/>
        <family val="2"/>
        <charset val="204"/>
      </rPr>
      <t>ЭП-56ш</t>
    </r>
  </si>
  <si>
    <t>Круг  26 мм  - 1,1; 1,66; 1,82; 1,99м по 1шт сплав 273 (аналог ) мельхиор</t>
  </si>
  <si>
    <t>Круг   120 мм - 0,82м(78,5+78,4кг); 0,8м(80,4кг); 0,4м(40,5кг) по 1шт</t>
  </si>
  <si>
    <t xml:space="preserve">Труба  76 х 7,0  -  5,28м(62,2кг); 5,05м(59,7кг)   по 1шт </t>
  </si>
  <si>
    <r>
      <t xml:space="preserve">Круг  43 мм  -  0,6м(7,5кг клеймо н\о) - 1шт              </t>
    </r>
    <r>
      <rPr>
        <b/>
        <sz val="10"/>
        <rFont val="Arial"/>
        <family val="2"/>
        <charset val="204"/>
      </rPr>
      <t xml:space="preserve">    ЭП-33 </t>
    </r>
  </si>
  <si>
    <t>Шестигранник №17 -  1,3-2м</t>
  </si>
  <si>
    <t>АД-31</t>
  </si>
  <si>
    <t xml:space="preserve">Круг   40 мм - 0,28м(2,6кг) - 1шт </t>
  </si>
  <si>
    <t>Труба  25 х 4,0   -                                             (найти 5кг!!!)</t>
  </si>
  <si>
    <t xml:space="preserve">Круг  52(48) мм -  2,72м(46,2кг н\о) - 1шт </t>
  </si>
  <si>
    <t xml:space="preserve">Круг  36 мм  -   0,45+0,45м=7,3кг                </t>
  </si>
  <si>
    <r>
      <t xml:space="preserve">Лист  16 мм  -  1х1,3м(161кг) -  1шт       </t>
    </r>
    <r>
      <rPr>
        <b/>
        <sz val="10"/>
        <rFont val="Arial"/>
        <family val="2"/>
        <charset val="204"/>
      </rPr>
      <t>склад 6</t>
    </r>
  </si>
  <si>
    <t>Проволока   1,0мм  - 10,4; 11,3; 8,4кг по 1-й бухте</t>
  </si>
  <si>
    <r>
      <t xml:space="preserve">Труба  12,65 х 1,5-1,6  -   1,05-1,2м               </t>
    </r>
    <r>
      <rPr>
        <b/>
        <sz val="10"/>
        <rFont val="Arial"/>
        <family val="2"/>
        <charset val="204"/>
      </rPr>
      <t>316-L</t>
    </r>
  </si>
  <si>
    <r>
      <t xml:space="preserve">Труба  13,3 х "3-"  -   3,5-4,1м(от 1шт резали 1,5м)             </t>
    </r>
    <r>
      <rPr>
        <b/>
        <sz val="10"/>
        <rFont val="Arial"/>
        <family val="2"/>
        <charset val="204"/>
      </rPr>
      <t>316-L</t>
    </r>
  </si>
  <si>
    <r>
      <t xml:space="preserve">Труба  19 х 1"+"  -  2,54-3,2м(13,7кг)                </t>
    </r>
    <r>
      <rPr>
        <b/>
        <sz val="10"/>
        <rFont val="Arial"/>
        <family val="2"/>
        <charset val="204"/>
      </rPr>
      <t>316-L</t>
    </r>
  </si>
  <si>
    <r>
      <t xml:space="preserve">Труба  19 х 1,2  -  2,6м(1,2кг) - 1шт             </t>
    </r>
    <r>
      <rPr>
        <b/>
        <sz val="10"/>
        <rFont val="Arial"/>
        <family val="2"/>
        <charset val="204"/>
      </rPr>
      <t>316-L</t>
    </r>
  </si>
  <si>
    <r>
      <t xml:space="preserve">Труба  19 х 1,7  -  5,7+5,8+5,96м=12,8кг               </t>
    </r>
    <r>
      <rPr>
        <b/>
        <sz val="10"/>
        <rFont val="Arial"/>
        <family val="2"/>
        <charset val="204"/>
      </rPr>
      <t>316-L</t>
    </r>
  </si>
  <si>
    <r>
      <t xml:space="preserve">Труба  20 х 2,5 - 2,54+3,9+4,09м=11,5кг              </t>
    </r>
    <r>
      <rPr>
        <b/>
        <sz val="10"/>
        <rFont val="Arial"/>
        <family val="2"/>
        <charset val="204"/>
      </rPr>
      <t xml:space="preserve"> 316-L</t>
    </r>
  </si>
  <si>
    <r>
      <t xml:space="preserve">Труба  21,5 х 1,5 -    3,2-3,3м(12,4кг)             </t>
    </r>
    <r>
      <rPr>
        <b/>
        <sz val="10"/>
        <rFont val="Arial"/>
        <family val="2"/>
        <charset val="204"/>
      </rPr>
      <t>316-L</t>
    </r>
  </si>
  <si>
    <r>
      <t xml:space="preserve">Труба  25 х 2,0   - 1,4-3,4м(20,8кг); 1,14+1,16м=2,8кг             </t>
    </r>
    <r>
      <rPr>
        <b/>
        <sz val="10"/>
        <rFont val="Arial"/>
        <family val="2"/>
        <charset val="204"/>
      </rPr>
      <t>316-L</t>
    </r>
  </si>
  <si>
    <r>
      <t xml:space="preserve">Труба  28 х 2,0  -   5,23м(6,8кг); 2,9-3,45м(21,3кг)             </t>
    </r>
    <r>
      <rPr>
        <b/>
        <sz val="10"/>
        <rFont val="Arial"/>
        <family val="2"/>
        <charset val="204"/>
      </rPr>
      <t>316-L</t>
    </r>
  </si>
  <si>
    <r>
      <t xml:space="preserve">Труба  33 х 7,0  -  0,87-1,18м             </t>
    </r>
    <r>
      <rPr>
        <b/>
        <sz val="10"/>
        <rFont val="Arial"/>
        <family val="2"/>
        <charset val="204"/>
      </rPr>
      <t>316-L</t>
    </r>
  </si>
  <si>
    <r>
      <t xml:space="preserve">Труба  34"-" х 3,5  -  0,9-1,11м              </t>
    </r>
    <r>
      <rPr>
        <b/>
        <sz val="10"/>
        <rFont val="Arial"/>
        <family val="2"/>
        <charset val="204"/>
      </rPr>
      <t>316-L</t>
    </r>
  </si>
  <si>
    <r>
      <t xml:space="preserve">Труба  35 х 3,0  -  0,9-1,1м              </t>
    </r>
    <r>
      <rPr>
        <b/>
        <sz val="10"/>
        <rFont val="Arial"/>
        <family val="2"/>
        <charset val="204"/>
      </rPr>
      <t>316-L</t>
    </r>
  </si>
  <si>
    <r>
      <t xml:space="preserve">Труба  36 х 2,0  -   3,44м(5,9кг) - 1шт            </t>
    </r>
    <r>
      <rPr>
        <b/>
        <sz val="10"/>
        <rFont val="Arial"/>
        <family val="2"/>
        <charset val="204"/>
      </rPr>
      <t xml:space="preserve"> 316-L</t>
    </r>
  </si>
  <si>
    <r>
      <t xml:space="preserve">Труба  38 х 3,0  -   1,08м(2,9кг) - 1шт             </t>
    </r>
    <r>
      <rPr>
        <b/>
        <sz val="10"/>
        <rFont val="Arial"/>
        <family val="2"/>
        <charset val="204"/>
      </rPr>
      <t xml:space="preserve"> 316-L</t>
    </r>
  </si>
  <si>
    <r>
      <t xml:space="preserve">Труба  38 х 4,0  -   1,14м(3,8кг) - 1шт               </t>
    </r>
    <r>
      <rPr>
        <b/>
        <sz val="10"/>
        <rFont val="Arial"/>
        <family val="2"/>
        <charset val="204"/>
      </rPr>
      <t>316-L</t>
    </r>
  </si>
  <si>
    <r>
      <t xml:space="preserve">Труба  38 х 6,5   -  3,56; 4,22м  -  по 1шт                 </t>
    </r>
    <r>
      <rPr>
        <b/>
        <sz val="10"/>
        <rFont val="Arial"/>
        <family val="2"/>
        <charset val="204"/>
      </rPr>
      <t>316-L</t>
    </r>
  </si>
  <si>
    <r>
      <t xml:space="preserve">Труба  40 х 10  -  1,17-1,19м               </t>
    </r>
    <r>
      <rPr>
        <b/>
        <sz val="10"/>
        <rFont val="Arial"/>
        <family val="2"/>
        <charset val="204"/>
      </rPr>
      <t xml:space="preserve"> 316-L</t>
    </r>
  </si>
  <si>
    <r>
      <t xml:space="preserve">Труба  60 х 2,0  -  0,85-1,04м            </t>
    </r>
    <r>
      <rPr>
        <b/>
        <sz val="10"/>
        <rFont val="Arial"/>
        <family val="2"/>
        <charset val="204"/>
      </rPr>
      <t>316-L</t>
    </r>
  </si>
  <si>
    <r>
      <t xml:space="preserve">Труба  60 х 2,5-2,7 -  5,2+5,2+5м=61,5кг;  2,88-3,25м(283,5кг)            </t>
    </r>
    <r>
      <rPr>
        <b/>
        <sz val="10"/>
        <rFont val="Arial"/>
        <family val="2"/>
        <charset val="204"/>
      </rPr>
      <t xml:space="preserve"> 316-L</t>
    </r>
  </si>
  <si>
    <r>
      <t xml:space="preserve">Труба  60 х 2,7-3 -  2,46-3м(93кг); 2,85м(11,5кг)                 </t>
    </r>
    <r>
      <rPr>
        <b/>
        <sz val="10"/>
        <rFont val="Arial"/>
        <family val="2"/>
        <charset val="204"/>
      </rPr>
      <t>316-L</t>
    </r>
  </si>
  <si>
    <r>
      <t xml:space="preserve">Труба  60 х 3,5-3,7 -  1,97-1,99м(90,7кг)           </t>
    </r>
    <r>
      <rPr>
        <b/>
        <sz val="10"/>
        <rFont val="Arial"/>
        <family val="2"/>
        <charset val="204"/>
      </rPr>
      <t xml:space="preserve">  316-L</t>
    </r>
  </si>
  <si>
    <r>
      <t xml:space="preserve">Труба  60 х 4-6   -  4,88м(33,5кг) - 1шт                       </t>
    </r>
    <r>
      <rPr>
        <b/>
        <sz val="10"/>
        <rFont val="Arial"/>
        <family val="2"/>
        <charset val="204"/>
      </rPr>
      <t xml:space="preserve">    316-L   </t>
    </r>
    <r>
      <rPr>
        <b/>
        <sz val="8.3000000000000007"/>
        <rFont val="Arial"/>
        <family val="2"/>
        <charset val="204"/>
      </rPr>
      <t xml:space="preserve">             </t>
    </r>
    <r>
      <rPr>
        <b/>
        <sz val="10"/>
        <rFont val="Arial"/>
        <family val="2"/>
        <charset val="204"/>
      </rPr>
      <t xml:space="preserve">   </t>
    </r>
  </si>
  <si>
    <r>
      <t xml:space="preserve">Труба  60 х 6-6,5  -  3,96м(34кг) - 1шт            </t>
    </r>
    <r>
      <rPr>
        <b/>
        <sz val="10"/>
        <rFont val="Arial"/>
        <family val="2"/>
        <charset val="204"/>
      </rPr>
      <t>316-L</t>
    </r>
  </si>
  <si>
    <r>
      <t xml:space="preserve">Труба  60 х 6-6,3  -  3,96м(132,5кг) - 4шт                </t>
    </r>
    <r>
      <rPr>
        <b/>
        <sz val="10"/>
        <rFont val="Arial"/>
        <family val="2"/>
        <charset val="204"/>
      </rPr>
      <t xml:space="preserve"> 316-L</t>
    </r>
  </si>
  <si>
    <r>
      <t xml:space="preserve">Труба  73 х 11,0  - 1,84м(32,2кг) - 1шт          </t>
    </r>
    <r>
      <rPr>
        <b/>
        <sz val="10"/>
        <rFont val="Arial"/>
        <family val="2"/>
        <charset val="204"/>
      </rPr>
      <t xml:space="preserve">316-L </t>
    </r>
  </si>
  <si>
    <r>
      <t xml:space="preserve">Труба  114 х 15-16 -  2,04-2,06м(79,2; 76,5; 82,6; 76,5; 81; 80; 80; 82; 76,2; 77,3; 78,4; 76,9; 77,5; 80,9; 75,2; 79; 80,1 кг) по 1шт     </t>
    </r>
    <r>
      <rPr>
        <b/>
        <sz val="10"/>
        <rFont val="Arial"/>
        <family val="2"/>
        <charset val="204"/>
      </rPr>
      <t xml:space="preserve"> 316-L </t>
    </r>
    <r>
      <rPr>
        <b/>
        <sz val="8.3000000000000007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 xml:space="preserve">   склад 6</t>
    </r>
  </si>
  <si>
    <r>
      <t xml:space="preserve">Труба  142 х 4,0  -  1,46м(18,5кг) по  1шт           </t>
    </r>
    <r>
      <rPr>
        <b/>
        <sz val="10"/>
        <rFont val="Arial"/>
        <family val="2"/>
        <charset val="204"/>
      </rPr>
      <t xml:space="preserve">       316-L</t>
    </r>
  </si>
  <si>
    <r>
      <t xml:space="preserve">Труба  168 х 4,5  -  6,56+5,18+6,45м= 335кг     </t>
    </r>
    <r>
      <rPr>
        <b/>
        <sz val="10"/>
        <rFont val="Arial"/>
        <family val="2"/>
        <charset val="204"/>
      </rPr>
      <t>316-L</t>
    </r>
    <r>
      <rPr>
        <b/>
        <sz val="8.3000000000000007"/>
        <rFont val="Arial"/>
        <family val="2"/>
        <charset val="204"/>
      </rPr>
      <t xml:space="preserve">          </t>
    </r>
    <r>
      <rPr>
        <b/>
        <sz val="10"/>
        <rFont val="Arial"/>
        <family val="2"/>
        <charset val="204"/>
      </rPr>
      <t xml:space="preserve"> склад 6</t>
    </r>
  </si>
  <si>
    <r>
      <t xml:space="preserve">Труба  168 х 7-7,5  -  6,21м(185кг) - 1шт            </t>
    </r>
    <r>
      <rPr>
        <b/>
        <sz val="10"/>
        <rFont val="Arial"/>
        <family val="2"/>
        <charset val="204"/>
      </rPr>
      <t xml:space="preserve"> 316-L   </t>
    </r>
    <r>
      <rPr>
        <b/>
        <sz val="8.3000000000000007"/>
        <rFont val="Arial"/>
        <family val="2"/>
        <charset val="204"/>
      </rPr>
      <t xml:space="preserve">             </t>
    </r>
    <r>
      <rPr>
        <b/>
        <sz val="10"/>
        <rFont val="Arial"/>
        <family val="2"/>
        <charset val="204"/>
      </rPr>
      <t xml:space="preserve"> склад 6</t>
    </r>
  </si>
  <si>
    <r>
      <t xml:space="preserve">Труба  171 х 16-17 -   0,16м(11кг) - 1шт                </t>
    </r>
    <r>
      <rPr>
        <b/>
        <sz val="10"/>
        <rFont val="Arial"/>
        <family val="2"/>
        <charset val="204"/>
      </rPr>
      <t xml:space="preserve">316-L  </t>
    </r>
    <r>
      <rPr>
        <b/>
        <sz val="8.5"/>
        <rFont val="Arial"/>
        <family val="2"/>
        <charset val="204"/>
      </rPr>
      <t xml:space="preserve">     </t>
    </r>
  </si>
  <si>
    <r>
      <t xml:space="preserve">Труба  180 х 28,0  -   2,79м(306кг)  - 1шт       </t>
    </r>
    <r>
      <rPr>
        <b/>
        <sz val="10"/>
        <rFont val="Arial"/>
        <family val="2"/>
        <charset val="204"/>
      </rPr>
      <t xml:space="preserve">316-L </t>
    </r>
    <r>
      <rPr>
        <b/>
        <sz val="8.3000000000000007"/>
        <rFont val="Arial"/>
        <family val="2"/>
        <charset val="204"/>
      </rPr>
      <t xml:space="preserve">       </t>
    </r>
    <r>
      <rPr>
        <b/>
        <sz val="10"/>
        <rFont val="Arial"/>
        <family val="2"/>
        <charset val="204"/>
      </rPr>
      <t>склад 2</t>
    </r>
  </si>
  <si>
    <r>
      <t xml:space="preserve">Труба  214 х 23,0  -  1,8м(198кг) - 1шт              </t>
    </r>
    <r>
      <rPr>
        <b/>
        <sz val="10"/>
        <rFont val="Arial"/>
        <family val="2"/>
        <charset val="204"/>
      </rPr>
      <t xml:space="preserve">  316-L </t>
    </r>
    <r>
      <rPr>
        <b/>
        <sz val="8.3000000000000007"/>
        <rFont val="Arial"/>
        <family val="2"/>
        <charset val="204"/>
      </rPr>
      <t xml:space="preserve">             </t>
    </r>
    <r>
      <rPr>
        <b/>
        <sz val="10"/>
        <rFont val="Arial"/>
        <family val="2"/>
        <charset val="204"/>
      </rPr>
      <t xml:space="preserve"> склад 2</t>
    </r>
  </si>
  <si>
    <r>
      <t xml:space="preserve">Лист  10 мм  -  0,49х0,75м(по 28,8-29,3кг) - 24шт       </t>
    </r>
    <r>
      <rPr>
        <b/>
        <sz val="10"/>
        <rFont val="Arial"/>
        <family val="2"/>
        <charset val="204"/>
      </rPr>
      <t>316-L</t>
    </r>
  </si>
  <si>
    <r>
      <t xml:space="preserve">Шестигранник №22 - 0,4-0,83м              </t>
    </r>
    <r>
      <rPr>
        <b/>
        <sz val="10"/>
        <rFont val="Arial"/>
        <family val="2"/>
        <charset val="204"/>
      </rPr>
      <t xml:space="preserve">  316-L</t>
    </r>
  </si>
  <si>
    <r>
      <t xml:space="preserve">Круг  100 мм  -  0,75м(46,7кг); 1м(63,7кг) по 1шт       </t>
    </r>
    <r>
      <rPr>
        <b/>
        <sz val="10"/>
        <rFont val="Arial"/>
        <family val="2"/>
        <charset val="204"/>
      </rPr>
      <t>316</t>
    </r>
  </si>
  <si>
    <t xml:space="preserve">Труба  38 х 2,5  -  4,15м(8,9кг) - 1шт           </t>
  </si>
  <si>
    <r>
      <t xml:space="preserve">Труба  38 х 5,5-6 -  1,85-1,94м           </t>
    </r>
    <r>
      <rPr>
        <b/>
        <sz val="10"/>
        <rFont val="Arial"/>
        <family val="2"/>
        <charset val="204"/>
      </rPr>
      <t xml:space="preserve"> 316-Ti</t>
    </r>
  </si>
  <si>
    <r>
      <t xml:space="preserve">Труба  42 х 3-3,5   -   0,7-1,17м           </t>
    </r>
    <r>
      <rPr>
        <b/>
        <sz val="10"/>
        <rFont val="Arial"/>
        <family val="2"/>
        <charset val="204"/>
      </rPr>
      <t xml:space="preserve">   316-Ti</t>
    </r>
  </si>
  <si>
    <r>
      <t xml:space="preserve">Труба  42 х 4,0   -   0,9-1,13м               </t>
    </r>
    <r>
      <rPr>
        <b/>
        <sz val="10"/>
        <rFont val="Arial"/>
        <family val="2"/>
        <charset val="204"/>
      </rPr>
      <t>316-Ti</t>
    </r>
  </si>
  <si>
    <r>
      <t xml:space="preserve">Труба  42 х 9,0  -  1,07-1,2м                   </t>
    </r>
    <r>
      <rPr>
        <b/>
        <sz val="10"/>
        <rFont val="Arial"/>
        <family val="2"/>
        <charset val="204"/>
      </rPr>
      <t>316-Ti</t>
    </r>
  </si>
  <si>
    <r>
      <t xml:space="preserve">Труба  48 х 2,0  -  0,91-1,1м                </t>
    </r>
    <r>
      <rPr>
        <b/>
        <sz val="10"/>
        <rFont val="Arial"/>
        <family val="2"/>
        <charset val="204"/>
      </rPr>
      <t xml:space="preserve"> 316-Ti</t>
    </r>
  </si>
  <si>
    <r>
      <t xml:space="preserve">Труба  60 х 2,0  -  1,16-1,18м               </t>
    </r>
    <r>
      <rPr>
        <b/>
        <sz val="10"/>
        <rFont val="Arial"/>
        <family val="2"/>
        <charset val="204"/>
      </rPr>
      <t xml:space="preserve"> 316-Ti</t>
    </r>
  </si>
  <si>
    <r>
      <t xml:space="preserve">Труба  60 х 5-5,5    - 4,8; 5; 5,03; 5,18; 5,75; 5,91м по 1шт        </t>
    </r>
    <r>
      <rPr>
        <b/>
        <sz val="10"/>
        <rFont val="Arial"/>
        <family val="2"/>
        <charset val="204"/>
      </rPr>
      <t xml:space="preserve"> 316-Ti     </t>
    </r>
    <r>
      <rPr>
        <b/>
        <sz val="8.3000000000000007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 xml:space="preserve">  </t>
    </r>
  </si>
  <si>
    <r>
      <t xml:space="preserve">Труба  63 х 15-16 -   0,8м(15кг) - 1шт               </t>
    </r>
    <r>
      <rPr>
        <b/>
        <sz val="10"/>
        <rFont val="Arial"/>
        <family val="2"/>
        <charset val="204"/>
      </rPr>
      <t>316-Ti</t>
    </r>
  </si>
  <si>
    <r>
      <t xml:space="preserve">Труба  63 х 15-16 -  3,67м(69,5кг); 1,7м(32,2кг) по 1шт               </t>
    </r>
    <r>
      <rPr>
        <b/>
        <sz val="10"/>
        <rFont val="Arial"/>
        <family val="2"/>
        <charset val="204"/>
      </rPr>
      <t>316-Ti</t>
    </r>
  </si>
  <si>
    <r>
      <t xml:space="preserve">Труба  73 х 8,5-9,5 -  5м(71,7кг) - 1шт                </t>
    </r>
    <r>
      <rPr>
        <b/>
        <sz val="10"/>
        <rFont val="Arial"/>
        <family val="2"/>
        <charset val="204"/>
      </rPr>
      <t xml:space="preserve"> 316-Ti</t>
    </r>
  </si>
  <si>
    <r>
      <t xml:space="preserve">Труба  73 х 10 - 2,25м(36,3кг) - 1шт              </t>
    </r>
    <r>
      <rPr>
        <b/>
        <sz val="10"/>
        <rFont val="Arial"/>
        <family val="2"/>
        <charset val="204"/>
      </rPr>
      <t xml:space="preserve"> 316-Ti</t>
    </r>
  </si>
  <si>
    <r>
      <t xml:space="preserve">Труба  89 х 2,5  -  2,35м(11,2кг) - 1шт     </t>
    </r>
    <r>
      <rPr>
        <b/>
        <sz val="10"/>
        <rFont val="Arial"/>
        <family val="2"/>
        <charset val="204"/>
      </rPr>
      <t>316-Ti</t>
    </r>
  </si>
  <si>
    <r>
      <t xml:space="preserve">Труба  95 х 4,5-5 - 1,08м(10,5кг); 1м(9,8кг) по 1шт            </t>
    </r>
    <r>
      <rPr>
        <b/>
        <sz val="10"/>
        <rFont val="Arial"/>
        <family val="2"/>
        <charset val="204"/>
      </rPr>
      <t xml:space="preserve">   316-Ti  </t>
    </r>
    <r>
      <rPr>
        <b/>
        <sz val="8.3000000000000007"/>
        <rFont val="Arial"/>
        <family val="2"/>
        <charset val="204"/>
      </rPr>
      <t xml:space="preserve">     </t>
    </r>
  </si>
  <si>
    <r>
      <t xml:space="preserve">Труба  108 х 4,5-5 -  3,09м(36,3кг) - 1шт           </t>
    </r>
    <r>
      <rPr>
        <b/>
        <sz val="10"/>
        <rFont val="Arial"/>
        <family val="2"/>
        <charset val="204"/>
      </rPr>
      <t xml:space="preserve">  316-Ti</t>
    </r>
  </si>
  <si>
    <r>
      <t xml:space="preserve">Труба  108 х 5,0 -  5,44м - 1шт               </t>
    </r>
    <r>
      <rPr>
        <b/>
        <sz val="10"/>
        <rFont val="Arial"/>
        <family val="2"/>
        <charset val="204"/>
      </rPr>
      <t>316-Ti</t>
    </r>
  </si>
  <si>
    <r>
      <t xml:space="preserve">Труба  140 х 7,0 -  6,57м(155кг) - 1шт       </t>
    </r>
    <r>
      <rPr>
        <b/>
        <sz val="10"/>
        <rFont val="Arial"/>
        <family val="2"/>
        <charset val="204"/>
      </rPr>
      <t xml:space="preserve">316-Ti </t>
    </r>
    <r>
      <rPr>
        <b/>
        <sz val="8"/>
        <rFont val="Arial"/>
        <family val="2"/>
        <charset val="204"/>
      </rPr>
      <t xml:space="preserve">         </t>
    </r>
    <r>
      <rPr>
        <b/>
        <sz val="10"/>
        <rFont val="Arial"/>
        <family val="2"/>
        <charset val="204"/>
      </rPr>
      <t>склад 6</t>
    </r>
  </si>
  <si>
    <r>
      <t xml:space="preserve">Труба  168 х 4,5 -   4,8м(95кг) - 1шт        </t>
    </r>
    <r>
      <rPr>
        <b/>
        <sz val="10"/>
        <rFont val="Arial"/>
        <family val="2"/>
        <charset val="204"/>
      </rPr>
      <t xml:space="preserve">316-Ti   </t>
    </r>
    <r>
      <rPr>
        <b/>
        <sz val="8"/>
        <rFont val="Arial"/>
        <family val="2"/>
        <charset val="204"/>
      </rPr>
      <t xml:space="preserve">    </t>
    </r>
    <r>
      <rPr>
        <b/>
        <sz val="10"/>
        <rFont val="Arial"/>
        <family val="2"/>
        <charset val="204"/>
      </rPr>
      <t>склад 6</t>
    </r>
  </si>
  <si>
    <r>
      <t xml:space="preserve">Труба  168 х 4,5 -   6,05м(110кг); 6,43м(120кг) по 1шт    </t>
    </r>
    <r>
      <rPr>
        <b/>
        <sz val="10"/>
        <rFont val="Arial"/>
        <family val="2"/>
        <charset val="204"/>
      </rPr>
      <t xml:space="preserve">316-Ti  </t>
    </r>
    <r>
      <rPr>
        <b/>
        <sz val="8"/>
        <rFont val="Arial"/>
        <family val="2"/>
        <charset val="204"/>
      </rPr>
      <t xml:space="preserve">     </t>
    </r>
    <r>
      <rPr>
        <b/>
        <sz val="10"/>
        <rFont val="Arial"/>
        <family val="2"/>
        <charset val="204"/>
      </rPr>
      <t>склад 6</t>
    </r>
  </si>
  <si>
    <r>
      <t xml:space="preserve">Труба  168 х 5,0 -  1,9м(36,7кг) - 1шт            </t>
    </r>
    <r>
      <rPr>
        <b/>
        <sz val="10"/>
        <rFont val="Arial"/>
        <family val="2"/>
        <charset val="204"/>
      </rPr>
      <t>316-Ti</t>
    </r>
  </si>
  <si>
    <r>
      <t xml:space="preserve">Труба  168 х 5,0 -   5,1; 4,96; 4,68; 5,05; 5,07м по 1шт; 3,55м(70кг)   </t>
    </r>
    <r>
      <rPr>
        <b/>
        <sz val="10"/>
        <rFont val="Arial"/>
        <family val="2"/>
        <charset val="204"/>
      </rPr>
      <t xml:space="preserve">316-Ti </t>
    </r>
    <r>
      <rPr>
        <b/>
        <sz val="8"/>
        <rFont val="Arial"/>
        <family val="2"/>
        <charset val="204"/>
      </rPr>
      <t xml:space="preserve">    </t>
    </r>
    <r>
      <rPr>
        <b/>
        <sz val="10"/>
        <rFont val="Arial"/>
        <family val="2"/>
        <charset val="204"/>
      </rPr>
      <t>склад 6</t>
    </r>
  </si>
  <si>
    <r>
      <t xml:space="preserve">Труба  168 х 7,5  -  3,58м(104кг); 5,49м(165кг) по 1шт        </t>
    </r>
    <r>
      <rPr>
        <b/>
        <sz val="10"/>
        <rFont val="Arial"/>
        <family val="2"/>
        <charset val="204"/>
      </rPr>
      <t xml:space="preserve">316-Ti </t>
    </r>
    <r>
      <rPr>
        <b/>
        <sz val="8.3000000000000007"/>
        <rFont val="Arial"/>
        <family val="2"/>
        <charset val="204"/>
      </rPr>
      <t xml:space="preserve">                    </t>
    </r>
    <r>
      <rPr>
        <b/>
        <sz val="10"/>
        <rFont val="Arial"/>
        <family val="2"/>
        <charset val="204"/>
      </rPr>
      <t xml:space="preserve"> склад 6</t>
    </r>
  </si>
  <si>
    <r>
      <t xml:space="preserve">Труба  168 х 21 -  5,12м(406кг) - 1шт     </t>
    </r>
    <r>
      <rPr>
        <b/>
        <sz val="10"/>
        <rFont val="Arial"/>
        <family val="2"/>
        <charset val="204"/>
      </rPr>
      <t>316-Ti</t>
    </r>
    <r>
      <rPr>
        <b/>
        <sz val="8"/>
        <rFont val="Arial"/>
        <family val="2"/>
        <charset val="204"/>
      </rPr>
      <t xml:space="preserve">   </t>
    </r>
    <r>
      <rPr>
        <b/>
        <sz val="10"/>
        <rFont val="Arial"/>
        <family val="2"/>
        <charset val="204"/>
      </rPr>
      <t>склад 6</t>
    </r>
  </si>
  <si>
    <r>
      <t xml:space="preserve">Круг  73 мм  -  0,11м(3,7кг) - 1шт             </t>
    </r>
    <r>
      <rPr>
        <b/>
        <sz val="10"/>
        <rFont val="Arial"/>
        <family val="2"/>
        <charset val="204"/>
      </rPr>
      <t xml:space="preserve"> 316-Ti</t>
    </r>
  </si>
  <si>
    <r>
      <t xml:space="preserve">Круг  178 мм - 20мм(4,1кг) - 1шт           </t>
    </r>
    <r>
      <rPr>
        <b/>
        <sz val="10"/>
        <rFont val="Arial"/>
        <family val="2"/>
        <charset val="204"/>
      </rPr>
      <t xml:space="preserve"> 316-Ti</t>
    </r>
  </si>
  <si>
    <t xml:space="preserve">Круг  18 мм  -  3,85-4,3м </t>
  </si>
  <si>
    <t>Круг   20"-" мм  -  0,68-1,5м</t>
  </si>
  <si>
    <t>Круг  20 мм -   0,9-1,16м(5,7кг) - 4шт</t>
  </si>
  <si>
    <r>
      <t xml:space="preserve">Труба  48 х 5,0  -  1,17-1,24м          </t>
    </r>
    <r>
      <rPr>
        <b/>
        <sz val="10"/>
        <rFont val="Arial"/>
        <family val="2"/>
        <charset val="204"/>
      </rPr>
      <t xml:space="preserve"> 316-L</t>
    </r>
  </si>
  <si>
    <r>
      <t xml:space="preserve">Круг  20-21 мм  -   1,2-1,76м(115,2кг)   клеймо    </t>
    </r>
    <r>
      <rPr>
        <sz val="10"/>
        <rFont val="Arial"/>
      </rPr>
      <t/>
    </r>
  </si>
  <si>
    <t xml:space="preserve">Лист  18 мм  -   0,27х0,34м(14,1кг) - 1шт </t>
  </si>
  <si>
    <t xml:space="preserve">Лист  27 мм  -   0,26(0,28)х0,34м(21,3кг) - 1шт </t>
  </si>
  <si>
    <t xml:space="preserve">Лист 6мм -  0,76х0,88м(18,6+18,8кг) по 1шт </t>
  </si>
  <si>
    <t>Круг  29 мм -   1,2м(3,5кг) - 1шт</t>
  </si>
  <si>
    <t>Круг   90 мм   -   0,93м(49,5кг) - 1шт</t>
  </si>
  <si>
    <t xml:space="preserve">Круг  26мм  -  1,4м(5,8кг) - 1шт </t>
  </si>
  <si>
    <t>Круг  16 мм  -  3,05-3,5м - 4шт</t>
  </si>
  <si>
    <t>Круг  25 мм  -  2,7-3,5м(от некоторых резали куски)  клейма</t>
  </si>
  <si>
    <t>Круг  17 мм -  1,64м(2,8кг) - 1шт   н\о</t>
  </si>
  <si>
    <t xml:space="preserve">Круг  170 мм -  0,62м(39кг); 0,67м(42,3кг) по 1шт   </t>
  </si>
  <si>
    <t>Полоса        1,2х10мм    бухта 3,6кг - 1шт; 24,6кг - 5 бухт, бирки.</t>
  </si>
  <si>
    <t>Проволока  7 мм   -  38,6кг  - 1 бухта</t>
  </si>
  <si>
    <t xml:space="preserve">Проволока ф0,14мм - 1 катушка пластиковая  </t>
  </si>
  <si>
    <t>Проволока  0,1 мм  -  2,7кг  -  1  пластиковая катушка</t>
  </si>
  <si>
    <t>Полоса        0,18х2,0мм  -  2,4кг - 1 пластиковая катушка</t>
  </si>
  <si>
    <r>
      <t xml:space="preserve">Круг  250 мм  -  0,57м(235кг) - 1шт                            </t>
    </r>
    <r>
      <rPr>
        <b/>
        <sz val="10"/>
        <rFont val="Arial"/>
        <family val="2"/>
        <charset val="204"/>
      </rPr>
      <t>склад 6</t>
    </r>
  </si>
  <si>
    <r>
      <t xml:space="preserve">Проволока  2,5 мм  -   22,6кг -  1  бухта    бирка         </t>
    </r>
    <r>
      <rPr>
        <b/>
        <sz val="10"/>
        <rFont val="Arial"/>
        <family val="2"/>
        <charset val="204"/>
      </rPr>
      <t>ЭП-367</t>
    </r>
  </si>
  <si>
    <t>Проволока  5,0 мм - 18кг; 19кг по 1-й бухте    константант</t>
  </si>
  <si>
    <t>Проволока   1,2мм  -  29,4кг; 16,2; 26,5кг по 1-й бухте</t>
  </si>
  <si>
    <r>
      <t xml:space="preserve">Круг  45 мм - 0,96мм(12,5кг); 0,6м(7,8кг клеймо) - 1шт   клеймо </t>
    </r>
    <r>
      <rPr>
        <b/>
        <sz val="10"/>
        <rFont val="Arial"/>
        <family val="2"/>
        <charset val="204"/>
      </rPr>
      <t>ЭИ-437Б</t>
    </r>
  </si>
  <si>
    <r>
      <t xml:space="preserve">Труба  86 х 20  -  6м(200кг) - 1шт       </t>
    </r>
    <r>
      <rPr>
        <b/>
        <sz val="10"/>
        <rFont val="Arial"/>
        <family val="2"/>
        <charset val="204"/>
      </rPr>
      <t xml:space="preserve"> 316-L</t>
    </r>
    <r>
      <rPr>
        <b/>
        <sz val="8.5"/>
        <rFont val="Arial"/>
        <family val="2"/>
        <charset val="204"/>
      </rPr>
      <t xml:space="preserve">                  </t>
    </r>
    <r>
      <rPr>
        <b/>
        <sz val="10"/>
        <rFont val="Arial"/>
        <family val="2"/>
        <charset val="204"/>
      </rPr>
      <t>склад 6</t>
    </r>
  </si>
  <si>
    <t>Труба  57 х 5,0  -   1,19м - 4шт</t>
  </si>
  <si>
    <t>Круг   18"-" мм  -  0,85-1,03м</t>
  </si>
  <si>
    <t xml:space="preserve">Труба  38,5х1,5  - 3м - 1шт </t>
  </si>
  <si>
    <t>Проволока   7,5 мм -  43кг; 18кг по  1-й бухте   светлая    ФЕХРАЛЬ</t>
  </si>
  <si>
    <r>
      <t xml:space="preserve">Труба  133 х 18 - 0,15м(8,3кг) - 1шт        </t>
    </r>
    <r>
      <rPr>
        <b/>
        <sz val="10"/>
        <rFont val="Arial"/>
        <family val="2"/>
        <charset val="204"/>
      </rPr>
      <t xml:space="preserve">   </t>
    </r>
    <r>
      <rPr>
        <b/>
        <sz val="8.3000000000000007"/>
        <rFont val="Arial"/>
        <family val="2"/>
        <charset val="204"/>
      </rPr>
      <t xml:space="preserve">              </t>
    </r>
  </si>
  <si>
    <r>
      <t xml:space="preserve">Труба  33"+" х 4,5  -  0,9-1,17м              </t>
    </r>
    <r>
      <rPr>
        <b/>
        <sz val="10"/>
        <rFont val="Arial"/>
        <family val="2"/>
        <charset val="204"/>
      </rPr>
      <t>316-L</t>
    </r>
  </si>
  <si>
    <t xml:space="preserve">Круг   12 мм  -  2,45-2,5м </t>
  </si>
  <si>
    <r>
      <t xml:space="preserve">Лист медный 14"+" мм -  0,99х1,99м  - 1шт  </t>
    </r>
    <r>
      <rPr>
        <b/>
        <sz val="12"/>
        <rFont val="Arial"/>
        <family val="2"/>
        <charset val="204"/>
      </rPr>
      <t xml:space="preserve">режем нужный размер </t>
    </r>
    <r>
      <rPr>
        <b/>
        <sz val="10"/>
        <rFont val="Arial"/>
        <family val="2"/>
        <charset val="204"/>
      </rPr>
      <t xml:space="preserve">  </t>
    </r>
    <r>
      <rPr>
        <b/>
        <sz val="12"/>
        <rFont val="Arial"/>
        <family val="2"/>
        <charset val="204"/>
      </rPr>
      <t xml:space="preserve"> склад 2</t>
    </r>
  </si>
  <si>
    <t>п</t>
  </si>
  <si>
    <t xml:space="preserve">Лента  0,15х395 мм  -  рулон  5,9кг - 1шт       жесткая </t>
  </si>
  <si>
    <r>
      <t xml:space="preserve">Труба  76 х 3,0   -  3,65м(20,1кг); 2,45м(12,6кг); 2,24м(12кг) по 1шт            </t>
    </r>
    <r>
      <rPr>
        <b/>
        <sz val="10"/>
        <rFont val="Arial"/>
        <family val="2"/>
        <charset val="204"/>
      </rPr>
      <t xml:space="preserve">316-Ti </t>
    </r>
  </si>
  <si>
    <r>
      <t xml:space="preserve">Труба  219 х 7,0  -  2,56м(93кг) - 1шт            </t>
    </r>
    <r>
      <rPr>
        <b/>
        <sz val="10"/>
        <rFont val="Arial"/>
        <family val="2"/>
        <charset val="204"/>
      </rPr>
      <t>316Ті         склад 6</t>
    </r>
  </si>
  <si>
    <t xml:space="preserve">Чушка олово   литье  </t>
  </si>
  <si>
    <t xml:space="preserve">О3 </t>
  </si>
  <si>
    <t>Круг  127 мм -  60мм(6,3кг) - 1шт</t>
  </si>
  <si>
    <t>Шестигранник №30  - 1,03м(6,3кг); 1м(6+6кг) по 1шт</t>
  </si>
  <si>
    <t>Никель лента - 0,3х15,5мм -  бухты 2,5; 2,4кг по 1шт    мягкая</t>
  </si>
  <si>
    <t xml:space="preserve">Труба  89 х 4,5-5  -  2,6м(24,3кг); 3,3м(31,6кг); 2,34м(23,4кг)  по 1шт </t>
  </si>
  <si>
    <r>
      <t xml:space="preserve">Проволока  3,0 мм  -   28кг; 28,4кг; 35,3кг по 1-й  бухте    бирки         </t>
    </r>
    <r>
      <rPr>
        <b/>
        <sz val="10"/>
        <rFont val="Arial"/>
        <family val="2"/>
        <charset val="204"/>
      </rPr>
      <t>ЭП-367</t>
    </r>
  </si>
  <si>
    <r>
      <t xml:space="preserve">Проволока  1,2 мм  -   5,2кг; 7,6кг; 16,5кг  по 1-й  бухте     бирки      </t>
    </r>
    <r>
      <rPr>
        <b/>
        <sz val="10"/>
        <rFont val="Arial"/>
        <family val="2"/>
        <charset val="204"/>
      </rPr>
      <t>ЭП-367</t>
    </r>
  </si>
  <si>
    <t>Круг   90 мм -                                                         0,13м(7,2кг найти!!!!!) - 1шт</t>
  </si>
  <si>
    <t>Круг  147 мм  -   0,25м(33,7кг) - 1шт  н\о</t>
  </si>
  <si>
    <t xml:space="preserve">Лента бронзовая - 0,2х290мм -   бухта 35,7кг - 1шт      твердая             </t>
  </si>
  <si>
    <r>
      <t xml:space="preserve">Круг  65 мм  -  1,32-1,49м(181кг)     клеймо           </t>
    </r>
    <r>
      <rPr>
        <b/>
        <sz val="10"/>
        <rFont val="Arial"/>
        <family val="2"/>
        <charset val="204"/>
      </rPr>
      <t>ЭП-56</t>
    </r>
  </si>
  <si>
    <t xml:space="preserve">Лист  14 мм   -  0,44х1,26м(64кг) - 1шт                        </t>
  </si>
  <si>
    <t>Круг  180 мм -  0,18м(по 35,6кг) - 4шт; 0,16м(31,5кг); 0,17м(34,5кг); 0,16м(33кг); 0,17м(34кг)  по 1шт клеймо</t>
  </si>
  <si>
    <t xml:space="preserve">Круг  6,1 мм  -  2,14-2,3м </t>
  </si>
  <si>
    <t>08Х17Н13М2Б</t>
  </si>
  <si>
    <t>Труба  42 х 2,5   -  2,05м(5кг) - 1шт</t>
  </si>
  <si>
    <r>
      <t xml:space="preserve">Круг  10 мм  -  1,7-2,2м        </t>
    </r>
    <r>
      <rPr>
        <b/>
        <sz val="10"/>
        <rFont val="Arial"/>
        <family val="2"/>
        <charset val="204"/>
      </rPr>
      <t>ЭИ-474</t>
    </r>
  </si>
  <si>
    <t>Проволока   ф 2,5 мм -  42; 40,8; 42,5; 42; 30,5; 43,5; 40кг по 1-й бухте    бирки</t>
  </si>
  <si>
    <r>
      <t xml:space="preserve">Проволока   1,6 мм  -  40кг -  1 бухта      бирка        </t>
    </r>
    <r>
      <rPr>
        <b/>
        <sz val="10"/>
        <rFont val="Arial"/>
        <family val="2"/>
        <charset val="204"/>
      </rPr>
      <t xml:space="preserve"> ЭИ-602</t>
    </r>
  </si>
  <si>
    <t xml:space="preserve">Шестигранник №22 - 0,45-0,83м </t>
  </si>
  <si>
    <t>32НКД</t>
  </si>
  <si>
    <t xml:space="preserve">Круг  18 мм  -  2,9м(5,2кг) - 1шт  </t>
  </si>
  <si>
    <t xml:space="preserve">Круг  195мм  -  0,18м(44,4кг н\о) - 1шт                           </t>
  </si>
  <si>
    <t>Круг  65(63) мм  -  3,14м(80,8кг); 2,65м(68,4кг); 3,44м(88,2кг); 2,1м(53,6кг); 2,71м(69,4кг); 2,16м(55кг); 2,28м(58кг); 2,33м(59,6+59,6кг)  по 1шт    клейма</t>
  </si>
  <si>
    <t>Круг  60 мм  -  3,73м(81,4+81,4кг); 3,78м(82,9кг) по 1шт  все клеймо</t>
  </si>
  <si>
    <t>Труба 35х1,5 - 2; 2,07; 2,13; 2,5м по 1шт</t>
  </si>
  <si>
    <r>
      <t xml:space="preserve">Проволока  2,0 мм  -  4,2кг - 1  бухта             </t>
    </r>
    <r>
      <rPr>
        <b/>
        <sz val="10"/>
        <rFont val="Arial"/>
        <family val="2"/>
        <charset val="204"/>
      </rPr>
      <t>ЭИ-435</t>
    </r>
  </si>
  <si>
    <t xml:space="preserve">Лист  25 мм  -  блины   ф350мм(по 20,8кг) - 3шт </t>
  </si>
  <si>
    <t xml:space="preserve">Полоса        1,5х10мм    бухта  6,8кг - 1шт   </t>
  </si>
  <si>
    <t xml:space="preserve">Труба  89 х 7-8  -   1,05м(15,8кг н\о) - 1шт </t>
  </si>
  <si>
    <r>
      <t xml:space="preserve">Труба  38 х 4,5  -   1,81м(7кг) - 1шт               </t>
    </r>
    <r>
      <rPr>
        <b/>
        <sz val="10"/>
        <rFont val="Arial"/>
        <family val="2"/>
        <charset val="204"/>
      </rPr>
      <t>316-Ti</t>
    </r>
  </si>
  <si>
    <r>
      <t xml:space="preserve">Лист 3,5(3,3мм по факту) - 1,01х2м(53кг н\о) - 1шт               </t>
    </r>
    <r>
      <rPr>
        <b/>
        <sz val="10"/>
        <rFont val="Arial"/>
        <family val="2"/>
        <charset val="204"/>
      </rPr>
      <t xml:space="preserve">ЭИ-961ш      </t>
    </r>
  </si>
  <si>
    <t xml:space="preserve">Круг   78 мм -  0,61м(27кг) - 1шт     </t>
  </si>
  <si>
    <t>Лист латунный 1,5 мм -                     0,5х1,5м(18,9кг) - 2шт  твердые     найти!!!!</t>
  </si>
  <si>
    <t>Труба  56 х 1,5  - 4,09м(8,9кг) - 1шт</t>
  </si>
  <si>
    <r>
      <t xml:space="preserve">Лист  24 мм  -  0,9х0,74м(130кг) -  1шт                          </t>
    </r>
    <r>
      <rPr>
        <b/>
        <sz val="10"/>
        <rFont val="Arial"/>
        <family val="2"/>
        <charset val="204"/>
      </rPr>
      <t xml:space="preserve"> склад 2</t>
    </r>
  </si>
  <si>
    <t>Труба  22 х 3,0  -                      найти 11,5кг!!!!!!!!</t>
  </si>
  <si>
    <t>ПОС-50</t>
  </si>
  <si>
    <t>Лента нейзильбер 0,4х100мм - 28кг; 33,3кг по 1-й бухте   мягкая</t>
  </si>
  <si>
    <t>Труба  22 х 2,5   -                                        2,88-2,93м(24,6кг)    найти!!!!!!!!!!!!</t>
  </si>
  <si>
    <t xml:space="preserve">Круг   55 мм -  0,38м(7,4кг)  - 1шт </t>
  </si>
  <si>
    <r>
      <t xml:space="preserve">Труба  105 х 12-13  -  1,59м(48+48кг) по 1шт           </t>
    </r>
    <r>
      <rPr>
        <b/>
        <sz val="10"/>
        <rFont val="Arial"/>
        <family val="2"/>
        <charset val="204"/>
      </rPr>
      <t>316-Ti</t>
    </r>
  </si>
  <si>
    <r>
      <t xml:space="preserve">Труба  114 х 3,5  -   6м(54,2кг) - 1шт          </t>
    </r>
    <r>
      <rPr>
        <b/>
        <sz val="10"/>
        <rFont val="Arial"/>
        <family val="2"/>
        <charset val="204"/>
      </rPr>
      <t>316-L</t>
    </r>
  </si>
  <si>
    <r>
      <t xml:space="preserve">Труба  140 х 14,0    -  0,34м(15,6кг) -  1шт           </t>
    </r>
    <r>
      <rPr>
        <b/>
        <sz val="10"/>
        <rFont val="Arial"/>
        <family val="2"/>
        <charset val="204"/>
      </rPr>
      <t>ЭИ-943</t>
    </r>
  </si>
  <si>
    <t>Круг  90 мм -  80мм(4кг); 90мм(по 4,5кг) - 5шт</t>
  </si>
  <si>
    <t>Труба  13,5 х 1,5  -  3,05-3,1м(5,7кг от 1шт резали 1м)</t>
  </si>
  <si>
    <t>Труба  10х1,5  -  3,9-4м(10,9кг)   мягкая</t>
  </si>
  <si>
    <r>
      <t xml:space="preserve">Круг  20 мм  -  3,2-3,4м(есть немного короче)       </t>
    </r>
    <r>
      <rPr>
        <b/>
        <sz val="10"/>
        <rFont val="Arial"/>
        <family val="2"/>
        <charset val="204"/>
      </rPr>
      <t>ЭИ-474</t>
    </r>
  </si>
  <si>
    <t>Круг 33 мм - 0,44+0,45+0,33+0,31м по 1шт (никель 27, хром 20,5; молик 3,2; ниобий 1,1; вольфрам 5,4 желез 42,8)</t>
  </si>
  <si>
    <t>Проволока  1,2 мм  -  14; 14,4кг по 1-й бухте</t>
  </si>
  <si>
    <r>
      <t xml:space="preserve">Круг  110 мм  - 4м(304кг); 1,38м(110кг) по 1шт  клейма      н\о         </t>
    </r>
    <r>
      <rPr>
        <b/>
        <sz val="10"/>
        <rFont val="Arial"/>
        <family val="2"/>
        <charset val="204"/>
      </rPr>
      <t xml:space="preserve">316L        склад 6  </t>
    </r>
  </si>
  <si>
    <t>Труба  48 х 3,5  - 1,7+2,28+2,3м=24кг; 2,87м(11,2кг); 3,2м(12,2кг); 1,54м(6,3кг); 1,03м(3,9кг) по 1шт</t>
  </si>
  <si>
    <t>Круг  16 мм -     2,75-2,95м                    маркирован</t>
  </si>
  <si>
    <t xml:space="preserve">Круг  30 мм  -  1+1,01м=12,2кг клеймо </t>
  </si>
  <si>
    <t>Круг  150 мм -  0,28м(22,3кг) - 1шт</t>
  </si>
  <si>
    <t>Хром нулевой   в камнях</t>
  </si>
  <si>
    <r>
      <t xml:space="preserve">Лист  4 мм - </t>
    </r>
    <r>
      <rPr>
        <b/>
        <sz val="8.5"/>
        <rFont val="Arial"/>
        <family val="2"/>
        <charset val="204"/>
      </rPr>
      <t xml:space="preserve">0,71х0,91м(20,6кг) - 1шт  </t>
    </r>
  </si>
  <si>
    <t xml:space="preserve">Труба  51 х 12,5-13,5  -  0,85-1,12м(144,5кг); 1,18+1,18м=29кг </t>
  </si>
  <si>
    <r>
      <t xml:space="preserve">Лист  30мм  - 1,63х1,32м(505кг) - 1шт                </t>
    </r>
    <r>
      <rPr>
        <b/>
        <sz val="10"/>
        <rFont val="Arial"/>
        <family val="2"/>
        <charset val="204"/>
      </rPr>
      <t>склад 2</t>
    </r>
  </si>
  <si>
    <t>ПОССу-30-1</t>
  </si>
  <si>
    <t xml:space="preserve">Труба  38 х 6,0   -  3,37-4,3м </t>
  </si>
  <si>
    <r>
      <t xml:space="preserve">Круг  210 мм    -  80мм(24,2кг клеймо) - 1шт    </t>
    </r>
    <r>
      <rPr>
        <b/>
        <sz val="10"/>
        <rFont val="Arial"/>
        <family val="2"/>
        <charset val="204"/>
      </rPr>
      <t xml:space="preserve">   ЭП-648</t>
    </r>
  </si>
  <si>
    <t>Круг  60 мм  -  2,48м(30,6кг); 2,63м(32,6кг) по 1шт   маркирован</t>
  </si>
  <si>
    <t>Круг   150 мм  - 0,36м(48,6кг) - 1шт</t>
  </si>
  <si>
    <t>Круг  100 мм  -  1м(60,5кг)  - 1шт</t>
  </si>
  <si>
    <t xml:space="preserve">Круг  130 мм  -  0,8м(84,5кг) - 1шт </t>
  </si>
  <si>
    <r>
      <t xml:space="preserve">Труба  190 х 43  -  120м(20,9кг) - 1шт               </t>
    </r>
    <r>
      <rPr>
        <b/>
        <sz val="10"/>
        <rFont val="Arial"/>
        <family val="2"/>
        <charset val="204"/>
      </rPr>
      <t xml:space="preserve">  316-L </t>
    </r>
    <r>
      <rPr>
        <b/>
        <sz val="8.3000000000000007"/>
        <rFont val="Arial"/>
        <family val="2"/>
        <charset val="204"/>
      </rPr>
      <t xml:space="preserve">                  </t>
    </r>
    <r>
      <rPr>
        <b/>
        <sz val="10"/>
        <rFont val="Arial"/>
        <family val="2"/>
        <charset val="204"/>
      </rPr>
      <t xml:space="preserve"> </t>
    </r>
  </si>
  <si>
    <r>
      <t xml:space="preserve">Труба  190 х 43  -  90мм(17,6кг) - 1шт               </t>
    </r>
    <r>
      <rPr>
        <b/>
        <sz val="10"/>
        <rFont val="Arial"/>
        <family val="2"/>
        <charset val="204"/>
      </rPr>
      <t xml:space="preserve">   </t>
    </r>
  </si>
  <si>
    <t>Лист латунный 2,5 мм - 0,6х0,74м(45,8кг) - 5шт</t>
  </si>
  <si>
    <t xml:space="preserve">Круг   54 мм -   0,35м(14кг) - 2шт </t>
  </si>
  <si>
    <t>Круг  45 мм  -  3,54м(43кг клеймо) - 1шт</t>
  </si>
  <si>
    <t>Круг  15 мм  -  1,87-3м</t>
  </si>
  <si>
    <t>Круг   15 мм  -  0,6-0,67м(4,6кг)</t>
  </si>
  <si>
    <t xml:space="preserve">Труба  202 х 22  -  0,15м(15,8кг) - 1шт </t>
  </si>
  <si>
    <t>Круг  30 мм  - 0,89; 0,94м по 1шт</t>
  </si>
  <si>
    <t xml:space="preserve">Круг   90 мм -  0,79м(39,3кг) - 1шт </t>
  </si>
  <si>
    <t>Труба  80х8,0  - 1м(14,3кг) - 1шт</t>
  </si>
  <si>
    <t>Круг   30 мм -  2,2м - 1шт; 1,4м - 1шт</t>
  </si>
  <si>
    <t xml:space="preserve">Лента бронзовая - 0,45х300мм - 1 бухта  8,2кг     </t>
  </si>
  <si>
    <r>
      <t xml:space="preserve">Труба  195 х 9-9,5  -  3,24(136кг); 3,22м(132кг) по 1шт            </t>
    </r>
    <r>
      <rPr>
        <b/>
        <sz val="10"/>
        <rFont val="Arial"/>
        <family val="2"/>
        <charset val="204"/>
      </rPr>
      <t>склад 6</t>
    </r>
  </si>
  <si>
    <t>Труба  30 х 0,5   -  1,54; 1,98; 2,1м по 1шт</t>
  </si>
  <si>
    <t>Труба  27 х 0,5   -  1,68м(0,3кг) - 1шт</t>
  </si>
  <si>
    <t>Труба  18 х 3,5  -   2,14+2,19м=3кг</t>
  </si>
  <si>
    <t>Труба  42 х 4,0  -  7,19; 7,13м по 1шт</t>
  </si>
  <si>
    <t xml:space="preserve">Лист  9 мм - 0,18х0,89-0,94м(20,8кг); 0,19-0,205х0,82-0,84м(38кг); 0,18х0,8-0,84м(22,2кг) </t>
  </si>
  <si>
    <t>силиций 80-85%</t>
  </si>
  <si>
    <t>Круг   25 мм  - 1,84м(7,6кг) - 1шт</t>
  </si>
  <si>
    <t xml:space="preserve">Труба  83 х 5-5,5  -  4,1м(39,7кг) - 1шт           </t>
  </si>
  <si>
    <t xml:space="preserve">Труба  42 х 4,0  -   3,07-3,4м(50,7кг) - 4шт             </t>
  </si>
  <si>
    <t>Круг   74 мм - 0,95м(34,6кг); 0,82м(30кг)  по 1шт</t>
  </si>
  <si>
    <r>
      <t xml:space="preserve">Круг   130 мм -  0,45м(47кг) - 1шт         </t>
    </r>
    <r>
      <rPr>
        <b/>
        <sz val="12"/>
        <rFont val="Arial"/>
        <family val="2"/>
        <charset val="204"/>
      </rPr>
      <t xml:space="preserve">склад 6 </t>
    </r>
  </si>
  <si>
    <t>Круг  29 мм  - 0,48м(2,7кг) - 1шт  кованый</t>
  </si>
  <si>
    <r>
      <t xml:space="preserve">Квадрат  70х70мм -  6,02м - 7шт; 3,02м по 1шт   клейма                 </t>
    </r>
    <r>
      <rPr>
        <b/>
        <sz val="10"/>
        <rFont val="Arial"/>
        <family val="2"/>
        <charset val="204"/>
      </rPr>
      <t xml:space="preserve">склад 6        </t>
    </r>
  </si>
  <si>
    <t xml:space="preserve">Круг  240"+" мм  -  0,1м(37кг н\о) - 1шт                           </t>
  </si>
  <si>
    <t xml:space="preserve">Круг   40 мм - 0,11м - 10шт; 60мм(0,6кг); 40мм(0,5кг) по 1шт </t>
  </si>
  <si>
    <t>Лента бронзовая - 0,25х250мм  -  1 бухта  10,2кг   твердая</t>
  </si>
  <si>
    <r>
      <t xml:space="preserve">Труба  22 х 2,0   -  5,94-6м(22,1кг); 5,8-6,7м(18кг); 2,2-3,5м(31,6кг)             </t>
    </r>
    <r>
      <rPr>
        <b/>
        <sz val="10"/>
        <rFont val="Arial"/>
        <family val="2"/>
        <charset val="204"/>
      </rPr>
      <t>316Ті</t>
    </r>
  </si>
  <si>
    <r>
      <t xml:space="preserve">Круг  24 мм - 1,21-1,78м(35,8кг, в т.ч. 1шт 1,15м клеймо)    </t>
    </r>
    <r>
      <rPr>
        <b/>
        <sz val="10"/>
        <rFont val="Arial"/>
        <family val="2"/>
        <charset val="204"/>
      </rPr>
      <t xml:space="preserve"> ЭИ-787 </t>
    </r>
  </si>
  <si>
    <t>Круг  170 мм  -  115мм(21кг); 50мм(9кг); 45мм(8,3кг) по 1шт</t>
  </si>
  <si>
    <t>Круг  30 мм - 0,6-0,92м светлые и темные</t>
  </si>
  <si>
    <r>
      <t xml:space="preserve">Круг  45 мм  -    0,98м(13,2кг кованый)  - 1шт            </t>
    </r>
    <r>
      <rPr>
        <b/>
        <sz val="10"/>
        <rFont val="Arial"/>
        <family val="2"/>
        <charset val="204"/>
      </rPr>
      <t>ЭИ-652</t>
    </r>
  </si>
  <si>
    <t>Круг  75 мм - 0,135м(5,7кг) - 1шт кобальт 55%; тит 0,1%; хром 17%; никель 12%; вольф 12%, марг 1,6%</t>
  </si>
  <si>
    <t>Круг  70 мм -  0,18м(5,6кг); 0,33м(10,6кг); 0,34м(10,6кг); 0,35м(10,6кг) по 1шт</t>
  </si>
  <si>
    <t xml:space="preserve">Круг  16 мм - 2,9-3,3м(отрезали куски) </t>
  </si>
  <si>
    <t>Проволока   2,5 мм  -   бухты 14,1; 2,2кг по 1-й бухте</t>
  </si>
  <si>
    <t>Круг  54 мм  - 2,82м(28,6кг); 0,88; 0,7; 0,44; 1,51; 1,69; 2,61; 1,45м по 1шт; 0,57м(5,9кг); 0,74м(7,6кг) по 1шт</t>
  </si>
  <si>
    <t>Круг  25 мм -  1,11-1,3м(23,5кг); 2,74+2,76м=12,5кг; 0,62-0,64м(14,7кг)    маркирован</t>
  </si>
  <si>
    <t>Круг   5 мм  -  2,95-3,05м</t>
  </si>
  <si>
    <t xml:space="preserve">Лист латунный 0,6 мм - 0,6х1,5м     мягкие    </t>
  </si>
  <si>
    <t>Лист латунный 0,6 мм - 0,6х1,5м     твердые</t>
  </si>
  <si>
    <t>Лист латунный 0,8 мм - 0,7х1,4м(6,5+6,1кг) по 1шт     твердые</t>
  </si>
  <si>
    <t>Круг   60 мм  - 0,8м(20,1кг) - 1шт</t>
  </si>
  <si>
    <t>Круг  30 мм -  2,8+2,9м=17,9кг; 1,06м(3,4кг) - 1шт</t>
  </si>
  <si>
    <t xml:space="preserve">Круг   100 мм -   0,24м(15,7кг) - 1шт </t>
  </si>
  <si>
    <t xml:space="preserve">Труба  38 х 2,0  -  2,7-4,1м </t>
  </si>
  <si>
    <r>
      <t xml:space="preserve">Лист 0,6мм - </t>
    </r>
    <r>
      <rPr>
        <b/>
        <sz val="8.3000000000000007"/>
        <color indexed="10"/>
        <rFont val="Arial"/>
        <family val="2"/>
        <charset val="204"/>
      </rPr>
      <t xml:space="preserve"> </t>
    </r>
    <r>
      <rPr>
        <b/>
        <sz val="8.3000000000000007"/>
        <rFont val="Arial"/>
        <family val="2"/>
        <charset val="204"/>
      </rPr>
      <t xml:space="preserve">0,6х0,98м(27,1кг)  </t>
    </r>
  </si>
  <si>
    <t>АМГ-4</t>
  </si>
  <si>
    <t>Круг  245 мм - 70мм(9,3кг) - 1шт</t>
  </si>
  <si>
    <r>
      <t xml:space="preserve">Круг  22"-" мм  -  2,86-2,94м - 4шт; 3,27м - 1шт      </t>
    </r>
    <r>
      <rPr>
        <b/>
        <sz val="10"/>
        <rFont val="Arial"/>
        <family val="2"/>
        <charset val="204"/>
      </rPr>
      <t xml:space="preserve">      ЭП-303</t>
    </r>
  </si>
  <si>
    <t>55Х20Г9АН4</t>
  </si>
  <si>
    <t xml:space="preserve">Круг  75 мм -  0,57м(22,8кг кованый) - 1шт                                           </t>
  </si>
  <si>
    <r>
      <t xml:space="preserve">Труба  57 х 3,0  -   0,74м(2,9кг) - 1шт      </t>
    </r>
    <r>
      <rPr>
        <b/>
        <sz val="10"/>
        <rFont val="Arial"/>
        <family val="2"/>
        <charset val="204"/>
      </rPr>
      <t xml:space="preserve">316-Ті   </t>
    </r>
  </si>
  <si>
    <t>Труба  27 х 1,0   - 1,83-2,25м(5,9кг)</t>
  </si>
  <si>
    <t>Круг  60 мм  -  1,77м(39,3кг); 1,4м(31,4кг)  по 1шт</t>
  </si>
  <si>
    <t>сплав 1915</t>
  </si>
  <si>
    <t>Труба 32х3,0 - 2,83м(2,2кг) - 1шт</t>
  </si>
  <si>
    <t xml:space="preserve">Круг  70 мм  - 2,76м(27,8кг клеймо) - 1шт </t>
  </si>
  <si>
    <t>АМГ-3М</t>
  </si>
  <si>
    <t>Круг  20 мм  - 2,3-4м</t>
  </si>
  <si>
    <t xml:space="preserve">Круг  32 мм  - 3,27м(6,7кг) - 1шт </t>
  </si>
  <si>
    <t xml:space="preserve">Круг  28 мм  - 3,14м(5кг) - 1шт </t>
  </si>
  <si>
    <t>Круг  22 мм  - 3,02+3,37м=6,2кг</t>
  </si>
  <si>
    <t xml:space="preserve">АМГ-6 </t>
  </si>
  <si>
    <t>Круг  13 мм  - 1,65-1,7</t>
  </si>
  <si>
    <r>
      <t xml:space="preserve">Круг  60 мм  -  0,85-1м                     </t>
    </r>
    <r>
      <rPr>
        <b/>
        <sz val="10"/>
        <rFont val="Arial"/>
        <family val="2"/>
        <charset val="204"/>
      </rPr>
      <t xml:space="preserve"> ЭП-288мш</t>
    </r>
  </si>
  <si>
    <t xml:space="preserve">Лист  25 мм  -  0,27х0,57м(32,1кг); 0,28х0,57м(35,6кг) по 1шт                                  </t>
  </si>
  <si>
    <r>
      <t xml:space="preserve">Круг  40 мм    -   0,95м(10,6кг)  - 1шт    </t>
    </r>
    <r>
      <rPr>
        <b/>
        <sz val="10"/>
        <rFont val="Arial"/>
        <family val="2"/>
        <charset val="204"/>
      </rPr>
      <t xml:space="preserve">                  ЭП-693</t>
    </r>
  </si>
  <si>
    <t>Проволока  5,0 мм   -                                                                      (28,4кг   найти!!!!!!!!!!!!!)</t>
  </si>
  <si>
    <t>Круг  40(35) мм  -  1,73; 1,99м по 1шт в чистоте ф35мм, отдаем по теорвесу как ф35мм</t>
  </si>
  <si>
    <t>Проволока   8 мм    -   4,6кг - 1 бухта</t>
  </si>
  <si>
    <t>Проволока   8 мм    -  17,8кг; 20кг по 1-й  бухте</t>
  </si>
  <si>
    <t>Проволока   9 мм    -  39,1кг; 24,8кг; 9,4; 8кг по 1-й  бухте</t>
  </si>
  <si>
    <t>Проволока   6,5 мм    -  18,5кг - 1 бухта</t>
  </si>
  <si>
    <t>Проволока   6,0 мм    -   4кг  -   спирали новые</t>
  </si>
  <si>
    <t>Проволока   5,5 мм    - 6,6кг - 1 бухта</t>
  </si>
  <si>
    <t>Проволока   4,5 мм    -   8,4кг; 16,2; 11,8кг по 1-й бухте</t>
  </si>
  <si>
    <t>Круг   34 мм -  0,71м(5,4кг) - 1шт</t>
  </si>
  <si>
    <t xml:space="preserve">Круг  63 мм - 0,39м(10,7кг н\о клеймо) - 1шт   </t>
  </si>
  <si>
    <r>
      <t xml:space="preserve">Труба  180 х 10,0  -  2,1м(93кг клеймо) - 1шт   </t>
    </r>
    <r>
      <rPr>
        <b/>
        <sz val="10"/>
        <rFont val="Arial"/>
        <family val="2"/>
        <charset val="204"/>
      </rPr>
      <t xml:space="preserve"> склад 2</t>
    </r>
  </si>
  <si>
    <t>В-65 или Д1Т</t>
  </si>
  <si>
    <r>
      <t xml:space="preserve">Труба  38 х 3,0  -  3,09+4,87м=20,8кг        </t>
    </r>
    <r>
      <rPr>
        <b/>
        <sz val="10"/>
        <rFont val="Arial"/>
        <family val="2"/>
        <charset val="204"/>
      </rPr>
      <t>316-Ti</t>
    </r>
  </si>
  <si>
    <r>
      <t xml:space="preserve">Труба  76(75) х 8,5  -  3,12м(45,8кг); 3,01м(42,7кг)  по 1шт                 </t>
    </r>
    <r>
      <rPr>
        <b/>
        <sz val="10"/>
        <rFont val="Arial"/>
        <family val="2"/>
        <charset val="204"/>
      </rPr>
      <t>316-Ti</t>
    </r>
  </si>
  <si>
    <t>Круг   70 мм  -  0,58м(18,8кг) - 1шт</t>
  </si>
  <si>
    <r>
      <t xml:space="preserve">Круг  40 мм  - 0,7м(7,3+7,4кг клеймо) по 1шт                        </t>
    </r>
    <r>
      <rPr>
        <b/>
        <sz val="10"/>
        <rFont val="Arial"/>
        <family val="2"/>
        <charset val="204"/>
      </rPr>
      <t>ЭИ-435</t>
    </r>
  </si>
  <si>
    <t>Круг   35"+" мм -  1,24-1,34м(65,9кг)</t>
  </si>
  <si>
    <t>Круг   32 мм -  1,25м(8,4кг) - 1шт</t>
  </si>
  <si>
    <r>
      <t xml:space="preserve">Круг  180 мм -  30мм(6кг) - 1шт          </t>
    </r>
    <r>
      <rPr>
        <b/>
        <sz val="10"/>
        <rFont val="Arial"/>
        <family val="2"/>
        <charset val="204"/>
      </rPr>
      <t>клеймо 1.4571   316-Ti</t>
    </r>
  </si>
  <si>
    <t>Круг  30 мм  - 2,95м(5,5кг); 1,16м(2,3кг) по 1шт</t>
  </si>
  <si>
    <t xml:space="preserve">Круг   7 мм  -  2,7-3,05м </t>
  </si>
  <si>
    <t>29НКви</t>
  </si>
  <si>
    <t xml:space="preserve">Круг  42(40) мм  -  0,86; 0,87; 0,96; 1,04м по 1шт    все клеймо    </t>
  </si>
  <si>
    <t xml:space="preserve">29НК </t>
  </si>
  <si>
    <t xml:space="preserve">Круг  38 мм  -  1,64м(15,2кг) - 1шт      </t>
  </si>
  <si>
    <t>Лист 2,5мм - 0,25х0,55м; 0,25х0,6м; 0,25х0,65м; 0,25х0,68м; 0,25х0,7м; 0,25х0,72мпо 1шт</t>
  </si>
  <si>
    <t xml:space="preserve">Круг  110 мм  -  1,03м(45,5кг клеймо) - 1шт  </t>
  </si>
  <si>
    <t>Проволока   0,5 мм  -   бухты  6,7; 6кг по 1-й  бухте</t>
  </si>
  <si>
    <t>Проволока   0,4 мм  -   бухты  8,9; 5,9кг по 1-й  бухте</t>
  </si>
  <si>
    <t>Проволока   0,4 мм  -   катушки пластиковые  2; 1,5кг по 1-й  шт</t>
  </si>
  <si>
    <t>Проволока   0,3 мм  -   катушки пластиковые  1,5; 1,5; 1,9кг по 1-й  шт</t>
  </si>
  <si>
    <r>
      <t xml:space="preserve">Круг  30 мм -  0,22-0,25м(35,8кг) н\о                            </t>
    </r>
    <r>
      <rPr>
        <b/>
        <sz val="10"/>
        <rFont val="Arial"/>
        <family val="2"/>
        <charset val="204"/>
      </rPr>
      <t xml:space="preserve"> 316-L</t>
    </r>
  </si>
  <si>
    <t>Круг   57 мм -  0,88м(19кг) - 1шт</t>
  </si>
  <si>
    <t xml:space="preserve">Круг   25 мм  -  0,78м(3кг) - 1шт </t>
  </si>
  <si>
    <t>Круг  95 мм -  1,61м(90,7кг н\о); 1,42м(78,6кг); 1,32м(73,2кг)  по 1шт</t>
  </si>
  <si>
    <t>Лента  1х195 мм  -   рулоны 6,1; 26,2кг  по 1шт                      средней жесткости</t>
  </si>
  <si>
    <r>
      <t xml:space="preserve">Труба  27 х 1,5  -   3,08-3,18м(39,5кг отрезали куски); 1,65-1,9м(12,8кг)           </t>
    </r>
    <r>
      <rPr>
        <b/>
        <sz val="10"/>
        <rFont val="Arial"/>
        <family val="2"/>
        <charset val="204"/>
      </rPr>
      <t>316-L</t>
    </r>
  </si>
  <si>
    <r>
      <t xml:space="preserve">Круг  10 мм  -  1,9-2,2м    калиброваный             </t>
    </r>
    <r>
      <rPr>
        <b/>
        <sz val="10"/>
        <rFont val="Arial"/>
        <family val="2"/>
        <charset val="204"/>
      </rPr>
      <t>ЭИ-268</t>
    </r>
  </si>
  <si>
    <t>Труба  18 х 2,0   -  2,18м(1кг) - 1шт</t>
  </si>
  <si>
    <t xml:space="preserve">Круг   80 мм -  0,8м(36кг); 0,67м(29,3кг)  по 1шт     </t>
  </si>
  <si>
    <t xml:space="preserve">Круг   46 мм -  0,13м(2,1кг) - 1шт </t>
  </si>
  <si>
    <t>Проволока   ф 1,0мм  - 12,5кг   -  1 катушка, пластиковая, в коробке</t>
  </si>
  <si>
    <t>ПАНЧ-11</t>
  </si>
  <si>
    <r>
      <t xml:space="preserve">Шестигранник №14  -  0,81+0,91+1м=3,5кг    клеймо             </t>
    </r>
    <r>
      <rPr>
        <b/>
        <sz val="10"/>
        <rFont val="Arial"/>
        <family val="2"/>
        <charset val="204"/>
      </rPr>
      <t xml:space="preserve"> ЭП-56</t>
    </r>
  </si>
  <si>
    <r>
      <t xml:space="preserve">Шестигранник №19  -  1,6-1,9м                     </t>
    </r>
    <r>
      <rPr>
        <b/>
        <sz val="10"/>
        <rFont val="Arial"/>
        <family val="2"/>
        <charset val="204"/>
      </rPr>
      <t>ЭП-56</t>
    </r>
  </si>
  <si>
    <t xml:space="preserve">07Х16Н6ш </t>
  </si>
  <si>
    <t>Проволока   ф 1,6мм  - 1,6; 2,1; 1,4кг по 1-й  бухте    птв</t>
  </si>
  <si>
    <t>Труба  60 х 2,5  -  2,28+2,78+2,52м=27,5кг</t>
  </si>
  <si>
    <t>Лента латунная 0,4х300 мм - 9,3кг - 1 рулон   птв</t>
  </si>
  <si>
    <t xml:space="preserve">Шестигранник №27  -  1м(9,7кг) - 2шт </t>
  </si>
  <si>
    <r>
      <t xml:space="preserve">Труба  20 х 3,0    -   2,37м(3,1кг) - 1шт                                              </t>
    </r>
    <r>
      <rPr>
        <b/>
        <sz val="10"/>
        <rFont val="Arial"/>
        <family val="2"/>
        <charset val="204"/>
      </rPr>
      <t xml:space="preserve">    ЭП-864</t>
    </r>
  </si>
  <si>
    <t xml:space="preserve">Полоса        2х20мм    бухты  10,2кг; 15,6; 31,5кг; 22,3кг по  1шт   </t>
  </si>
  <si>
    <r>
      <t xml:space="preserve">Круг  20 мм  -  1,25м(3,3кг)  -  1шт        </t>
    </r>
    <r>
      <rPr>
        <b/>
        <sz val="10"/>
        <rFont val="Arial"/>
        <family val="2"/>
        <charset val="204"/>
      </rPr>
      <t xml:space="preserve"> ЭИ-437</t>
    </r>
  </si>
  <si>
    <t xml:space="preserve">Круг  80 мм -  1,27м(29,8+29,4кг); 1,29м(29,8кг); 1,03м(24,3кг); 0,36м(8,6кг); 0,94м(22,3кг клеймо) по 1шт клеймо  </t>
  </si>
  <si>
    <t xml:space="preserve">Проволока   3мм  -  11,2кг; 10кг; 3кг; 3,3кг; 1,4кг  по 1-й бухте  </t>
  </si>
  <si>
    <t xml:space="preserve">Труба  33 х 2,5  -  1,08-1,17м(39,4кг) </t>
  </si>
  <si>
    <t>Труба  35 х 2,5  -  1,18-1,25м</t>
  </si>
  <si>
    <t xml:space="preserve">Круг  35"-" мм -  2,05м(15,7кг); 1,86м(14,3кг) по 1шт   </t>
  </si>
  <si>
    <t xml:space="preserve">Труба  64 х 16,0   -  1,74м - 1шт            </t>
  </si>
  <si>
    <t>Лист  6 мм   -  0,6х0,8м(23кг без угла 20х30мм) - 1шт</t>
  </si>
  <si>
    <t>Лента бронзовая - 0,3х250мм  -  19,9кг - 1 бухта    мягкая</t>
  </si>
  <si>
    <t>Лист латунный 25 мм - полоса 80х310мм(5,5кг) - 1шт</t>
  </si>
  <si>
    <t xml:space="preserve">Круг  100 мм - 0,18м(13,7кг) - 1шт   </t>
  </si>
  <si>
    <t xml:space="preserve">Лист  20 мм -  0,5х0,8м(64кг) - 1шт                  </t>
  </si>
  <si>
    <t>Круг   22 мм  -  1,93-2,3м(39,1кг)   клейма</t>
  </si>
  <si>
    <t>Круг   22 мм  -  1,75-2,4м(38кг)    клейма</t>
  </si>
  <si>
    <r>
      <t xml:space="preserve">Труба  114 х 15-16 -  2,06м(83,4кг); 1,93м(77,5кг) по 1шт      </t>
    </r>
    <r>
      <rPr>
        <b/>
        <sz val="10"/>
        <rFont val="Arial"/>
        <family val="2"/>
        <charset val="204"/>
      </rPr>
      <t xml:space="preserve">  316-L  </t>
    </r>
  </si>
  <si>
    <t xml:space="preserve">Круг  44 мм  -  0,29; 0,31м - 3шт  н\о </t>
  </si>
  <si>
    <r>
      <t xml:space="preserve">Труба  57 х 3"+"  -   2,34м(10,2кг) - 1шт                     </t>
    </r>
    <r>
      <rPr>
        <b/>
        <sz val="10"/>
        <rFont val="Arial"/>
        <family val="2"/>
        <charset val="204"/>
      </rPr>
      <t>ЭИ-943</t>
    </r>
  </si>
  <si>
    <t>Круг  25 мм  - 2,5-3,1м(отрезали куски 1; 0,42м)  н\о</t>
  </si>
  <si>
    <r>
      <t xml:space="preserve">Труба  89 х 2"+"  -  3,14м(15,6кг) - 1шт       </t>
    </r>
    <r>
      <rPr>
        <b/>
        <sz val="10"/>
        <rFont val="Arial"/>
        <family val="2"/>
        <charset val="204"/>
      </rPr>
      <t>316-Ti</t>
    </r>
  </si>
  <si>
    <t xml:space="preserve">Труба  89 х 3,0  -  2,44м(14,8кг) - 1шт     </t>
  </si>
  <si>
    <r>
      <t xml:space="preserve">Труба  16 х 1,5  -  2,1-3,4м               </t>
    </r>
    <r>
      <rPr>
        <b/>
        <sz val="10"/>
        <rFont val="Arial"/>
        <family val="2"/>
        <charset val="204"/>
      </rPr>
      <t>316-L</t>
    </r>
  </si>
  <si>
    <r>
      <t xml:space="preserve">Труба  20 х 2"-"   -  3м(18,6кг)    </t>
    </r>
    <r>
      <rPr>
        <b/>
        <sz val="10"/>
        <rFont val="Arial"/>
        <family val="2"/>
        <charset val="204"/>
      </rPr>
      <t xml:space="preserve"> 316-Ti</t>
    </r>
  </si>
  <si>
    <r>
      <t xml:space="preserve">Труба  20 х 2,0   -  1,94+1,98м=3,5кг            </t>
    </r>
    <r>
      <rPr>
        <b/>
        <sz val="10"/>
        <rFont val="Arial"/>
        <family val="2"/>
        <charset val="204"/>
      </rPr>
      <t xml:space="preserve"> 316-L</t>
    </r>
  </si>
  <si>
    <t xml:space="preserve">Труба  21 х 2,5  -  2,78м(9,8кг) - 3шт          </t>
  </si>
  <si>
    <r>
      <t xml:space="preserve">Труба  22 х 1,5  -   4,2+4,37м=6,4кг    </t>
    </r>
    <r>
      <rPr>
        <b/>
        <sz val="10"/>
        <rFont val="Arial"/>
        <family val="2"/>
        <charset val="204"/>
      </rPr>
      <t>316-Ti</t>
    </r>
  </si>
  <si>
    <t xml:space="preserve">Лента бронзовая - 0,4х250мм  - 8,6кг - 1 бухта  мягкая </t>
  </si>
  <si>
    <r>
      <t xml:space="preserve">Лист  70 мм - 0,46х1м(или можно резать на куски 460х480 и 550х510мм) - 1шт   н\о клеймо   </t>
    </r>
    <r>
      <rPr>
        <b/>
        <sz val="10"/>
        <rFont val="Arial"/>
        <family val="2"/>
        <charset val="204"/>
      </rPr>
      <t>склад 2</t>
    </r>
  </si>
  <si>
    <r>
      <t xml:space="preserve">Круг  30 мм - 0,6-0,7м(21,5кг клеймо от 1шт резал 0,22м); 0,62м(3,5кг);  0,78м(4,3кг); 0,42м(2,4кг) (клеймо)          </t>
    </r>
    <r>
      <rPr>
        <b/>
        <sz val="10"/>
        <rFont val="Arial"/>
        <family val="2"/>
        <charset val="204"/>
      </rPr>
      <t xml:space="preserve">ЭИ-437     </t>
    </r>
    <r>
      <rPr>
        <b/>
        <sz val="8.5"/>
        <rFont val="Arial"/>
        <family val="2"/>
        <charset val="204"/>
      </rPr>
      <t xml:space="preserve">                               </t>
    </r>
  </si>
  <si>
    <r>
      <t xml:space="preserve">Круг  53-55 мм  -  0,21м(4,3кг) - 1шт  </t>
    </r>
    <r>
      <rPr>
        <b/>
        <sz val="10"/>
        <rFont val="Arial"/>
        <family val="2"/>
        <charset val="204"/>
      </rPr>
      <t xml:space="preserve">  ЭП-367</t>
    </r>
  </si>
  <si>
    <r>
      <t xml:space="preserve">Труба  168 х 17,0  -   2,7+1,7м=287кг            </t>
    </r>
    <r>
      <rPr>
        <b/>
        <sz val="10"/>
        <rFont val="Arial"/>
        <family val="2"/>
        <charset val="204"/>
      </rPr>
      <t>склад 6</t>
    </r>
  </si>
  <si>
    <t xml:space="preserve">Круг  77 мм  -  0,23м(8,9кг) - 1шт   </t>
  </si>
  <si>
    <r>
      <t xml:space="preserve">Круг  12 мм  -  1,5-2,4м(56кг)     калиброваный        </t>
    </r>
    <r>
      <rPr>
        <b/>
        <sz val="10"/>
        <rFont val="Arial"/>
        <family val="2"/>
        <charset val="204"/>
      </rPr>
      <t>ЭИ-435</t>
    </r>
  </si>
  <si>
    <t xml:space="preserve">Круг  65мм  -  1,8м(27,7кг) - 1шт </t>
  </si>
  <si>
    <t>Круг никель ф90мм  -  0,86м(47,6кг); 0,81м(45кг) по 1шт  клейма</t>
  </si>
  <si>
    <t>Круг   90(89) мм - 0,39м(по 21кг) - 2шт</t>
  </si>
  <si>
    <t>Круг  44 мм  - 2,32м(9,8кг); 3,23м(13,5кг) по 1шт</t>
  </si>
  <si>
    <t>Лента медная рулон  0,1х80мм - 9,2кг - 1шт   птв</t>
  </si>
  <si>
    <t>Круг  80 мм -   0,83м(34,8кг) - 1шт</t>
  </si>
  <si>
    <r>
      <t xml:space="preserve">Труба  38 х 2,5 -  1,4+1,49м=6,8кг           </t>
    </r>
    <r>
      <rPr>
        <b/>
        <sz val="10"/>
        <rFont val="Arial"/>
        <family val="2"/>
        <charset val="204"/>
      </rPr>
      <t>ЭИ-435</t>
    </r>
  </si>
  <si>
    <r>
      <t xml:space="preserve">Труба  32 х 2,5 -  2,29м(4,5кг); 1,47м(3кг) по 1шт           </t>
    </r>
    <r>
      <rPr>
        <b/>
        <sz val="10"/>
        <rFont val="Arial"/>
        <family val="2"/>
        <charset val="204"/>
      </rPr>
      <t>ЭИ-435</t>
    </r>
  </si>
  <si>
    <t xml:space="preserve">Круг  105 мм  -  0,38м(26,2кг клеймо) - 1шт      </t>
  </si>
  <si>
    <t xml:space="preserve">Круг   65 мм -  0,2м(5,7кг); 0,25м(5,8кг); 0,32м(9кг)  по 1шт  </t>
  </si>
  <si>
    <t>Круг   39 мм -  0,32м(3кг) - 1шт, есть небольшая коррозия скраю, в чистоте выйдет ф36мм</t>
  </si>
  <si>
    <r>
      <t xml:space="preserve">Труба  57 х 4,5  - 2м(12кг) - 1шт                     </t>
    </r>
    <r>
      <rPr>
        <b/>
        <sz val="10"/>
        <rFont val="Arial"/>
        <family val="2"/>
        <charset val="204"/>
      </rPr>
      <t>ЭИ-943</t>
    </r>
  </si>
  <si>
    <t>Круг  33 мм  - 0,57м(1,4кг) - 1шт</t>
  </si>
  <si>
    <t xml:space="preserve">Труба  171 х 27 -   0,26м(27,2кг) - 1шт                      </t>
  </si>
  <si>
    <r>
      <t>Труба  325 х 13-14 - 1,01м(105кг)  - 1шт</t>
    </r>
    <r>
      <rPr>
        <b/>
        <sz val="10"/>
        <rFont val="Arial"/>
        <family val="2"/>
        <charset val="204"/>
      </rPr>
      <t xml:space="preserve">             склад 2</t>
    </r>
  </si>
  <si>
    <r>
      <t>Труба  325 х 15-15,5 - 2,53м - 1шт</t>
    </r>
    <r>
      <rPr>
        <b/>
        <sz val="10"/>
        <rFont val="Arial"/>
        <family val="2"/>
        <charset val="204"/>
      </rPr>
      <t xml:space="preserve">             склад 2</t>
    </r>
  </si>
  <si>
    <t xml:space="preserve">Труба  65 х 10   -  1,45м(11,3кг) - 1шт </t>
  </si>
  <si>
    <t xml:space="preserve">Труба  226 х 23 -  130мм(17,8кг) - 1шт </t>
  </si>
  <si>
    <t xml:space="preserve">Труба  182 х 22 -   0,11м(9,4кг) - 1шт                      </t>
  </si>
  <si>
    <r>
      <t xml:space="preserve">Круг  36 мм -   2,8-3,2м                        </t>
    </r>
    <r>
      <rPr>
        <b/>
        <sz val="10"/>
        <rFont val="Arial"/>
        <family val="2"/>
        <charset val="204"/>
      </rPr>
      <t xml:space="preserve">ЭИ-961ш       </t>
    </r>
  </si>
  <si>
    <t>Проволока   0,36мм  -  11,9; 10,4кг по 1-й катушке,  железные</t>
  </si>
  <si>
    <t>Труба  40 х 3,0   -                                                         (6м(16кг) - 1шт     найти!!!!!!!!!)</t>
  </si>
  <si>
    <r>
      <t xml:space="preserve">Труба  48 х 3,5     -  2,4м(9,3кг) - 1шт                    </t>
    </r>
    <r>
      <rPr>
        <b/>
        <sz val="10"/>
        <rFont val="Arial"/>
        <family val="2"/>
        <charset val="204"/>
      </rPr>
      <t>ЭИ-943</t>
    </r>
  </si>
  <si>
    <r>
      <t xml:space="preserve">Труба  50 х 2,5  -  2,77м(8,8кг) - 1шт           </t>
    </r>
    <r>
      <rPr>
        <b/>
        <sz val="10"/>
        <rFont val="Arial"/>
        <family val="2"/>
        <charset val="204"/>
      </rPr>
      <t>ЭИ-435</t>
    </r>
  </si>
  <si>
    <t>Круг  35 мм - 1,08м+1,22м(2шт)=15,2кг; 1,51м(13,4кг) - 2шт маркированы</t>
  </si>
  <si>
    <t>Лента медная рулон  0,04х230мм - 27,5кг - 1шт       твердая</t>
  </si>
  <si>
    <t>Круг  25 мм  -   0,42м(0,9кг) - 1шт</t>
  </si>
  <si>
    <t xml:space="preserve">Круг  24 мм  - 1,74-1,8м </t>
  </si>
  <si>
    <t xml:space="preserve">Круг  120 мм -  1,66м(83,5кг клеймо); 0,51м(26кг); 0,24м(12,4кг) по 1шт </t>
  </si>
  <si>
    <t>Круг  93 мм -  0,31м(17,7кг н\о) - 1шт</t>
  </si>
  <si>
    <t>Круг  90 мм -  1,21м(61,5кг); 1,16м(56,5кг тесаный) по 1шт</t>
  </si>
  <si>
    <t>Квадрат  50х50мм - 0,68; 0,76; 0,81м по 1шт   н\о</t>
  </si>
  <si>
    <r>
      <t xml:space="preserve">Круг  14 мм  -   0,9-1,8м(48,8кг)               </t>
    </r>
    <r>
      <rPr>
        <b/>
        <sz val="10"/>
        <rFont val="Arial"/>
        <family val="2"/>
        <charset val="204"/>
      </rPr>
      <t>ЭИ-435</t>
    </r>
  </si>
  <si>
    <r>
      <t xml:space="preserve">Труба  20 х 2,0   -  5,6-6,4м(56кг); 6,2-6,7м(18кг); 2,8-3,2м(10,9кг); 2,16+2,2м=3,8кг   </t>
    </r>
    <r>
      <rPr>
        <b/>
        <sz val="10"/>
        <rFont val="Arial"/>
        <family val="2"/>
        <charset val="204"/>
      </rPr>
      <t xml:space="preserve"> 316-Ti</t>
    </r>
  </si>
  <si>
    <t xml:space="preserve">Круг  180 мм  -   85мм(17,6кг) - 1шт    </t>
  </si>
  <si>
    <t>Лента бронзовая - 0,25х180мм  -  1 бухта  38,8кг   твердая</t>
  </si>
  <si>
    <t xml:space="preserve">Труба  152 х 6-7 - 2,47м(59,5кг) - 1шт  </t>
  </si>
  <si>
    <t xml:space="preserve">Лист  3,0 мм - 1х2,05м(47,4кг) - 1шт   </t>
  </si>
  <si>
    <t xml:space="preserve">Труба  133 х 31 -   90мм(7,3кг); 100мм(8кг) по 1шт                </t>
  </si>
  <si>
    <t>Труба  73 х 9,0   -  0,57м(8кг) - 1шт</t>
  </si>
  <si>
    <t>Труба  73 х 7,0   -  0,48м(5,5кг); 0,79м(8,5кг) по 1шт</t>
  </si>
  <si>
    <t>Труба  73 х 8-9   -  0,57м(7,6кг) - 1шт</t>
  </si>
  <si>
    <r>
      <t xml:space="preserve">Труба  35 х 3,0  -  0,97-1,07м(52,1кг); 1,18-1,2м(49кг)        </t>
    </r>
    <r>
      <rPr>
        <b/>
        <sz val="10"/>
        <rFont val="Arial"/>
        <family val="2"/>
        <charset val="204"/>
      </rPr>
      <t>316-Ti</t>
    </r>
  </si>
  <si>
    <t>Проволока  5,0 мм    -   4кг - 1 бухта</t>
  </si>
  <si>
    <t>Труба  45 х 3,5  -  2-2,8м(66кг)</t>
  </si>
  <si>
    <t>Круг  70 мм - 0,52м(11,4кг); 0,46м(10,8кг); 0,53м(11,8кг) по 1шт  кованые, в чистоте ф70мм</t>
  </si>
  <si>
    <t>Круг  75 мм  -  0,5м(11,8кг); 0,5м(12,4кг)  по 1шт  кованые, в чистоте ф75мм</t>
  </si>
  <si>
    <t>Круг   15 мм  -  0,95м(1,3кг); 0,53м(0,8кг) по 1шт</t>
  </si>
  <si>
    <t>Круг  48(47)мм  -  2,23м(32кг клеймо) - 1шт</t>
  </si>
  <si>
    <t>Круг  44 мм  -  0,88м(11кг н\о) - 1шт</t>
  </si>
  <si>
    <t xml:space="preserve">Круг   58 мм -  0,79м(18,8кг)  - 1шт                       0,38м(9кг не  нашли!!!!) </t>
  </si>
  <si>
    <r>
      <t>Труба  76 х 4,5  -  1,58м(13кг) - 1шт</t>
    </r>
    <r>
      <rPr>
        <b/>
        <sz val="10"/>
        <rFont val="Arial"/>
        <family val="2"/>
        <charset val="204"/>
      </rPr>
      <t xml:space="preserve">  </t>
    </r>
  </si>
  <si>
    <t xml:space="preserve">Круг   110 мм - 0,24м(17,8кг); 0,26м(19,8+20+19,8+19,8кг); 0,22м(18,2кг)  по 1шт  </t>
  </si>
  <si>
    <t>Круг   180 мм -  30мм(6,5кг) - 1шт</t>
  </si>
  <si>
    <r>
      <t xml:space="preserve">Труба  108(107) х 22 -  0,93м(44,2кг) - 1шт   </t>
    </r>
    <r>
      <rPr>
        <b/>
        <sz val="10"/>
        <rFont val="Arial"/>
        <family val="2"/>
        <charset val="204"/>
      </rPr>
      <t xml:space="preserve">   </t>
    </r>
    <r>
      <rPr>
        <b/>
        <sz val="8.3000000000000007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 xml:space="preserve"> 316-L </t>
    </r>
    <r>
      <rPr>
        <b/>
        <sz val="8.3000000000000007"/>
        <rFont val="Arial"/>
        <family val="2"/>
        <charset val="204"/>
      </rPr>
      <t xml:space="preserve">       </t>
    </r>
    <r>
      <rPr>
        <b/>
        <sz val="10"/>
        <rFont val="Arial"/>
        <family val="2"/>
        <charset val="204"/>
      </rPr>
      <t xml:space="preserve"> </t>
    </r>
  </si>
  <si>
    <r>
      <t xml:space="preserve">Квадрат  25х25мм - 6,03-6,05м(147,4кг) - 5шт; 4,95+6,04м=53,5кг                 </t>
    </r>
    <r>
      <rPr>
        <b/>
        <sz val="10"/>
        <rFont val="Arial"/>
        <family val="2"/>
        <charset val="204"/>
      </rPr>
      <t xml:space="preserve">        </t>
    </r>
  </si>
  <si>
    <t>Проволока   ф 0,9мм  - 14,7; 5,7кг по 1-й  бухте   птв</t>
  </si>
  <si>
    <t xml:space="preserve">Труба  23 х 3,5  -  3,68-3,71м(отрезали куски 1,8; 1м) </t>
  </si>
  <si>
    <t xml:space="preserve">Круг  90 мм -  0,22м(6,5кг) - 1шт   </t>
  </si>
  <si>
    <t xml:space="preserve">Труба  18 х 1,5  -  1,67м(0,6кг) - 1шт </t>
  </si>
  <si>
    <t xml:space="preserve">Труба  76 х 2,0  -  1,6м(3,1кг) - 1шт </t>
  </si>
  <si>
    <t xml:space="preserve">Труба  89 х 2,5-3  -  1,9м(6,3кг) - 1шт </t>
  </si>
  <si>
    <r>
      <t xml:space="preserve">Круг  56(55) мм  -  1,34; 1,34; 1,45; 1,46; 1,45; 1,52; 1,46; 1,55; 1,51; 1,46м по 1шт  клеймо      </t>
    </r>
    <r>
      <rPr>
        <b/>
        <sz val="10"/>
        <rFont val="Arial"/>
        <family val="2"/>
        <charset val="204"/>
      </rPr>
      <t>ЭП-56</t>
    </r>
  </si>
  <si>
    <t xml:space="preserve">Лента бронзовая - 0,18х250мм  -  6,8; 7,4кг по 1-й бухте    мягкая  </t>
  </si>
  <si>
    <t>Круг  150 мм -  0,43м(35кг) - 1шт</t>
  </si>
  <si>
    <t xml:space="preserve">Лента бронзовая - 0,4х285мм  - 19,2кг - 1 бухта  твердая </t>
  </si>
  <si>
    <t xml:space="preserve">Круг  45 мм  -  2,04м(25кг клеймо); 0,86м(51,7кг) </t>
  </si>
  <si>
    <t>Проволока  1,2 мм - 6,6кг+22,2+2,4+28,3+2,2+6,3кг    константант</t>
  </si>
  <si>
    <t>Труба  57 х 5-5,5 -  3,25м(20,5кг); 3,39м(23,5кг) по 1шт</t>
  </si>
  <si>
    <t>Круг  7,5 мм -  2,45-2,5м</t>
  </si>
  <si>
    <t>Круг  8,75 мм -  2,45-2,55м</t>
  </si>
  <si>
    <r>
      <t xml:space="preserve">Круг  45 мм  -  0,84м(10,2кг) - 1шт   </t>
    </r>
    <r>
      <rPr>
        <b/>
        <sz val="10"/>
        <rFont val="Arial"/>
        <family val="2"/>
        <charset val="204"/>
      </rPr>
      <t xml:space="preserve"> </t>
    </r>
  </si>
  <si>
    <t>Лента 1,2х119мм  -  53,2кг -  1 рулон</t>
  </si>
  <si>
    <t>Лента 2х200мм  -  25,9кг -  1 рулон      твердая</t>
  </si>
  <si>
    <t>Проволока  0,18 мм  -  2,7кг - 20шт     алюмин катушки,  мягкая</t>
  </si>
  <si>
    <t xml:space="preserve">Труба  125 х 28  -  0,29м(20,3кг) - 1шт                      </t>
  </si>
  <si>
    <t>Проволока ф3мм  -  42,7кг  - 1 бухта</t>
  </si>
  <si>
    <t>Проволока   0,8мм    -   7,9; 3,1; 4,4кг  по 1-й  бухте</t>
  </si>
  <si>
    <t>Круг   14 мм  -  0,64-1,3м(38,6кг)</t>
  </si>
  <si>
    <t xml:space="preserve">Круг   10 мм  -  0,48-0,8м(62,5кг) </t>
  </si>
  <si>
    <t xml:space="preserve">Круг   12 мм  -  0,6-1,4м </t>
  </si>
  <si>
    <t>Лента бронзовая - 0,15х115мм  -  8,1; 4,4кг по 1-й бухте   средней твердости</t>
  </si>
  <si>
    <t xml:space="preserve">Круг  210мм  -   0,16м(45,5кг клеймо) - 1шт                           </t>
  </si>
  <si>
    <r>
      <t xml:space="preserve">Труба  108 х 5-5,5 - 1,98м(27,7кг); 2,37м(31,8кг); 2,09; 2,09; 1,8; 1,94; 2,09; 2,19; 2,02м по 1шт  </t>
    </r>
    <r>
      <rPr>
        <b/>
        <sz val="10"/>
        <rFont val="Arial"/>
        <family val="2"/>
        <charset val="204"/>
      </rPr>
      <t>склад 6</t>
    </r>
  </si>
  <si>
    <t>Труба  80х7,5  - 1,09м(15,3кг) - 1шт</t>
  </si>
  <si>
    <r>
      <t xml:space="preserve">Круг  50 мм  -  2,5-3,06м  все клеймо  н\о          </t>
    </r>
    <r>
      <rPr>
        <b/>
        <sz val="10"/>
        <rFont val="Arial"/>
        <family val="2"/>
        <charset val="204"/>
      </rPr>
      <t>склад 6</t>
    </r>
  </si>
  <si>
    <t xml:space="preserve">Круг  14 мм  - 2,18м(0,9кг) - 1шт </t>
  </si>
  <si>
    <t xml:space="preserve">Труба  182 х 17 -   0,15м(11,2кг) - 1шт                      </t>
  </si>
  <si>
    <t>Круг   41 мм -  0,14м(1,5кг) - 1шт</t>
  </si>
  <si>
    <t>Круг   27 мм -  0,16м(0,7кг) - 1шт</t>
  </si>
  <si>
    <t>Круг  20 мм  -  2,4-3,6м(основная масса 3,2-3,6м клейма)</t>
  </si>
  <si>
    <r>
      <t xml:space="preserve">Круг  510 мм  -  0,235м(390кг) - 1шт                        </t>
    </r>
    <r>
      <rPr>
        <b/>
        <sz val="10"/>
        <rFont val="Arial"/>
        <family val="2"/>
        <charset val="204"/>
      </rPr>
      <t>склад 6</t>
    </r>
  </si>
  <si>
    <t>Круг  20-21 мм  -  0,99м(1,5кг) - 1шт</t>
  </si>
  <si>
    <t xml:space="preserve">Труба  45 х 3,0  -  2,55м(8,8кг) - 1шт </t>
  </si>
  <si>
    <r>
      <t xml:space="preserve">Труба  85 х 5,0  -  1,86м(по 18,2кг) - 2шт            </t>
    </r>
    <r>
      <rPr>
        <b/>
        <sz val="10"/>
        <rFont val="Arial"/>
        <family val="2"/>
        <charset val="204"/>
      </rPr>
      <t>ЭИ-943</t>
    </r>
  </si>
  <si>
    <r>
      <t xml:space="preserve">Труба  85 х 4,0  -  2,93м(23,3кг) -  1шт                      </t>
    </r>
    <r>
      <rPr>
        <b/>
        <sz val="10"/>
        <rFont val="Arial"/>
        <family val="2"/>
        <charset val="204"/>
      </rPr>
      <t>ЭИ-943</t>
    </r>
  </si>
  <si>
    <t>Труба  121 х 7-8  -  1,99м(42кг клеймо, н\о) - 1шт</t>
  </si>
  <si>
    <r>
      <t xml:space="preserve">Труба  114 х 13-17 - 1,67м(62,8кг) - 1шт </t>
    </r>
    <r>
      <rPr>
        <b/>
        <sz val="10"/>
        <rFont val="Arial"/>
        <family val="2"/>
        <charset val="204"/>
      </rPr>
      <t xml:space="preserve"> </t>
    </r>
  </si>
  <si>
    <r>
      <t>Труба  219 х 8,0  - 1,09м(47кг) - 1шт</t>
    </r>
    <r>
      <rPr>
        <b/>
        <sz val="10"/>
        <rFont val="Arial"/>
        <family val="2"/>
        <charset val="204"/>
      </rPr>
      <t xml:space="preserve">           </t>
    </r>
  </si>
  <si>
    <t>Проволока   0,3мм  - 7,2кг - 1 катушка  алюминиевая</t>
  </si>
  <si>
    <t>Проволока   0,4мм  - 5,6кг - 1 катушка  алюминиевая</t>
  </si>
  <si>
    <t xml:space="preserve">Лист  5 мм -   0,9х1,06м(39,2кг) - 1шт      </t>
  </si>
  <si>
    <t>Круг   90 мм - 0,25м(13,4кг) - 1шт</t>
  </si>
  <si>
    <t>Круг   22 мм  -  0,46+0,5м=2,7кг</t>
  </si>
  <si>
    <t xml:space="preserve">Труба  152 х 6,0  -  2,15м(47,3кг) по 1шт  </t>
  </si>
  <si>
    <t xml:space="preserve">Труба  171 х 33 -   100мм(по 11,8кг) - 2шт                      </t>
  </si>
  <si>
    <r>
      <t xml:space="preserve">Труба  60 х 2,0  - 2,54м(7,6кг)  - 1шт         </t>
    </r>
    <r>
      <rPr>
        <b/>
        <sz val="10"/>
        <rFont val="Arial"/>
        <family val="2"/>
        <charset val="204"/>
      </rPr>
      <t xml:space="preserve"> 316-Ti</t>
    </r>
  </si>
  <si>
    <t>Проволока   4,5 мм  -  14,6; 26,7кг - 1 бухта</t>
  </si>
  <si>
    <r>
      <t xml:space="preserve">Шестигранник №32  -  1,2м(16,6кг) - 2шт </t>
    </r>
    <r>
      <rPr>
        <b/>
        <sz val="10"/>
        <rFont val="Arial"/>
        <family val="2"/>
        <charset val="204"/>
      </rPr>
      <t xml:space="preserve">     ЭП-33вд</t>
    </r>
  </si>
  <si>
    <t xml:space="preserve">Труба  225 х 23 -  120мм(15,7+15,2кг) по 1шт </t>
  </si>
  <si>
    <t xml:space="preserve">Труба  214 х 21 -  120мм(14кг) - 1шт </t>
  </si>
  <si>
    <t xml:space="preserve">Труба  203 х 25 -  130мм(14,8кг) - 1шт </t>
  </si>
  <si>
    <t xml:space="preserve">Труба  171 х 21 -  140мм(12,1+12,1кг) по 1шт </t>
  </si>
  <si>
    <r>
      <t xml:space="preserve">Труба  219 х 9,5-10  -  1,9м(95кг); 1,86м(93кг) по  1шт      </t>
    </r>
    <r>
      <rPr>
        <b/>
        <sz val="10"/>
        <rFont val="Arial"/>
        <family val="2"/>
        <charset val="204"/>
      </rPr>
      <t>склад 6</t>
    </r>
  </si>
  <si>
    <r>
      <t xml:space="preserve">Труба  20 х 2,0   -  3,3+6,3м=8,5кг; 2,6-3,4м(52,4кг); 1,5м(1,4кг) - 1шт            </t>
    </r>
    <r>
      <rPr>
        <b/>
        <sz val="10"/>
        <rFont val="Arial"/>
        <family val="2"/>
        <charset val="204"/>
      </rPr>
      <t xml:space="preserve"> 316-L</t>
    </r>
  </si>
  <si>
    <t xml:space="preserve">Труба  182 х 17 -   0,18м(12,8кг) - 1шт                      </t>
  </si>
  <si>
    <t xml:space="preserve">Труба  133 х 31 -   0,12м(10,2кг) - 1шт                      </t>
  </si>
  <si>
    <r>
      <t xml:space="preserve">Лист  10 мм  -  0,7х1,5м(82,2кг) - 1шт          </t>
    </r>
    <r>
      <rPr>
        <b/>
        <sz val="10"/>
        <rFont val="Arial"/>
        <family val="2"/>
        <charset val="204"/>
      </rPr>
      <t>1.4828</t>
    </r>
    <r>
      <rPr>
        <b/>
        <sz val="8.3000000000000007"/>
        <rFont val="Arial"/>
        <family val="2"/>
        <charset val="204"/>
      </rPr>
      <t xml:space="preserve"> </t>
    </r>
  </si>
  <si>
    <t xml:space="preserve">Круг   34 мм  -  0,29м(2,1кг) - 1шт   </t>
  </si>
  <si>
    <t>Труба  46,5 х 3,5   -  2,43м(8,2кг) - 1шт</t>
  </si>
  <si>
    <t>Труба  89 х 6-6,5  -  2,1м(26,2кг) - 1шт</t>
  </si>
  <si>
    <t>Проволока   ф 4мм -  35,7; 11,7кг; 55,8кг - по 1-й бухте</t>
  </si>
  <si>
    <r>
      <t xml:space="preserve">Труба  8 х 1,0   -  2,6-4,2м               </t>
    </r>
    <r>
      <rPr>
        <b/>
        <sz val="10"/>
        <rFont val="Arial"/>
        <family val="2"/>
        <charset val="204"/>
      </rPr>
      <t>316-Ti</t>
    </r>
  </si>
  <si>
    <t xml:space="preserve">Труба  64 х 2,0    -  1,78м(3,1кг); 2,43м(4,1кг) по  1шт     </t>
  </si>
  <si>
    <t>Проволока   ф 4,0 мм   -  бухты  10,2кг; 26кг по 1шт</t>
  </si>
  <si>
    <t>Круг  46 мм  -  1,67м(21,7кг н\о) - 1шт</t>
  </si>
  <si>
    <t>Труба  32 х 6,0 - 3,08м(11,8кг) - 1шт</t>
  </si>
  <si>
    <t>Труба  30 х 2,0   -  5,16; 7,2м по 1шт</t>
  </si>
  <si>
    <r>
      <t xml:space="preserve">Круг  12 мм  -   2,85-3,1м(32кг от 1шт резали 1м)                                        </t>
    </r>
    <r>
      <rPr>
        <b/>
        <sz val="10"/>
        <rFont val="Arial"/>
        <family val="2"/>
        <charset val="204"/>
      </rPr>
      <t>ЭИ-69</t>
    </r>
  </si>
  <si>
    <t xml:space="preserve">Круг   32 мм  -  1,21м(7,3кг) - 1шт  </t>
  </si>
  <si>
    <r>
      <t xml:space="preserve">Труба  18 х 2,0 -  6,3-6,7м(36,4кг от 1-й отрезали 1м); 4+4,25м(6,7кг)               </t>
    </r>
    <r>
      <rPr>
        <b/>
        <sz val="10"/>
        <rFont val="Arial"/>
        <family val="2"/>
        <charset val="204"/>
      </rPr>
      <t>316-Тi</t>
    </r>
  </si>
  <si>
    <t xml:space="preserve">Труба 84х4  -  5,97м(32,2кг) - 2шт  </t>
  </si>
  <si>
    <t xml:space="preserve">Труба 94х22 -  0,2м(2,7кг) - 1шт  </t>
  </si>
  <si>
    <t xml:space="preserve">Труба 24х2,0 -  1,3м(0,4кг) - 1шт  </t>
  </si>
  <si>
    <t>Труба  42 х 4,0  -   4,33м - 2шт; 3,19; 3м</t>
  </si>
  <si>
    <t xml:space="preserve">Круг  26 мм  -  0,62м(2,5кг) - 1шт  </t>
  </si>
  <si>
    <t>Труба  13,5 х 2,5  -  3-3,5м(10,2кг от 1шт резали 1м)</t>
  </si>
  <si>
    <t>Шина медная - 6х60мм - 13+13кг бухты,  ориентировочная длина 4м</t>
  </si>
  <si>
    <r>
      <t xml:space="preserve">Лист  8 мм -  1,28х1,42м(118кг) - 1шт     </t>
    </r>
    <r>
      <rPr>
        <b/>
        <sz val="10"/>
        <rFont val="Arial"/>
        <family val="2"/>
        <charset val="204"/>
      </rPr>
      <t xml:space="preserve"> </t>
    </r>
  </si>
  <si>
    <t>Труба  25 х 2,0  -  5,98м(7,1кг) - 1шт</t>
  </si>
  <si>
    <t>Труба  60 х 3,5  -  3,24м(16,5кг); 2,32м(10,9кг); 2,37м(11,2кг) по  1шт</t>
  </si>
  <si>
    <t>Труба  45 х 13,0  -  1,23м(12,9кг); 1,21м(12,7кг); 1,17м(12,3кг) по 1шт</t>
  </si>
  <si>
    <t>Круг  50 мм  - 2,24м(33,2кг); 3,08м(45,5кг) по 1шт</t>
  </si>
  <si>
    <r>
      <t xml:space="preserve">Лист  5 мм  -  1х2м(315кг) - 4шт     в пленке             </t>
    </r>
    <r>
      <rPr>
        <b/>
        <sz val="10"/>
        <rFont val="Arial"/>
        <family val="2"/>
        <charset val="204"/>
      </rPr>
      <t>316-L</t>
    </r>
    <r>
      <rPr>
        <b/>
        <sz val="8.5"/>
        <rFont val="Arial"/>
        <family val="2"/>
        <charset val="204"/>
      </rPr>
      <t xml:space="preserve">            </t>
    </r>
    <r>
      <rPr>
        <b/>
        <sz val="10"/>
        <rFont val="Arial"/>
        <family val="2"/>
        <charset val="204"/>
      </rPr>
      <t>склад 7</t>
    </r>
  </si>
  <si>
    <t>Лист  20 мм  -   0,62х0,62м(64кг) - 1шт</t>
  </si>
  <si>
    <t xml:space="preserve">Лента бронзовая - 0,25х250мм  -  7,8кг - 1 бухта    мягкая  </t>
  </si>
  <si>
    <t xml:space="preserve">Круг  50 мм - 0,9м(7,8кг клеймо); 1,47м(13кг); 1,69м(14,8кг); 1,42м(12,7кг); 1,34м(11,2кг); 1,67м(14,8кг); 1,4+1,4м=25кг  по 1шт </t>
  </si>
  <si>
    <t>Круг  55 мм - 1,19м(13кг); 1,2м(13,2кг); 1,09м(12кг)  по 1шт</t>
  </si>
  <si>
    <t xml:space="preserve">Круг  60 мм - 65мм(4,3кг) - 4шт  </t>
  </si>
  <si>
    <t>Круг  60 мм  - 1,02м(13,4кг); 1,14м(14,4кг); 1,07м(14кг); 0,54м(14,3кг) - 2шт</t>
  </si>
  <si>
    <t>Проволока ф2,5мм    - 27,7кг  - 1 бухта  бирка</t>
  </si>
  <si>
    <t>ВТ-2св</t>
  </si>
  <si>
    <t>Труба  45 х 3,0  -  2,97м(9,7кг) - 1шт</t>
  </si>
  <si>
    <r>
      <t xml:space="preserve">Труба  60 х 5,0  -  2+5,01м=49,9кг           </t>
    </r>
    <r>
      <rPr>
        <b/>
        <sz val="10"/>
        <rFont val="Arial"/>
        <family val="2"/>
        <charset val="204"/>
      </rPr>
      <t xml:space="preserve">  316-L</t>
    </r>
  </si>
  <si>
    <r>
      <t xml:space="preserve">Труба  76 х 9-10  -  3,03м(48кг)  - 1шт                       </t>
    </r>
    <r>
      <rPr>
        <b/>
        <sz val="10"/>
        <rFont val="Arial"/>
        <family val="2"/>
        <charset val="204"/>
      </rPr>
      <t>316-Тi</t>
    </r>
  </si>
  <si>
    <t xml:space="preserve">Круг   200 мм  - 0,34м(81,2кг) - 1шт   </t>
  </si>
  <si>
    <t>Труба  34 х 4,5  -  2,59+2,63м=16,6кг; 1,3+1,55м=9,2кг; 1,3м(4,3кг); 0,62м(2кг) по 1шт</t>
  </si>
  <si>
    <t>Круг  88 мм  -  0,94м(54,7кг) - 1шт   (грязный ф100мм - есть зачистки заводские на ф88мм)  отдаем по теорвесу как ф88мм - как 45кг</t>
  </si>
  <si>
    <t xml:space="preserve">Круг  25 мм  -  4,05-4,2м(146,4кг в т.ч. 2,75; 2,95м по 1шт); 1,29м(9,8кг) - 2шт </t>
  </si>
  <si>
    <t>Круг  10 мм  -  6,03м - 1шт</t>
  </si>
  <si>
    <r>
      <t xml:space="preserve">Круг  80 мм  -   2,89; 2,74; 2,72; 2,87м по 1шт  клейма         </t>
    </r>
    <r>
      <rPr>
        <b/>
        <sz val="10"/>
        <rFont val="Arial"/>
        <family val="2"/>
        <charset val="204"/>
      </rPr>
      <t>склад 6</t>
    </r>
  </si>
  <si>
    <t>Труба  33,5 х 5-5,5  -  1,25м(14кг) - 3шт</t>
  </si>
  <si>
    <t xml:space="preserve">Круг   39 мм  -  0,15м(1,3кг) - 1шт   </t>
  </si>
  <si>
    <t>Труба  50х12 мм -  0,15м - 1шт</t>
  </si>
  <si>
    <t xml:space="preserve">Круг   38 мм  -  0,17м(1,8кг)  - 1шт                  </t>
  </si>
  <si>
    <t xml:space="preserve">Труба 38х7,0  -  2м - 3шт; 2,29м - 4шт  </t>
  </si>
  <si>
    <t xml:space="preserve">Труба 45х8,0  -  1,96-2,18м - 7шт </t>
  </si>
  <si>
    <r>
      <t xml:space="preserve">Круг  30 мм  - 1,79м(10,5кг клеймо); 1,29м(7,8кг н\о) по 1шт        </t>
    </r>
    <r>
      <rPr>
        <b/>
        <sz val="10"/>
        <rFont val="Arial"/>
        <family val="2"/>
        <charset val="204"/>
      </rPr>
      <t>ЭИ-435</t>
    </r>
  </si>
  <si>
    <r>
      <rPr>
        <b/>
        <sz val="8"/>
        <rFont val="Arial"/>
        <family val="2"/>
        <charset val="204"/>
      </rPr>
      <t xml:space="preserve">Шестигранник №19 -  0,96-1,3м(17,6кг)        </t>
    </r>
    <r>
      <rPr>
        <b/>
        <sz val="10"/>
        <rFont val="Arial"/>
        <family val="2"/>
        <charset val="204"/>
      </rPr>
      <t>ЭП-33вд</t>
    </r>
  </si>
  <si>
    <t>Проволока   ф 1,6 мм -  30,8кг - 1 бухта, бирка</t>
  </si>
  <si>
    <t xml:space="preserve">Труба  20х2,0  -  5,5-6м </t>
  </si>
  <si>
    <t>08Г35Ю6М2Т</t>
  </si>
  <si>
    <r>
      <t xml:space="preserve">Проволока  5,0 мм  - бухты по 30кг          </t>
    </r>
    <r>
      <rPr>
        <b/>
        <sz val="10"/>
        <rFont val="Arial"/>
        <family val="2"/>
        <charset val="204"/>
      </rPr>
      <t>ЭП-181</t>
    </r>
    <r>
      <rPr>
        <b/>
        <sz val="8.3000000000000007"/>
        <rFont val="Arial"/>
        <family val="2"/>
        <charset val="204"/>
      </rPr>
      <t xml:space="preserve">        склад 7</t>
    </r>
  </si>
  <si>
    <t xml:space="preserve">молибден  </t>
  </si>
  <si>
    <t>Проволока  2,0 мм  -  1,8; 1,4кг по  1-й  бухте</t>
  </si>
  <si>
    <t>Труба  91 х 10-11  -  2,1м(43,3кг) - 1шт</t>
  </si>
  <si>
    <t>Труба  33,5 х 0,8  -  2,63; 2,68м по 1шт</t>
  </si>
  <si>
    <t>Круг  36 мм  -  2,91-3,12м(191кг)</t>
  </si>
  <si>
    <r>
      <t xml:space="preserve">Круг  36 мм -  0,68м(5,3кг) - 1шт      </t>
    </r>
    <r>
      <rPr>
        <b/>
        <sz val="10"/>
        <rFont val="Arial"/>
        <family val="2"/>
        <charset val="204"/>
      </rPr>
      <t>ЭИ-268</t>
    </r>
  </si>
  <si>
    <t xml:space="preserve">Круг  105 мм  - 0,53м(12,5кг) - 1шт    </t>
  </si>
  <si>
    <t xml:space="preserve">Труба 80х7-9 -  2,67м(12,9кг клеймо) - 1шт </t>
  </si>
  <si>
    <t>Труба  57 х 5,0 -  2,99м(19,5кг) - 1шт</t>
  </si>
  <si>
    <t>Труба  57 х 5,0  -  2,17м(13,8кг) - 1шт</t>
  </si>
  <si>
    <t>Круг  60 мм  -  0,64м - 2шт</t>
  </si>
  <si>
    <t>Проволока   8 мм  -  8,3кг; 30,2кг по 1-й бухте</t>
  </si>
  <si>
    <t>Проволока  1,2 мм  -  56,4кг; 2,6кг по 1-й бухте</t>
  </si>
  <si>
    <r>
      <t xml:space="preserve">Лента - 0,1х100мм -   (рулоны 33; 20,6; 9,3; 2,5кг)  твердая        бирка             </t>
    </r>
    <r>
      <rPr>
        <b/>
        <sz val="10"/>
        <rFont val="Arial"/>
        <family val="2"/>
        <charset val="204"/>
      </rPr>
      <t xml:space="preserve"> </t>
    </r>
  </si>
  <si>
    <t>Труба  35 х 5,0  -  0,92м(3,2кг) - 1шт</t>
  </si>
  <si>
    <r>
      <rPr>
        <b/>
        <sz val="8"/>
        <rFont val="Arial"/>
        <family val="2"/>
        <charset val="204"/>
      </rPr>
      <t xml:space="preserve">Шестигранник №17 -  1-1,24м; 1,55м(3кг); 1,14м(2,2кг); 0,33м(0,7кг); 0,32+0,33м=1,3кг       </t>
    </r>
    <r>
      <rPr>
        <b/>
        <sz val="10"/>
        <rFont val="Arial"/>
        <family val="2"/>
        <charset val="204"/>
      </rPr>
      <t>ЭП-33вд</t>
    </r>
  </si>
  <si>
    <r>
      <t xml:space="preserve">Труба  25 х 2,0   -  2,9+3,28м=7,5кг               </t>
    </r>
    <r>
      <rPr>
        <b/>
        <sz val="10"/>
        <rFont val="Arial"/>
        <family val="2"/>
        <charset val="204"/>
      </rPr>
      <t>316-Ti</t>
    </r>
  </si>
  <si>
    <t>Лист  0,8 мм -  0,39х0,5м   матовый, шлифованый в пленке</t>
  </si>
  <si>
    <r>
      <t xml:space="preserve">Лист  12 мм  -  0,31х0,4м(11,8кг) - 1шт              </t>
    </r>
    <r>
      <rPr>
        <b/>
        <sz val="10"/>
        <rFont val="Arial"/>
        <family val="2"/>
        <charset val="204"/>
      </rPr>
      <t>316-L</t>
    </r>
  </si>
  <si>
    <t xml:space="preserve">Лист  15 мм  -  блин ф390мм  14,6кг - 1шт </t>
  </si>
  <si>
    <r>
      <t xml:space="preserve">Круг  53 мм  -  0,25-0,27м(163,6кг н\о)      </t>
    </r>
    <r>
      <rPr>
        <b/>
        <sz val="10"/>
        <rFont val="Arial"/>
        <family val="2"/>
        <charset val="204"/>
      </rPr>
      <t>316-L</t>
    </r>
  </si>
  <si>
    <r>
      <t xml:space="preserve">Круг  80 мм  -   3,41; 3,39; 1,25м по 1шт   все клейма </t>
    </r>
    <r>
      <rPr>
        <b/>
        <sz val="10"/>
        <rFont val="Arial"/>
        <family val="2"/>
        <charset val="204"/>
      </rPr>
      <t xml:space="preserve">    склад 6</t>
    </r>
  </si>
  <si>
    <t>Круг  90 мм  -  2,26м(114кг); 1,45м(73,5кг) по 1шт     н\о</t>
  </si>
  <si>
    <r>
      <t xml:space="preserve">Лента  0,3х200 мм  -   рулон 5кг -  1шт                           </t>
    </r>
    <r>
      <rPr>
        <b/>
        <sz val="10"/>
        <rFont val="Arial"/>
        <family val="2"/>
        <charset val="204"/>
      </rPr>
      <t>ЭП-877</t>
    </r>
  </si>
  <si>
    <t>58НХВКТБЮ</t>
  </si>
  <si>
    <t xml:space="preserve">Лист  5,5 мм -   0,4х1,5м(26,6кг) - 1шт      </t>
  </si>
  <si>
    <t xml:space="preserve">Лист  5 мм -   0,5х0,7м(по 15,6кг) - 2шт      </t>
  </si>
  <si>
    <r>
      <t xml:space="preserve">Шестигранник №30  - 1,08+1,35м=14,5кг; 2,02м(12,2кг); 0,75м(4,6кг) по 1шт    </t>
    </r>
    <r>
      <rPr>
        <b/>
        <sz val="10"/>
        <rFont val="Arial"/>
        <family val="2"/>
        <charset val="204"/>
      </rPr>
      <t xml:space="preserve"> ЭП-33вд</t>
    </r>
  </si>
  <si>
    <t>Проволока  1,0 мм  -  5,9кг - 1 бухта</t>
  </si>
  <si>
    <t>Круг   22 мм  -  0,4м(1,2кг) - 1шт</t>
  </si>
  <si>
    <r>
      <t xml:space="preserve">Круг  37 мм   -  0,5м(4,3кг) - 1шт         </t>
    </r>
    <r>
      <rPr>
        <b/>
        <sz val="10"/>
        <rFont val="Arial"/>
        <family val="2"/>
        <charset val="204"/>
      </rPr>
      <t xml:space="preserve">ЭИ-437 </t>
    </r>
  </si>
  <si>
    <r>
      <t xml:space="preserve">Труба  35 х 7,5  -   1,17м(29кг) - 5шт              </t>
    </r>
    <r>
      <rPr>
        <b/>
        <sz val="10"/>
        <rFont val="Arial"/>
        <family val="2"/>
        <charset val="204"/>
      </rPr>
      <t>316-L</t>
    </r>
  </si>
  <si>
    <t>Шина медная - 6х50мм - 10,8; 10,8кг по 1-й бухте,  ориентировочная длина 4м</t>
  </si>
  <si>
    <t>Шина медная - 6х60мм - 13; 13; 13,2; 13,2кг по 1-й бухте,  ориентировочная длина 4м</t>
  </si>
  <si>
    <t>Шина медная - 6х80мм - 16,8; 16,8кг по 1-й бухте,  ориентировочная длина 4м</t>
  </si>
  <si>
    <t>Круг  45"-" мм -   2,71м(33,7кг н\о) - 1шт</t>
  </si>
  <si>
    <t>АМГ-2М</t>
  </si>
  <si>
    <t>Труба 53х1,5  -  0,87-1,15м(3,8кг)  клеймо</t>
  </si>
  <si>
    <t>Труба 53х1,5  -  1,7; 1,7; 2м по 1шт   клеймо</t>
  </si>
  <si>
    <t>Труба 50х0,8  -  1,5-2,3м(9,8кг)  клеймо</t>
  </si>
  <si>
    <t>Труба 50х1,5  -  1,3+1,18м=1,5кг    клеймо</t>
  </si>
  <si>
    <r>
      <t xml:space="preserve">Круг  60 мм  -  1,12м - 2шт; 0,99м - 1шт         </t>
    </r>
    <r>
      <rPr>
        <b/>
        <sz val="10"/>
        <rFont val="Arial"/>
        <family val="2"/>
        <charset val="204"/>
      </rPr>
      <t>316-L</t>
    </r>
  </si>
  <si>
    <t>Труба  45 х 3,5  -  3,4-4,2м</t>
  </si>
  <si>
    <t>Труба  94 х 8-9   -  1,56м(33,6кг) - 1шт</t>
  </si>
  <si>
    <t>Круг  12 мм -     2,07-2,3м(12кг, в т.ч. 1шт 1,58м, от 1шт резали 0,5м)                    маркирован</t>
  </si>
  <si>
    <t xml:space="preserve">Круг  12 мм -  1,67-2,82м </t>
  </si>
  <si>
    <t xml:space="preserve">Труба  70 х 12   -  0,92м(9,6кг) - 1шт </t>
  </si>
  <si>
    <t>Шестигранник №36мм - 1,73; 1,79; 1,83м по 1шт    клеймо</t>
  </si>
  <si>
    <t>Шестигранник №46мм - 1,76м - 1шт    клеймо</t>
  </si>
  <si>
    <t>Шестигранник №46мм - 1,67; 1,8м по 1шт    клеймо</t>
  </si>
  <si>
    <t>Лист  0,2 мм - 150х150-200мм  и меньше куски   вольфрамовый В-МП</t>
  </si>
  <si>
    <r>
      <t xml:space="preserve">Труба  30 х 3,0   -   1,17-1,2м              </t>
    </r>
    <r>
      <rPr>
        <b/>
        <sz val="10"/>
        <rFont val="Arial"/>
        <family val="2"/>
        <charset val="204"/>
      </rPr>
      <t>316-L</t>
    </r>
  </si>
  <si>
    <t xml:space="preserve">Круг  10 мм  -  3,5-4,5м(66,4кг, от 1шт резали 2м) </t>
  </si>
  <si>
    <t>Круг  90 мм -  1м(50,2кг) - 1шт</t>
  </si>
  <si>
    <t xml:space="preserve">Круг 4мм  -  0,8м(2,6кг)        </t>
  </si>
  <si>
    <r>
      <t xml:space="preserve">Проволока  6,0 мм  -  9,4; 19,6кг; 18кг; 10,2кг; 29кг по 1-й бухте           </t>
    </r>
    <r>
      <rPr>
        <b/>
        <sz val="10"/>
        <rFont val="Arial"/>
        <family val="2"/>
        <charset val="204"/>
      </rPr>
      <t>ЭИ-435</t>
    </r>
  </si>
  <si>
    <t>Анод никель 10мм - 0,2х1,2м(21,3кг) - 1шт</t>
  </si>
  <si>
    <t>Круг  10 мм -   1,8-4,1м(н\о, осн масса 4-4,1м)</t>
  </si>
  <si>
    <t xml:space="preserve">Лента бронзовая - 0,2х120мм  -  24,7кг - 1 бухта    мягкая  </t>
  </si>
  <si>
    <t>Круг   110 мм  -  0,14м(11,1кг) - 1шт</t>
  </si>
  <si>
    <t xml:space="preserve">Лист 5мм -  0,81х0,96м(17,8кг) - 1шт </t>
  </si>
  <si>
    <t xml:space="preserve">Круг  45 мм  -  3,04м(38,2кг); 2,2м(27,7кг) по 1шт  </t>
  </si>
  <si>
    <t>Проволока   ф 4,0 мм   -  бухта 5кг - 1шт</t>
  </si>
  <si>
    <t>Труба  112 х 12,0  -  2,1м(62кг); 2,01м(59,3кг); 1,56м(46,5кг) по 1шт  маркирована</t>
  </si>
  <si>
    <t>10Х19Н11М4Ф</t>
  </si>
  <si>
    <r>
      <t xml:space="preserve">Лист медный 20(19) мм -  0,39х1,36м(92кг) - 1шт  </t>
    </r>
    <r>
      <rPr>
        <b/>
        <sz val="12"/>
        <rFont val="Arial"/>
        <family val="2"/>
        <charset val="204"/>
      </rPr>
      <t xml:space="preserve"> склад 2  режем нужный размер</t>
    </r>
  </si>
  <si>
    <t>Г3</t>
  </si>
  <si>
    <t>Труба 15х1,0 -  2м, + несколько шт короче</t>
  </si>
  <si>
    <r>
      <t xml:space="preserve">Лист  1,0 мм  - 1,5х2,6м(по 30кг) - 5шт      маркированы      </t>
    </r>
    <r>
      <rPr>
        <b/>
        <sz val="10"/>
        <rFont val="Arial"/>
        <family val="2"/>
        <charset val="204"/>
      </rPr>
      <t>316-Тi</t>
    </r>
  </si>
  <si>
    <t xml:space="preserve">Круг   50(49) мм  -  0,93-1,13м; 0,49м - 1шт </t>
  </si>
  <si>
    <t>Проволока  4,51 мм   - 42,7кг - 1 бухта   н\о   пружинная    ВО (бирка)</t>
  </si>
  <si>
    <t>Лист  20 мм  -   0,27х1,2м(52,3кг) - 1шт</t>
  </si>
  <si>
    <t xml:space="preserve">Круг  95 мм  -  0,54м(30,4кг) - 1шт    </t>
  </si>
  <si>
    <t>Круг   35"+" мм -  0,8+0,82м=13,7кг; 1,01+0,79м=15,3кг</t>
  </si>
  <si>
    <t>Круг  150 мм - 1,07м(150,2кг); 1,09м(153,2кг); 0,94м(129кг)  по 1шт  ЭИ-654 клеймо</t>
  </si>
  <si>
    <r>
      <t xml:space="preserve">Круг  20 мм -  0,97-1,8м              </t>
    </r>
    <r>
      <rPr>
        <b/>
        <sz val="10"/>
        <rFont val="Arial"/>
        <family val="2"/>
        <charset val="204"/>
      </rPr>
      <t xml:space="preserve"> ЭП-638ви</t>
    </r>
  </si>
  <si>
    <t xml:space="preserve">Шестигранник №24мм - 2,55м(3,5кг); 2,56+2,66+2,7м=11кг  </t>
  </si>
  <si>
    <t>Круг  36 мм  - 2,77+2,97+3,12м=23,6кг      клеймо</t>
  </si>
  <si>
    <t>Круг  40 мм  - 2,89+3м=19,2кг      клеймо</t>
  </si>
  <si>
    <t>Труба 16х1,0 -  2,95-3м; 1,78+1,98м    цветовая маркировка</t>
  </si>
  <si>
    <t>Труба 22х2,5 -  3,3-3,35м      цветовая маркировка</t>
  </si>
  <si>
    <t>Труба 25х2,5 -  3,5м          цветовая маркировка</t>
  </si>
  <si>
    <t>Труба 30х1,0 -  2,95-3м              цветовая маркировка</t>
  </si>
  <si>
    <t>Труба 35х10 -  3-3,1м + 2,63м           цветовая маркировка</t>
  </si>
  <si>
    <t>Труба 35х10 -  1,1-1,49м            цветовая маркировка</t>
  </si>
  <si>
    <t>Труба 55х8,0 - 2,5м(7кг) - 1шт        цветовая маркировка</t>
  </si>
  <si>
    <t>Круг  16 мм  - 1,3-1,8м      цветовая маркировка</t>
  </si>
  <si>
    <t>Круг  18 мм  - 1,63м - 2шт        цветовая маркировка</t>
  </si>
  <si>
    <t>Круг  35 мм  - 0,9м(2,2кг) - 1шт           цветовая маркировка</t>
  </si>
  <si>
    <t>Полоса        3х25мм   -  40,3кг; 40,3кг  по 1-й бухте</t>
  </si>
  <si>
    <t>Е1</t>
  </si>
  <si>
    <t>Е9</t>
  </si>
  <si>
    <r>
      <t xml:space="preserve">Труба  114 х 16-18 -  1,24м(49кг) - 1шт        </t>
    </r>
    <r>
      <rPr>
        <b/>
        <sz val="10"/>
        <rFont val="Arial"/>
        <family val="2"/>
        <charset val="204"/>
      </rPr>
      <t xml:space="preserve"> </t>
    </r>
  </si>
  <si>
    <t>Лист  45 мм  -  блин     ф480мм(68кг) - 1шт</t>
  </si>
  <si>
    <t>Лист  39 мм  -  блин     ф470мм(по 59,1кг) - 2шт</t>
  </si>
  <si>
    <t>Круг   33 мм  -  0,71м(5,3кг) - 1шт</t>
  </si>
  <si>
    <t xml:space="preserve">Круг  50 мм -  0,3м(4,5кг); 0,29м(4,6кг); 0,27м(4,3кг) по 1шт           </t>
  </si>
  <si>
    <t xml:space="preserve">Труба  168 х 11-12  -   2,06м(95,6кг);  2,5м(108,4кг) по  1шт  </t>
  </si>
  <si>
    <t>Круг  65 мм  -   1,63м(41,5кг) - 1шт</t>
  </si>
  <si>
    <t xml:space="preserve">Круг   85 мм -  0,25м(12,6кг) - 1шт                           </t>
  </si>
  <si>
    <t>Круг  5 мм -  2,5м    калиброванный</t>
  </si>
  <si>
    <t>Круг   18 мм - 3м(72кг в т.ч. 1шт 1м); 1,47-1,5м(39кг); 1-1,5м(17,9кг)                                        (найти 7кг!!!!!)</t>
  </si>
  <si>
    <t>Электрод ф 3 мм   Фрунзе   1 пачка - 2,9кг</t>
  </si>
  <si>
    <t xml:space="preserve">Круг  12 мм  -   0,7-1,4м(4,3кг) </t>
  </si>
  <si>
    <t>Круг   162 мм - 85мм(15,9кг) - 1шт</t>
  </si>
  <si>
    <r>
      <t xml:space="preserve">Труба  76 х 4,0    -  3,37м(24,8кг); 1,82м(13,9кг); 2,83м(20,4кг) по 1шт                 </t>
    </r>
    <r>
      <rPr>
        <b/>
        <sz val="10"/>
        <rFont val="Arial"/>
        <family val="2"/>
        <charset val="204"/>
      </rPr>
      <t>ЭИ-943</t>
    </r>
  </si>
  <si>
    <t>Труба  57 х 3,5 - 3,13; 3,13; 3,17; 3,17; 3,81м по 1шт</t>
  </si>
  <si>
    <t>Е6</t>
  </si>
  <si>
    <t>Е2</t>
  </si>
  <si>
    <t>Проволока   6,5 мм    -  26,7кг - 1 бухта</t>
  </si>
  <si>
    <t xml:space="preserve">Труба  95(94) х 4,5-5 - 2,53м(27кг) - 1шт </t>
  </si>
  <si>
    <t xml:space="preserve">Круг  60 мм - 1м(24,8кг); 0,99м(24,6кг); 0,23+0,27м=12,2кг </t>
  </si>
  <si>
    <r>
      <t xml:space="preserve">Труба  40 х 4,0  -  2,47-2,52м    маркирована       </t>
    </r>
    <r>
      <rPr>
        <b/>
        <sz val="10"/>
        <rFont val="Arial"/>
        <family val="2"/>
        <charset val="204"/>
      </rPr>
      <t xml:space="preserve"> </t>
    </r>
  </si>
  <si>
    <r>
      <t xml:space="preserve">Круг  12 мм - 1,32-1,34м   н\о           </t>
    </r>
    <r>
      <rPr>
        <b/>
        <sz val="10"/>
        <rFont val="Arial"/>
        <family val="2"/>
        <charset val="204"/>
      </rPr>
      <t>309-я</t>
    </r>
  </si>
  <si>
    <r>
      <t xml:space="preserve">Круг  32 мм -                                      (1м -1шт найти!!!)               </t>
    </r>
    <r>
      <rPr>
        <b/>
        <sz val="10"/>
        <rFont val="Arial"/>
        <family val="2"/>
        <charset val="204"/>
      </rPr>
      <t xml:space="preserve">ЭИ-961ш      </t>
    </r>
  </si>
  <si>
    <t xml:space="preserve">Труба  56 х 5,0   -  3,4м(12,5кг) - 1шт </t>
  </si>
  <si>
    <t>Труба 55х7,5  - 2,7-3,15            цветовая маркировка</t>
  </si>
  <si>
    <t>Труба 38х7,0  - 1,62-1,96м             цветовая маркировка</t>
  </si>
  <si>
    <t>Труба 28х2,0  -  3м     цветовая маркировка</t>
  </si>
  <si>
    <t>Круг  60(59) мм - 1,7м(13кг, клеймо); 2,32м(17,6кг клеймо)  по 1шт</t>
  </si>
  <si>
    <t xml:space="preserve">Круг  25 мм  - 1,46-1,78м </t>
  </si>
  <si>
    <t>Круг  38 мм  -  1,1+1,16м=11,9кг; 1,02-1,15м(22,4кг) - 4шт     маркировка</t>
  </si>
  <si>
    <r>
      <t xml:space="preserve">Лист  4 мм   -   0,37х0,47м(6кг) - 1шт          </t>
    </r>
    <r>
      <rPr>
        <b/>
        <sz val="10"/>
        <rFont val="Arial"/>
        <family val="2"/>
        <charset val="204"/>
      </rPr>
      <t>ЭИ-435</t>
    </r>
  </si>
  <si>
    <r>
      <t xml:space="preserve">Круг  65 мм  - 1,37м(36,8кг) - 1шт    </t>
    </r>
    <r>
      <rPr>
        <b/>
        <sz val="10"/>
        <rFont val="Arial"/>
        <family val="2"/>
        <charset val="204"/>
      </rPr>
      <t>ЭП-56</t>
    </r>
  </si>
  <si>
    <t>Е8</t>
  </si>
  <si>
    <t xml:space="preserve">Круг  4 мм  -  3м;   4м - 1шт </t>
  </si>
  <si>
    <r>
      <t xml:space="preserve">Шестигранник №36   -  2,78м(24,3кг) - 1шт              </t>
    </r>
    <r>
      <rPr>
        <b/>
        <sz val="10"/>
        <rFont val="Arial"/>
        <family val="2"/>
        <charset val="204"/>
      </rPr>
      <t xml:space="preserve"> ЭИ-961ш</t>
    </r>
  </si>
  <si>
    <t xml:space="preserve">Круг  52 мм -   2,84м(48кг н\о); 0,7м(11,7кг клеймо) по 1шт </t>
  </si>
  <si>
    <t xml:space="preserve">Труба 76(75) х 7,5  -  1,53м(20кг) - 1шт </t>
  </si>
  <si>
    <t>Круг  50 мм -  1,7м(26,3кг н\о) - 1шт</t>
  </si>
  <si>
    <t>Лист латунный 3,5 мм - 0,55х0,79м(12,6кг); 0,6х0,77м(13,1кг); 0,59х0,72м(12,1кг); 0,59х0,77м(13,1кг); 0,59х0,71м(12,4кг) по 1шт    мягкий</t>
  </si>
  <si>
    <t xml:space="preserve">Круг  130 мм  -  0,14м(15,2кг); 0,27м(28кг н\о) по 1шт </t>
  </si>
  <si>
    <t>Труба  76 х 6-7 -  1,4м(15,8кг) - 1шт</t>
  </si>
  <si>
    <t xml:space="preserve">Труба 35х2,0 -  3,8м(2,1кг) - 1шт   </t>
  </si>
  <si>
    <r>
      <t xml:space="preserve">Труба  80 х 15  -  4,03м - 1шт          </t>
    </r>
    <r>
      <rPr>
        <b/>
        <sz val="10"/>
        <rFont val="Arial"/>
        <family val="2"/>
        <charset val="204"/>
      </rPr>
      <t>316-L</t>
    </r>
    <r>
      <rPr>
        <b/>
        <sz val="8.5"/>
        <rFont val="Arial"/>
        <family val="2"/>
        <charset val="204"/>
      </rPr>
      <t xml:space="preserve">                  </t>
    </r>
    <r>
      <rPr>
        <b/>
        <sz val="10"/>
        <rFont val="Arial"/>
        <family val="2"/>
        <charset val="204"/>
      </rPr>
      <t>склад 6</t>
    </r>
  </si>
  <si>
    <r>
      <t xml:space="preserve">Труба  80 х 15  -  1,07м - 1шт          </t>
    </r>
    <r>
      <rPr>
        <b/>
        <sz val="10"/>
        <rFont val="Arial"/>
        <family val="2"/>
        <charset val="204"/>
      </rPr>
      <t>316-L</t>
    </r>
    <r>
      <rPr>
        <b/>
        <sz val="8.5"/>
        <rFont val="Arial"/>
        <family val="2"/>
        <charset val="204"/>
      </rPr>
      <t xml:space="preserve">                 </t>
    </r>
  </si>
  <si>
    <r>
      <t xml:space="preserve">Труба  114 х 3,0  -  5,76м(47,3кг); 5,55м(45кг) по 1шт      </t>
    </r>
    <r>
      <rPr>
        <b/>
        <sz val="10"/>
        <rFont val="Arial"/>
        <family val="2"/>
        <charset val="204"/>
      </rPr>
      <t xml:space="preserve"> </t>
    </r>
  </si>
  <si>
    <t xml:space="preserve">Лист  1,5 мм -  1х2,05м(22,8кг) - 1шт      </t>
  </si>
  <si>
    <t>Д</t>
  </si>
  <si>
    <t>Труба 55х8,0 -  1,9-2,84м       цветовая маркировка</t>
  </si>
  <si>
    <t>Труба 52х8,0 -  1,37-2,5м       цветовая маркировка</t>
  </si>
  <si>
    <r>
      <t xml:space="preserve">Труба  25 х 5,5 - 1,1-1,16м              </t>
    </r>
    <r>
      <rPr>
        <b/>
        <sz val="10"/>
        <rFont val="Arial"/>
        <family val="2"/>
        <charset val="204"/>
      </rPr>
      <t xml:space="preserve"> 316-L</t>
    </r>
  </si>
  <si>
    <r>
      <t xml:space="preserve">Труба  16 х 2,5  - 7,1-9м, отрезали куски          </t>
    </r>
    <r>
      <rPr>
        <b/>
        <sz val="10"/>
        <rFont val="Arial"/>
        <family val="2"/>
        <charset val="204"/>
      </rPr>
      <t>316-Тi</t>
    </r>
  </si>
  <si>
    <t>Шина медная - 6х100мм -  21,7кг - 1 бухта,  ориентировочная длина 4м</t>
  </si>
  <si>
    <t>Труба  25 х 3,0   -  2,25-3,37м(22,3кг от 1шт резали 1м)</t>
  </si>
  <si>
    <t>Труба 45х6,0 - 1,6-2,6м       цветовая маркировка</t>
  </si>
  <si>
    <t>Труба 38х10 - 1,63+1,65м=7,7кг       цветовая маркировка</t>
  </si>
  <si>
    <t>Круг  36 мм  - 3,54м - 3шт; 3,42м - 1шт      клеймо</t>
  </si>
  <si>
    <t>Круг  36 мм  - 1,78м - 2шт      клеймо</t>
  </si>
  <si>
    <t>Круг  32 мм  - 1,61+1,86+1,87+1,91м=15,3кг      клеймо</t>
  </si>
  <si>
    <t xml:space="preserve">Труба  63 х 1,2  -  1,71+1,75м=3,6кг    </t>
  </si>
  <si>
    <t xml:space="preserve">Круг   6 мм - 2,5-3м </t>
  </si>
  <si>
    <t>Круг   40 мм  -  0,87м(8,3кг) - 1шт</t>
  </si>
  <si>
    <t xml:space="preserve">Труба 22х3,0 -  1,3м - 9шт  </t>
  </si>
  <si>
    <r>
      <t xml:space="preserve">Круг  3,5 мм  -  2м    калиброваный             </t>
    </r>
    <r>
      <rPr>
        <b/>
        <sz val="10"/>
        <rFont val="Arial"/>
        <family val="2"/>
        <charset val="204"/>
      </rPr>
      <t>ЭИ-268</t>
    </r>
  </si>
  <si>
    <r>
      <t xml:space="preserve">Круг  3,0 мм  -  2м    калиброваный             </t>
    </r>
    <r>
      <rPr>
        <b/>
        <sz val="10"/>
        <rFont val="Arial"/>
        <family val="2"/>
        <charset val="204"/>
      </rPr>
      <t>ЭИ-268</t>
    </r>
  </si>
  <si>
    <r>
      <t xml:space="preserve">Лист  7 мм - 0,8х1м(43,3кг) - 1шт            </t>
    </r>
    <r>
      <rPr>
        <b/>
        <sz val="10"/>
        <rFont val="Arial"/>
        <family val="2"/>
        <charset val="204"/>
      </rPr>
      <t xml:space="preserve">ЭП-288 </t>
    </r>
  </si>
  <si>
    <t xml:space="preserve">07Х16Н6 </t>
  </si>
  <si>
    <r>
      <t xml:space="preserve">Лист  5 мм - 1х2м(81,3кг); 0,86х1м(35,5кг) по 1шт            </t>
    </r>
    <r>
      <rPr>
        <b/>
        <sz val="10"/>
        <rFont val="Arial"/>
        <family val="2"/>
        <charset val="204"/>
      </rPr>
      <t xml:space="preserve">ЭП-288 </t>
    </r>
  </si>
  <si>
    <t>Круг  25"+" мм  -  2,6-3,1м(642кг в т.ч. 1,75м - 1шт)  в чистоте ф25мм получится!!!</t>
  </si>
  <si>
    <t>Труба 25х2,5 -  1,6-2,1м          цветовая маркировка</t>
  </si>
  <si>
    <t>Труба 22х2,5 -  1,5-1,8м          цветовая маркировка</t>
  </si>
  <si>
    <t>Труба 48х4,0 -  1,8-2,3м      цветовая маркировка</t>
  </si>
  <si>
    <t>Проволока   9 мм  -  3,9кг - 1 бухта</t>
  </si>
  <si>
    <t>Круг   159 мм - 0,28м(42,4кг); 0,12м(19,9кг) по 1шт</t>
  </si>
  <si>
    <t>Лента - 0,15х200мм - 1; 1,1; 3,6кг по 1-му рулону    твердая</t>
  </si>
  <si>
    <t>Труба 46х4,0 -  1,8-2,2м      цветовая маркировка</t>
  </si>
  <si>
    <t>Труба 36х5,0 -  1,6-2,1м      цветовая маркировка</t>
  </si>
  <si>
    <t>Труба 30х1,5 -  3м      цветовая маркировка</t>
  </si>
  <si>
    <t>Труба 28х1,0 -  3м      цветовая маркировка</t>
  </si>
  <si>
    <t xml:space="preserve">АМГ-2 </t>
  </si>
  <si>
    <t>Труба 22х1,0 -   2,5-3м(осн масса 3м)         цветовая маркировка</t>
  </si>
  <si>
    <t>АМГ-6Н</t>
  </si>
  <si>
    <t>Труба 18х1,0 -   2,4-2,5м       цветовая маркировка</t>
  </si>
  <si>
    <t>Труба  28"+" х 0,7  -  1,7м - 3шт</t>
  </si>
  <si>
    <t xml:space="preserve">Труба  34 х 4,5  -   1,76-2,25м(26,7кг) </t>
  </si>
  <si>
    <t xml:space="preserve">Круг  48 мм  -  1,03м - 2шт; 1,1м - 1шт  на 1шт клеймо </t>
  </si>
  <si>
    <t>Труба  89 х 6,5-7,5  - 3,75м(52,7кг) - 1шт</t>
  </si>
  <si>
    <t xml:space="preserve">Круг  30 мм - 2,31м(7,5кг); 1,52м(5кг) по 1шт  </t>
  </si>
  <si>
    <t>Круг  26 мм  -                        3-3,1м(15,2кг)    найти!!!!!!!!!!!</t>
  </si>
  <si>
    <t>Круг   50 мм -  0,73м - 1шт</t>
  </si>
  <si>
    <t>Труба  40 х 1,5  -  1,75; 2,9; 2,98; 3м; 3,42м(5,9кг) по 1шт</t>
  </si>
  <si>
    <t>Круг   24 мм -                               (6кг найти!!!)</t>
  </si>
  <si>
    <t>Труба 16х0,7 - 1,5-2,5м</t>
  </si>
  <si>
    <t>Труба 35х7,0 - 1,62+1,7м=5,8кг</t>
  </si>
  <si>
    <t>Труба 14х1,0 - 2,5м</t>
  </si>
  <si>
    <t>Круг  18 мм  - 1,45-1,75м</t>
  </si>
  <si>
    <t>Круг  24 мм  - 2,24+2,9+3,09+3,09м=13,8кг   клеймо</t>
  </si>
  <si>
    <t>Круг  25 мм  - 2,2-2,9м   клеймо</t>
  </si>
  <si>
    <t>Труба 170х30 - 2,7м(по 96,7кг) - 2шт   клеймо</t>
  </si>
  <si>
    <t>Круг  30"-" мм  -  2,64+2,75м=16,2кг</t>
  </si>
  <si>
    <r>
      <t xml:space="preserve">Лента - 0,1х90мм -  рулон 42,9кг - 1 шт, по факту меряется 0,08мм      твердая         </t>
    </r>
    <r>
      <rPr>
        <b/>
        <sz val="10"/>
        <rFont val="Arial"/>
        <family val="2"/>
        <charset val="204"/>
      </rPr>
      <t xml:space="preserve"> </t>
    </r>
  </si>
  <si>
    <t xml:space="preserve">Труба  60 х 3,5  -  1,97-1,99м(39,3кг) - 4шт </t>
  </si>
  <si>
    <r>
      <t xml:space="preserve">Круг  165 мм  -   1,08м(180кг)  -  1шт </t>
    </r>
    <r>
      <rPr>
        <b/>
        <sz val="10"/>
        <rFont val="Arial"/>
        <family val="2"/>
        <charset val="204"/>
      </rPr>
      <t xml:space="preserve"> ЭИ-654 клеймо               склад 6</t>
    </r>
  </si>
  <si>
    <t xml:space="preserve">Труба  161 х 35-37 -   0,1м(13кг) - 1шт                      </t>
  </si>
  <si>
    <t xml:space="preserve">Труба  89 х 5  - 4,12м(43кг) - 1шт   </t>
  </si>
  <si>
    <t>Круг  60 мм -  2,43м(53,5кг); 2,44м(54кг) по 1шт   н\о</t>
  </si>
  <si>
    <t>Круг  100(98) мм  -  0,67м(40,3кг н\о)  - 1шт</t>
  </si>
  <si>
    <t>Д16ЧТ</t>
  </si>
  <si>
    <t>Анод никель 10мм - 0,25х1,5м(32,2; 33,8; 33,4; 34,2; 33,4кг) по 1шт</t>
  </si>
  <si>
    <t>Анод никель 10мм - 0,19х1м(17,7кг) - 1шт</t>
  </si>
  <si>
    <r>
      <t xml:space="preserve">Труба  126 х 13 -  0,33м(12,8кг) - 1шт               </t>
    </r>
    <r>
      <rPr>
        <b/>
        <sz val="10"/>
        <rFont val="Arial"/>
        <family val="2"/>
        <charset val="204"/>
      </rPr>
      <t xml:space="preserve"> 316-Ti   </t>
    </r>
  </si>
  <si>
    <r>
      <t xml:space="preserve">Труба  114 х 5,5  - 1,66м(25,3кг) - 1шт          </t>
    </r>
    <r>
      <rPr>
        <b/>
        <sz val="10"/>
        <rFont val="Arial"/>
        <family val="2"/>
        <charset val="204"/>
      </rPr>
      <t>316-L</t>
    </r>
  </si>
  <si>
    <t xml:space="preserve">Труба  95 х 6,0 -  1,86м(24,5кг) - 1шт </t>
  </si>
  <si>
    <r>
      <t xml:space="preserve">Труба  19 х 2,0 - 2,93+3,93+3,45+3,45м=11,2кг; 2,2-3,2м(102,6кг)              </t>
    </r>
    <r>
      <rPr>
        <b/>
        <sz val="10"/>
        <rFont val="Arial"/>
        <family val="2"/>
        <charset val="204"/>
      </rPr>
      <t>316-L</t>
    </r>
  </si>
  <si>
    <t>Круг  65 мм  -   1м(149,4кг клейма, в т.ч. 0,93м); 0,99м(25,4кг н\о)</t>
  </si>
  <si>
    <t>Труба  45 х 12,5 -  0,49м - 1шт</t>
  </si>
  <si>
    <t xml:space="preserve">Круг   88 мм -    80мм(4,5кг) - 1шт </t>
  </si>
  <si>
    <t>Труба 24х1,0 -  1,98-2м      цветовая маркировка</t>
  </si>
  <si>
    <t xml:space="preserve">Круг  12 мм  -  1-2м </t>
  </si>
  <si>
    <t>Труба 16х0,8 -  2,95-3м      цветовая маркировка</t>
  </si>
  <si>
    <r>
      <t xml:space="preserve">Труба  219 х 10-10,5  -  2,82м(155кг) -  1шт      </t>
    </r>
    <r>
      <rPr>
        <b/>
        <sz val="10"/>
        <rFont val="Arial"/>
        <family val="2"/>
        <charset val="204"/>
      </rPr>
      <t xml:space="preserve"> склад 6</t>
    </r>
  </si>
  <si>
    <r>
      <t xml:space="preserve">Труба  219 х 12-12,5  -  3,7м(232кг клеймо) -  1шт      </t>
    </r>
    <r>
      <rPr>
        <b/>
        <sz val="10"/>
        <rFont val="Arial"/>
        <family val="2"/>
        <charset val="204"/>
      </rPr>
      <t xml:space="preserve"> склад 6</t>
    </r>
  </si>
  <si>
    <t xml:space="preserve">10Х17Н15М3Б </t>
  </si>
  <si>
    <t xml:space="preserve">Круг   160 мм   -  90мм(15,7кг) - 1шт  </t>
  </si>
  <si>
    <t xml:space="preserve">Труба  30 х 4,5  -  1,04; 1,09м по 1шт </t>
  </si>
  <si>
    <t xml:space="preserve">Круг  23 мм    -  1,97-2м(26,6кг); 1,37+1,42м=9,3кг </t>
  </si>
  <si>
    <t xml:space="preserve">Труба  18 х 3,0  -  0,73-0,83м(2,7кг) </t>
  </si>
  <si>
    <t>Круг  6"+" мм  -  2,15-2,3м  н\о</t>
  </si>
  <si>
    <t>Д16М</t>
  </si>
  <si>
    <t>Круг   19 мм  -  0,69м(1,7кг) - 1шт</t>
  </si>
  <si>
    <t xml:space="preserve">Круг   34 мм  -  0,29; 0,32; 0,36м по 1шт   </t>
  </si>
  <si>
    <r>
      <t xml:space="preserve">Круг  50"-" мм  - 1,2м(78кг) -  4шт         </t>
    </r>
    <r>
      <rPr>
        <b/>
        <sz val="10"/>
        <rFont val="Arial"/>
        <family val="2"/>
        <charset val="204"/>
      </rPr>
      <t>ЭИ-435</t>
    </r>
  </si>
  <si>
    <t xml:space="preserve">Лист  6 мм -   0,9х1,86м(77,6кг); 0,97х1,5м(66,2кг) по 1шт      </t>
  </si>
  <si>
    <r>
      <t xml:space="preserve">Круг  127 мм  -  по 65мм(по 6,9кг) - 6шт           </t>
    </r>
    <r>
      <rPr>
        <b/>
        <sz val="10"/>
        <rFont val="Arial"/>
        <family val="2"/>
        <charset val="204"/>
      </rPr>
      <t>ЭИ-268</t>
    </r>
  </si>
  <si>
    <r>
      <t xml:space="preserve">Труба  114(113) х 20-23 -  0,52м(25,5кг) - 1шт        </t>
    </r>
    <r>
      <rPr>
        <b/>
        <sz val="10"/>
        <rFont val="Arial"/>
        <family val="2"/>
        <charset val="204"/>
      </rPr>
      <t xml:space="preserve"> </t>
    </r>
  </si>
  <si>
    <t>Анод никель 5мм - 0,48х0,99м(21,5кг) - 1шт</t>
  </si>
  <si>
    <t xml:space="preserve">Круг  50 мм - 1,4-1,43м - 5шт </t>
  </si>
  <si>
    <t>Круг  50 мм - 1,97м(17,2кг); 1,58м(13,7кг) по 1шт</t>
  </si>
  <si>
    <t xml:space="preserve">Круг   13 мм  -  3,15-3,44м(7,2кг); 0,53+0,75+0,79м=2,3кг </t>
  </si>
  <si>
    <t xml:space="preserve">Труба  22 х 2,3   -   1,56м - 1шт </t>
  </si>
  <si>
    <r>
      <t xml:space="preserve">Труба  168 х 14-15  -  3,1м  - 1шт          </t>
    </r>
    <r>
      <rPr>
        <b/>
        <sz val="10"/>
        <rFont val="Arial"/>
        <family val="2"/>
        <charset val="204"/>
      </rPr>
      <t>склад 6</t>
    </r>
  </si>
  <si>
    <t xml:space="preserve">Припой   ф4мм  - проволока бухта 4,2кг  </t>
  </si>
  <si>
    <t xml:space="preserve">Круг  105 мм -  0,27м(18,2кг); 0,25м(17,3+17,3кг); 80мм(5,5кг н\о) по 1шт </t>
  </si>
  <si>
    <t xml:space="preserve">Круг   110 мм - 0,6м(50,8кг); 0,35м(30,1кг); 0,23м(19,6кг); 0,24м(20,3кг) по 1шт </t>
  </si>
  <si>
    <r>
      <t xml:space="preserve">Круг  150 мм  -  0,18м(27,7кг точеный) - 1шт              </t>
    </r>
    <r>
      <rPr>
        <b/>
        <sz val="10"/>
        <rFont val="Arial"/>
        <family val="2"/>
        <charset val="204"/>
      </rPr>
      <t>ЭИ-703</t>
    </r>
  </si>
  <si>
    <t>Труба 45х12,5 - 1,6-2,6м(основная масса до 2,1м)</t>
  </si>
  <si>
    <t>Труба 22х1,5 - 3м(2,1кг)     цветовая маркировка</t>
  </si>
  <si>
    <t>Труба 50х1,5  -  3м(28,5кг), клеймо       цветовая маркировка</t>
  </si>
  <si>
    <t xml:space="preserve">Круг   40 мм  -   0,21; 0,22м  по 1шт                  </t>
  </si>
  <si>
    <r>
      <t xml:space="preserve">Лист латунный 25"-" мм - 0,55х1,5м(174+173кг) по 1шт   режем нужный размер </t>
    </r>
    <r>
      <rPr>
        <b/>
        <sz val="12"/>
        <rFont val="Arial"/>
        <family val="2"/>
        <charset val="204"/>
      </rPr>
      <t>склад 2</t>
    </r>
  </si>
  <si>
    <r>
      <t xml:space="preserve">Круг  30 мм   -  0,88м(5,2кг) - 1шт            </t>
    </r>
    <r>
      <rPr>
        <b/>
        <sz val="10"/>
        <rFont val="Arial"/>
        <family val="2"/>
        <charset val="204"/>
      </rPr>
      <t xml:space="preserve"> ЭП-578 ви</t>
    </r>
  </si>
  <si>
    <r>
      <t>Круг  80 мм  -   3м - 1шт  клеймо</t>
    </r>
    <r>
      <rPr>
        <b/>
        <sz val="10"/>
        <rFont val="Arial"/>
        <family val="2"/>
        <charset val="204"/>
      </rPr>
      <t xml:space="preserve">   </t>
    </r>
  </si>
  <si>
    <t>Труба  25 х 2,0  -  6м - 12шт; 4м - 20шт    маркирована</t>
  </si>
  <si>
    <t xml:space="preserve">Круг  140 мм  -  0,5мм(61кг) - 1шт  </t>
  </si>
  <si>
    <t>Круг  3 мм  -  1,75-1,85м        калиброванный</t>
  </si>
  <si>
    <t>Труба  76 х 4,5"-"  -  3,91м(29кг); 4,77м(36кг); 4,5м(35+36,5кг) по 1шт</t>
  </si>
  <si>
    <t>Проволока ф1мм -  бухты по 1,3-1,5кг, есть несколько бухт меньшего веса</t>
  </si>
  <si>
    <r>
      <t xml:space="preserve">Шестигранник №17  -  1,65-2м; 1,2; 1,3м                   </t>
    </r>
    <r>
      <rPr>
        <b/>
        <sz val="10"/>
        <rFont val="Arial"/>
        <family val="2"/>
        <charset val="204"/>
      </rPr>
      <t>ЭП-288</t>
    </r>
  </si>
  <si>
    <t>Проволока   ф 1,5мм  - 3,1; 7,3; 17,9; 7кг по 1-й  бухте</t>
  </si>
  <si>
    <t>Проволока   ф 1,8мм  -  9,1; 0,5; 10,2; 10кг по 1-й  бухте</t>
  </si>
  <si>
    <r>
      <t xml:space="preserve">Круг  20 мм  -  2,4-3м(отрезали куски)        </t>
    </r>
    <r>
      <rPr>
        <b/>
        <sz val="10"/>
        <rFont val="Arial"/>
        <family val="2"/>
        <charset val="204"/>
      </rPr>
      <t>ЭИ-474</t>
    </r>
  </si>
  <si>
    <t xml:space="preserve">Труба 99х4 -  5,4+6,05м=34,4кг  </t>
  </si>
  <si>
    <t>Проволока   ф 4,5мм - 4,6; 6,4; 6,4; 9,2; 14,3; 4,7; 4,2; 1,1; 1,8; 7,1; 8,1кг  по 1-й  бухте</t>
  </si>
  <si>
    <r>
      <t xml:space="preserve">Труба  18 х 1,5 -   6м(32,6кг); 4,9м(3,1кг)              </t>
    </r>
    <r>
      <rPr>
        <b/>
        <sz val="10"/>
        <rFont val="Arial"/>
        <family val="2"/>
        <charset val="204"/>
      </rPr>
      <t>316-L</t>
    </r>
  </si>
  <si>
    <t>Круг  97 мм  -  1,18м(69,4кг н\о) - 1шт        316Ti</t>
  </si>
  <si>
    <t xml:space="preserve">Круг  55 мм  -  1,03+1,49м=16,3кг     </t>
  </si>
  <si>
    <r>
      <t xml:space="preserve">Круг  50 мм  - 0,59+0,7м=21кг   калиброваный        </t>
    </r>
    <r>
      <rPr>
        <b/>
        <sz val="10"/>
        <rFont val="Arial"/>
        <family val="2"/>
        <charset val="204"/>
      </rPr>
      <t>ЭИ-435</t>
    </r>
  </si>
  <si>
    <t>Круг  34"-" мм -  2,3-2,48м  - 2шт; 3,8; 2,75м; 1,78м; 1,11м(7,9кг) по 1шт</t>
  </si>
  <si>
    <r>
      <t xml:space="preserve">Труба  70 х 5,0  -  1,19-1,22м         </t>
    </r>
    <r>
      <rPr>
        <b/>
        <sz val="10"/>
        <rFont val="Arial"/>
        <family val="2"/>
        <charset val="204"/>
      </rPr>
      <t xml:space="preserve">    316-L</t>
    </r>
  </si>
  <si>
    <t xml:space="preserve">Круг   50(49) мм  -  1; 1,03; 1,05; 1,08; 1,08м по 1шт   </t>
  </si>
  <si>
    <t>Труба  159(158) х 12  -  1,21м(51,8кг) - 1шт</t>
  </si>
  <si>
    <r>
      <t xml:space="preserve">Труба  73 х 7,0  -  4,76м(56,5кг) - 1шт         </t>
    </r>
    <r>
      <rPr>
        <b/>
        <sz val="10"/>
        <rFont val="Arial"/>
        <family val="2"/>
        <charset val="204"/>
      </rPr>
      <t xml:space="preserve">316-L    </t>
    </r>
    <r>
      <rPr>
        <b/>
        <sz val="8.3000000000000007"/>
        <rFont val="Arial"/>
        <family val="2"/>
        <charset val="204"/>
      </rPr>
      <t xml:space="preserve">       </t>
    </r>
    <r>
      <rPr>
        <b/>
        <sz val="10"/>
        <rFont val="Arial"/>
        <family val="2"/>
        <charset val="204"/>
      </rPr>
      <t xml:space="preserve">  </t>
    </r>
  </si>
  <si>
    <t>Круг  90(87-) мм -  1м(50,7кг) - 1шт, заводская зачистка, в чистоте выйдет 86-87мм</t>
  </si>
  <si>
    <t xml:space="preserve">Круг  60(57) мм -  2,89м(63,4кг клеймо, н\о) - 1шт   </t>
  </si>
  <si>
    <r>
      <t xml:space="preserve">Круг  34 мм -  1,73м(12,2кг) - 1шт      </t>
    </r>
    <r>
      <rPr>
        <b/>
        <sz val="10"/>
        <rFont val="Arial"/>
        <family val="2"/>
        <charset val="204"/>
      </rPr>
      <t>ЭИ-268</t>
    </r>
  </si>
  <si>
    <r>
      <t xml:space="preserve">Шестигранник №30 -  2,29м(13,6кг) - 1шт                 </t>
    </r>
    <r>
      <rPr>
        <b/>
        <sz val="10"/>
        <rFont val="Arial"/>
        <family val="2"/>
        <charset val="204"/>
      </rPr>
      <t>ЭИ-268</t>
    </r>
  </si>
  <si>
    <r>
      <t xml:space="preserve">Лист  16 мм  -  0,8х0,8м(83,6кг) - 1шт  клеймо   </t>
    </r>
    <r>
      <rPr>
        <b/>
        <sz val="10"/>
        <rFont val="Arial"/>
        <family val="2"/>
        <charset val="204"/>
      </rPr>
      <t xml:space="preserve"> </t>
    </r>
  </si>
  <si>
    <t>Лента - 0,15х200мм -  1кг - 1 бухта  с нюансами</t>
  </si>
  <si>
    <t>Круг  16"-" мм -  1,42м(1,2кг); 1,28м(1,1кг) по 1шт</t>
  </si>
  <si>
    <t xml:space="preserve">Лист  20 мм  -  блин   ф360мм(15,7кг) - 1шт </t>
  </si>
  <si>
    <t xml:space="preserve">Труба  168 х 16 -  0,26м(16,1кг) - 1шт </t>
  </si>
  <si>
    <t>Труба  38 х 5,5-6 -  3,6-4,4м</t>
  </si>
  <si>
    <t>Проволока   ф 2,5 мм  - 20кг - 1 бухта</t>
  </si>
  <si>
    <t xml:space="preserve">Круг  12 мм  -   0,85-1,3м(236,1кг)     </t>
  </si>
  <si>
    <t xml:space="preserve">Лента бронзовая - 0,4х250мм  -  38,7кг; 23,3кг по 1 бухте   твердая </t>
  </si>
  <si>
    <r>
      <t xml:space="preserve">Круг  42 мм    -  0,67м(8,1кг клеймо)  - 1шт          </t>
    </r>
    <r>
      <rPr>
        <b/>
        <sz val="10"/>
        <rFont val="Arial"/>
        <family val="2"/>
        <charset val="204"/>
      </rPr>
      <t xml:space="preserve"> ЭИ-929</t>
    </r>
  </si>
  <si>
    <t xml:space="preserve">Проволока  3,0  мм -  52; 7; 8,3; 7,8кг(н\о); 25,5кг; 4,9кг; 7,6кг; 7,8; 6,3кг; 30,8кг; 30,8кг по 1-й бухте </t>
  </si>
  <si>
    <t>Труба  30 х 2,0   -   3,93м(5,7кг) - 1шт</t>
  </si>
  <si>
    <t xml:space="preserve">Труба  219 х 9,5-10  -  0,99м(50кг) - 1шт      </t>
  </si>
  <si>
    <t>Круг  3 мм -    1,97-2м   калиброванный</t>
  </si>
  <si>
    <t xml:space="preserve">Круг  8 мм -  2,4м </t>
  </si>
  <si>
    <t>Труба  45 х 9,0 - 0,98м(15,6кг) - 2шт</t>
  </si>
  <si>
    <t>Труба  32 х 2,0  -  2,83; 2,91м по 1шт</t>
  </si>
  <si>
    <t>Проволока   0,8мм    -   5,6; 5,9кг 1-й  катушке пластиковой</t>
  </si>
  <si>
    <t xml:space="preserve">Круг   6,5 мм - 2,95м(10,6кг); 1,13-1,5м(1,8кг) </t>
  </si>
  <si>
    <t>Шестигранник №30  - 1,24+1,6м=17,2кг</t>
  </si>
  <si>
    <t xml:space="preserve">Круг  55 мм -  0,17м(1,9кг) - 1шт  </t>
  </si>
  <si>
    <t>Проволока   ф 1,6мм  - 4,6; 18,6кг по 1-й бухте</t>
  </si>
  <si>
    <t>Круг   160(159) мм - 0,29м(51,5кг); 0,24м(42,5кг)  по 1шт</t>
  </si>
  <si>
    <t xml:space="preserve">Круг  36 мм -  2,3м(18кг) - 1шт  </t>
  </si>
  <si>
    <t>Проволока   0,53мм  -  8кг -  1 железная катушка</t>
  </si>
  <si>
    <r>
      <t xml:space="preserve">Шестигранник №19  -  0,9-1,9м            </t>
    </r>
    <r>
      <rPr>
        <b/>
        <sz val="10"/>
        <rFont val="Arial"/>
        <family val="2"/>
        <charset val="204"/>
      </rPr>
      <t>ЭП-288</t>
    </r>
  </si>
  <si>
    <r>
      <t xml:space="preserve">Шестигранник №10  -  0,9-1,9м            </t>
    </r>
    <r>
      <rPr>
        <b/>
        <sz val="10"/>
        <rFont val="Arial"/>
        <family val="2"/>
        <charset val="204"/>
      </rPr>
      <t>ЭП-288</t>
    </r>
  </si>
  <si>
    <t>Лента медная рулон  0,4х250мм - 1кг - 1шт    твердая</t>
  </si>
  <si>
    <t xml:space="preserve">Труба 15х1  -  2,3-2,57м </t>
  </si>
  <si>
    <t xml:space="preserve">Круг  60 мм  -  0,76м(17кг) - 1шт        </t>
  </si>
  <si>
    <t xml:space="preserve">Круг  64"-" мм  -  0,76м(19,7кг) - 1шт        </t>
  </si>
  <si>
    <t>Проволока   0,15мм - алюминиевая катушка  3,2кг - 1шт</t>
  </si>
  <si>
    <t xml:space="preserve">Х20Н80 </t>
  </si>
  <si>
    <t>Проволока   3,2мм    -    3,4кг; 15кг; 5,5кг по 1-й  бухте</t>
  </si>
  <si>
    <t>Проволока   7,0мм  -  8,5кг - 1 бухта</t>
  </si>
  <si>
    <t>Проволока   2,0мм   -  9,2кг; 46,2кг по 1-й  бухте</t>
  </si>
  <si>
    <t>Круг   38 мм -  0,1м(1,1кг) - 1шт</t>
  </si>
  <si>
    <t xml:space="preserve">Круг   70 мм - 1,51м(42,9кг); 2,44м(70,2кг); 0,69м(19,5кг)   по 1шт </t>
  </si>
  <si>
    <t xml:space="preserve">Лист латунный 25 мм - 0,14-0,16х0,74м(24,4кг) - 1шт   </t>
  </si>
  <si>
    <t xml:space="preserve">Труба  32 х 4,0  -  2,6-3,9м </t>
  </si>
  <si>
    <r>
      <t xml:space="preserve">Круг  18 мм  -  1,49-2,2м; 1м(1,9кг) - 1шт               </t>
    </r>
    <r>
      <rPr>
        <b/>
        <sz val="10"/>
        <rFont val="Arial"/>
        <family val="2"/>
        <charset val="204"/>
      </rPr>
      <t>ЭИ-268</t>
    </r>
  </si>
  <si>
    <t xml:space="preserve">Круг   12 мм   -   0,9-1,4м </t>
  </si>
  <si>
    <r>
      <t xml:space="preserve">Лист  5 мм - 1х1,45м(56кг без угла 300х110мм) - 1шт            </t>
    </r>
    <r>
      <rPr>
        <b/>
        <sz val="10"/>
        <rFont val="Arial"/>
        <family val="2"/>
        <charset val="204"/>
      </rPr>
      <t>ЭП-410</t>
    </r>
  </si>
  <si>
    <t>Круг  4 мм  -  2,1-2,3м        калиброванный</t>
  </si>
  <si>
    <t>Круг  25 мм  -  2-2,73м</t>
  </si>
  <si>
    <t>Полоса 16х38 мм  - 1,94м(3,4кг) - 1шт    клеймо</t>
  </si>
  <si>
    <t>1420Т</t>
  </si>
  <si>
    <t>Труба 30х1,0 -  3м              цветовая маркировка</t>
  </si>
  <si>
    <t>Шестигранник №22мм - 2,6-2,82м(35,8кг, в т.ч. 1,3; 1,85м)</t>
  </si>
  <si>
    <r>
      <t xml:space="preserve">Труба  57 х 2,5  -  1,72м(6кг) - 1шт          </t>
    </r>
    <r>
      <rPr>
        <b/>
        <sz val="10"/>
        <rFont val="Arial"/>
        <family val="2"/>
        <charset val="204"/>
      </rPr>
      <t xml:space="preserve">316-Ті   </t>
    </r>
  </si>
  <si>
    <t xml:space="preserve">Труба  57 х 2,5  -  1,71+1,71м=12,5кг          </t>
  </si>
  <si>
    <t xml:space="preserve">Труба  57 х 4,5  -  1,72+1,96м=21,3кг          </t>
  </si>
  <si>
    <t>Круг  200 мм  -  0,3м(26,3; 26,5кг)  по 1шт</t>
  </si>
  <si>
    <t xml:space="preserve">Лист  0,5 мм -  1х2м(8кг) - 1шт     зеркало     </t>
  </si>
  <si>
    <t xml:space="preserve">Лист  1,0 мм -  1х2м(15,4кг) - 1шт      зеркало     </t>
  </si>
  <si>
    <t xml:space="preserve">Круг  12 мм  -  2,5-2,9м(16,5кг)  </t>
  </si>
  <si>
    <r>
      <t xml:space="preserve">Труба  168 х 7,5  -  1,81м(54,5кг); 1,61м(48,4кг)  по 1шт              </t>
    </r>
    <r>
      <rPr>
        <b/>
        <sz val="10"/>
        <rFont val="Arial"/>
        <family val="2"/>
        <charset val="204"/>
      </rPr>
      <t xml:space="preserve">316-L  </t>
    </r>
    <r>
      <rPr>
        <b/>
        <sz val="8.3000000000000007"/>
        <rFont val="Arial"/>
        <family val="2"/>
        <charset val="204"/>
      </rPr>
      <t xml:space="preserve">              </t>
    </r>
  </si>
  <si>
    <r>
      <t xml:space="preserve">Шестигранник №24  -  1,6-1,95м; 1,33м                   </t>
    </r>
    <r>
      <rPr>
        <b/>
        <sz val="10"/>
        <rFont val="Arial"/>
        <family val="2"/>
        <charset val="204"/>
      </rPr>
      <t>ЭП-288</t>
    </r>
  </si>
  <si>
    <t>Круг  14 мм  - 1-1,05м(3,8кг)</t>
  </si>
  <si>
    <t>Шина медная - 5х60мм - 5,6кг бухта,  ориентировочная длина 2,1м</t>
  </si>
  <si>
    <t>Шестигранник №8мм - 1,2-1,65м</t>
  </si>
  <si>
    <t>Шестигранник №14мм - 2,2-2,75м</t>
  </si>
  <si>
    <t>Шестигранник №24мм  -  2,12м(2,9кг) - 1шт</t>
  </si>
  <si>
    <t>Шестигранник №30мм - 0,77м(1,6кг) - 1шт</t>
  </si>
  <si>
    <t>Шестигранник №30мм  -  1,5-1,75м   клеймо</t>
  </si>
  <si>
    <t>Труба 45х12,5 - 1,9-2,05м(основная масса до 2,1м)</t>
  </si>
  <si>
    <t>Труба 50х0,8  - 1,98-2,3м</t>
  </si>
  <si>
    <r>
      <t xml:space="preserve">Труба  102 х 5,0  -  3,8м(45,8кг)  - 1шт                       </t>
    </r>
    <r>
      <rPr>
        <b/>
        <sz val="10"/>
        <rFont val="Arial"/>
        <family val="2"/>
        <charset val="204"/>
      </rPr>
      <t>316-Тi</t>
    </r>
  </si>
  <si>
    <t>Круг  8 мм -  0,44-0,6м(104кг)   н\о</t>
  </si>
  <si>
    <r>
      <t xml:space="preserve">Круг  32 мм - 3,2м(20кг клеймо) - 1шт       0,8м(4,4кг найти!!!)     </t>
    </r>
    <r>
      <rPr>
        <b/>
        <sz val="10"/>
        <rFont val="Arial"/>
        <family val="2"/>
        <charset val="204"/>
      </rPr>
      <t>ЭИ-268</t>
    </r>
  </si>
  <si>
    <r>
      <t xml:space="preserve">Круг  90 мм  - 1,49м(72,2кг); 1,5м(73,3кг); 1,52м(74кг клеймо); 1,5м(73кг); 1,52м(73,8кг клеймо); 0,88м(42,7кг); 0,89м(43,5кг)  по 1шт </t>
    </r>
    <r>
      <rPr>
        <b/>
        <sz val="10"/>
        <rFont val="Arial"/>
        <family val="2"/>
        <charset val="204"/>
      </rPr>
      <t xml:space="preserve">    ЭП-56       </t>
    </r>
  </si>
  <si>
    <t xml:space="preserve">Круг   7 мм - 3-3,15м(7,9кг) </t>
  </si>
  <si>
    <t>Круг  14 мм  - 2,9м(1,3кг) - 1шт</t>
  </si>
  <si>
    <t>Шестигранник №30  - 0,39; 0,4; 0,4м; 0,32м(2кг) по 1шт</t>
  </si>
  <si>
    <t>Круг   50 мм  - 2,03; 2,22; 2,25м; 1,92м(32,2кг) по 1шт</t>
  </si>
  <si>
    <t>Круг   24"-" мм -  1,01+1,04+1,04м=10,3кг</t>
  </si>
  <si>
    <t>Круг   35"-" мм -  1,18м(8,4кг) - 1шт</t>
  </si>
  <si>
    <t xml:space="preserve">Круг  130 мм  -  0,59м(64,3кг) - 1шт </t>
  </si>
  <si>
    <r>
      <t xml:space="preserve">Круг  36 мм  -  0,62+0,89+1,05м=20,5кг   немного кривизна     </t>
    </r>
    <r>
      <rPr>
        <b/>
        <sz val="10"/>
        <rFont val="Arial"/>
        <family val="2"/>
        <charset val="204"/>
      </rPr>
      <t>ЭИ-474</t>
    </r>
  </si>
  <si>
    <t>Труба  45 х 2,5  - 2,2-2,95м(238,6кг); 1,96-2,08м(15,1кг) - 2шт</t>
  </si>
  <si>
    <t xml:space="preserve">Труба  48 х 11-12 -  1,03-1,13м(112,4кг, в т.ч. 0,82м) </t>
  </si>
  <si>
    <t>Полоса        3х60мм  - 26,1кг  - 1 бухта</t>
  </si>
  <si>
    <t xml:space="preserve">Круг  16 мм -  2,6-3,1м               </t>
  </si>
  <si>
    <t xml:space="preserve">Круг  22 мм -  2,55-2,73м                </t>
  </si>
  <si>
    <t>Проволока  1,8 мм - 14,4кг - 1 бухта    константант</t>
  </si>
  <si>
    <t>Проволока   0,8мм  - 3,2кг - 1 бухта</t>
  </si>
  <si>
    <t>Проволока   ф 5 мм  - 4,1; 8,9; 13; 36,4кг по 1-й  бухте   птв</t>
  </si>
  <si>
    <r>
      <t xml:space="preserve">Круг  80 мм  -   3,34; 3,45м по 1шт  клейма         </t>
    </r>
    <r>
      <rPr>
        <b/>
        <sz val="10"/>
        <rFont val="Arial"/>
        <family val="2"/>
        <charset val="204"/>
      </rPr>
      <t>склад 6</t>
    </r>
  </si>
  <si>
    <r>
      <t xml:space="preserve">Труба  50 х 9,0  -  1,2-1,23м                 </t>
    </r>
    <r>
      <rPr>
        <b/>
        <sz val="10"/>
        <rFont val="Arial"/>
        <family val="2"/>
        <charset val="204"/>
      </rPr>
      <t xml:space="preserve"> 316-Ti</t>
    </r>
  </si>
  <si>
    <r>
      <t xml:space="preserve">Круг  40 мм  -   0,45-0,53м(10кг кованые)  - 2шт                       </t>
    </r>
    <r>
      <rPr>
        <b/>
        <sz val="10"/>
        <rFont val="Arial"/>
        <family val="2"/>
        <charset val="204"/>
      </rPr>
      <t>ЭИ-69</t>
    </r>
  </si>
  <si>
    <t>Лист  45(46) мм  -  0,43х0,72м(114,8кг); 0,33х0,68м(84,3кг) по 1шт</t>
  </si>
  <si>
    <t xml:space="preserve">Круг   50 мм  - 80мм - 1шт </t>
  </si>
  <si>
    <t xml:space="preserve">Круг магний ф300мм - 0,42м(53кг); 0,27м(34,8кг); 0,54м(69,5кг) по 1шт,  магний 95-96%, алюминий 3,5-4,5%, цинк 1-2% </t>
  </si>
  <si>
    <t>МА2-1</t>
  </si>
  <si>
    <t xml:space="preserve">Круг магний ф320мм - 0,43м(62,5кг) - 1шт,  магний 95-96%, алюминий 3,5-4,5%, цинк 1-2% </t>
  </si>
  <si>
    <t>Шина медная - 5х80мм - 14,5; 9,3кг по 1-й бухте,  ориентировочная длина 4 и 2,5м</t>
  </si>
  <si>
    <t xml:space="preserve">Лента  0,5х400(410) мм  -  1  рулон 7,1кг      жесткая  </t>
  </si>
  <si>
    <t>Лента 0,3х200мм -   12+4,7кг по 1 рулону</t>
  </si>
  <si>
    <t>Круг  36 мм -  1,73м(13,8кг) - 1шт  н\о</t>
  </si>
  <si>
    <t>Шестигранник №30  - 1,77-2м  + 1,19м</t>
  </si>
  <si>
    <t>Шестигранник №30  - 0,75; 0,9; 0,94; 0,93м по 1шт</t>
  </si>
  <si>
    <t>Труба  4х1 - 1,1-1,8м</t>
  </si>
  <si>
    <t>Проволока   0,9мм  - 0,5кг -  1  бухта</t>
  </si>
  <si>
    <t>Анод цинковый 10мм -    250х580мм(10,5кг) - 1шт</t>
  </si>
  <si>
    <t xml:space="preserve">08Х17Н13М3Т </t>
  </si>
  <si>
    <r>
      <t xml:space="preserve">Круг  80(78) мм  - 1,25м(50,6кг клеймо); 0,55м(21,2кг) по 1шт               </t>
    </r>
    <r>
      <rPr>
        <b/>
        <sz val="10"/>
        <rFont val="Arial"/>
        <family val="2"/>
        <charset val="204"/>
      </rPr>
      <t>ЭИ-268</t>
    </r>
  </si>
  <si>
    <t>Круг   20 мм  -  1,75-2,3м     мягкий, клейма</t>
  </si>
  <si>
    <t>Проволока   1,6мм  -  26,9кг - 1  бухта</t>
  </si>
  <si>
    <t>Проволока  2(1,9)мм  -  15,1кг - 1  бухта    светлая</t>
  </si>
  <si>
    <t>ПОС-30</t>
  </si>
  <si>
    <t>Труба  89 х 5,5-6 -  2,92м(35,5кг); 2,75м(33кг); 1,86м(21,2кг) по 1шт</t>
  </si>
  <si>
    <r>
      <t xml:space="preserve">Труба  16 х 1,0  -   5,25м(2кг) - 1шт           </t>
    </r>
    <r>
      <rPr>
        <b/>
        <sz val="10"/>
        <rFont val="Arial"/>
        <family val="2"/>
        <charset val="204"/>
      </rPr>
      <t>316-Ti</t>
    </r>
  </si>
  <si>
    <r>
      <t xml:space="preserve">Круг  35 мм  -  1,8-3,24м    клейма       </t>
    </r>
    <r>
      <rPr>
        <b/>
        <sz val="10"/>
        <rFont val="Arial"/>
        <family val="2"/>
        <charset val="204"/>
      </rPr>
      <t xml:space="preserve"> ЭИ-268ш</t>
    </r>
  </si>
  <si>
    <r>
      <t xml:space="preserve">Труба  219 х 6-6,5 - 6,25; 6,25; 6,4; 5,96; 6,37; 5,67м по 1шт     </t>
    </r>
    <r>
      <rPr>
        <b/>
        <sz val="10"/>
        <rFont val="Arial"/>
        <family val="2"/>
        <charset val="204"/>
      </rPr>
      <t xml:space="preserve"> 316-Тi  </t>
    </r>
    <r>
      <rPr>
        <b/>
        <sz val="8.5"/>
        <rFont val="Arial"/>
        <family val="2"/>
        <charset val="204"/>
      </rPr>
      <t xml:space="preserve">      </t>
    </r>
    <r>
      <rPr>
        <b/>
        <sz val="10"/>
        <rFont val="Arial"/>
        <family val="2"/>
        <charset val="204"/>
      </rPr>
      <t>склад 6</t>
    </r>
  </si>
  <si>
    <t>Труба  16 х 1,2 -   2,1-3,05м(18,6кг, в т.ч. 1,8м)</t>
  </si>
  <si>
    <t xml:space="preserve">Труба  25 х 2,5  -  2,5-4,3м </t>
  </si>
  <si>
    <t xml:space="preserve">Труба  25 х 2,5 -  0,9-1,02м </t>
  </si>
  <si>
    <t xml:space="preserve">Круг  138 мм - 0,85м(96кг); 70мм(8+8,2кг) - по  1шт </t>
  </si>
  <si>
    <t>Проволока   0,8мм  -   2,2кг  - 1  бухта</t>
  </si>
  <si>
    <t>Круг  60 мм - 1,49м(35,8кг)  - 1шт</t>
  </si>
  <si>
    <r>
      <t xml:space="preserve">Круг  55 мм - 1,43м(28,6кг); 1,08м(21,9кг); 0,8м(15,5кг)  по 1шт </t>
    </r>
    <r>
      <rPr>
        <b/>
        <sz val="10"/>
        <rFont val="Arial"/>
        <family val="2"/>
        <charset val="204"/>
      </rPr>
      <t>ЭИ-437</t>
    </r>
  </si>
  <si>
    <t xml:space="preserve">Припой   ф5мм  - проволока бухты 9кг  </t>
  </si>
  <si>
    <t>Лист медный 19 мм -  0,41х0,59м(42,8кг) - 1шт</t>
  </si>
  <si>
    <t xml:space="preserve">Лента бронзовая - 0,5х50мм  -  9,9; 11кг по 1-й бухте    мягкая  </t>
  </si>
  <si>
    <t>Проволока   ф 0,3мм  -  3; 3,4кг по 1-й  катушке, деревянные</t>
  </si>
  <si>
    <t xml:space="preserve">Круг   140 мм -   0,31м(42,8кг) - 1шт  </t>
  </si>
  <si>
    <t xml:space="preserve">Круг   90 мм  - 90мм(5,2+5,5кг) по 1шт   </t>
  </si>
  <si>
    <t xml:space="preserve">Припой   ф5мм  - проволока бухта 3,9кг  </t>
  </si>
  <si>
    <t>Проволока   ф 1,0мм  по 15кг   -  2 катушка, пластиковая, в коробке</t>
  </si>
  <si>
    <t>Проволока   ф 0,8мм  по 15кг   -  7 катушек, пластиковая, в коробке</t>
  </si>
  <si>
    <t>Круг   51 мм -   0,41м(6,1кг); 0,38м(5,8кг) по 1шт</t>
  </si>
  <si>
    <t>Круг   130 мм -   55мм(6кг); 60мм(6,4кг) по 1шт</t>
  </si>
  <si>
    <t>Проволока   ф 6,0 мм -  37,5кг     бирка</t>
  </si>
  <si>
    <t xml:space="preserve">Лента бронзовая - 0,5х50мм  -  7,3; 7,6; 9; 10кг  по 1-й бухте    мягкая  </t>
  </si>
  <si>
    <r>
      <t xml:space="preserve">Лист  10 мм  -  0,32х0,42м(11,6+11,3кг); 0,3х0,49м(12кг); 0,31х0,49м(12,7кг) по 1шт  </t>
    </r>
    <r>
      <rPr>
        <b/>
        <sz val="10"/>
        <rFont val="Arial"/>
        <family val="2"/>
        <charset val="204"/>
      </rPr>
      <t>316-Ti</t>
    </r>
  </si>
  <si>
    <t xml:space="preserve">Круг  110 мм  - 0,38м(18,2кг) - 1шт </t>
  </si>
  <si>
    <r>
      <t xml:space="preserve">Круг  30 мм   -  1,34м(8,2кг); 0,67м(3,9кг)  по 1шт                   </t>
    </r>
    <r>
      <rPr>
        <b/>
        <sz val="10"/>
        <rFont val="Arial"/>
        <family val="2"/>
        <charset val="204"/>
      </rPr>
      <t>ЭП-202</t>
    </r>
  </si>
  <si>
    <r>
      <t xml:space="preserve">Шестигранник №46   -  2,16м(30,8кг); 2,05м(29кг клеймо) по 1шт              </t>
    </r>
    <r>
      <rPr>
        <b/>
        <sz val="10"/>
        <rFont val="Arial"/>
        <family val="2"/>
        <charset val="204"/>
      </rPr>
      <t xml:space="preserve"> ЭИ-961ш</t>
    </r>
  </si>
  <si>
    <t xml:space="preserve">Круг   40 мм - 2м; 2,24м - 4шт; 1,5м(31,7кг) - 2шт </t>
  </si>
  <si>
    <t xml:space="preserve">БРМЦ12Н2 </t>
  </si>
  <si>
    <t>Проволока   ф 6,0 мм  - 6,6кг  - 1 бухта</t>
  </si>
  <si>
    <t>Проволока   ф 0,25мм   - 8кг - 1 катушка пластик</t>
  </si>
  <si>
    <t>Лента 0,07х150мм - 11,4; 13,7кг по 1 рулону</t>
  </si>
  <si>
    <t>Круг   70 мм - 0,72м(23,3кг) - 1шт</t>
  </si>
  <si>
    <t>Круг   30 мм -  2,13м(12,6кг); 0,64м(3,8кг) по 1шт</t>
  </si>
  <si>
    <t>Круг  35мм   -  0,42м(3,5кг н\о) - 1шт</t>
  </si>
  <si>
    <r>
      <t xml:space="preserve">Круг  52 мм    -  0,31м(6,7кг)  - 1шт          </t>
    </r>
    <r>
      <rPr>
        <b/>
        <sz val="10"/>
        <rFont val="Arial"/>
        <family val="2"/>
        <charset val="204"/>
      </rPr>
      <t xml:space="preserve"> ЭП-199</t>
    </r>
  </si>
  <si>
    <t>ХН56ВМТЮ</t>
  </si>
  <si>
    <t>Круг  140 мм  -  0,25м(33,3кг) - 1шт      клеймо</t>
  </si>
  <si>
    <t>Проволока   ф 2 мм  - 3,5кг - 1 бухта</t>
  </si>
  <si>
    <t xml:space="preserve">Труба  46 х 3,0  -  1,98м(6,2кг)  - 1шт  </t>
  </si>
  <si>
    <t xml:space="preserve">Труба  50 х 9,5 -  1,13-1,14м </t>
  </si>
  <si>
    <t xml:space="preserve">Круг  8 мм  - 1,6-2м </t>
  </si>
  <si>
    <t>Круг   160 мм - 0,14м(22,3кг) - 1шт</t>
  </si>
  <si>
    <r>
      <t xml:space="preserve">Труба  63 х 15  -   0,66м(12,2кг) - 1шт               </t>
    </r>
    <r>
      <rPr>
        <b/>
        <sz val="10"/>
        <rFont val="Arial"/>
        <family val="2"/>
        <charset val="204"/>
      </rPr>
      <t>316</t>
    </r>
  </si>
  <si>
    <t>Проволока   1,5мм    -  75,2кг - 1  бухта</t>
  </si>
  <si>
    <t>Круг   25 мм  -  1,79-2,06м(30,6кг)   мягкий, клейма</t>
  </si>
  <si>
    <t xml:space="preserve">Лист  30 мм  -  0,62х0,74м(114кг); 0,63х0,75м(114,9кг) по 1шт                                  </t>
  </si>
  <si>
    <t xml:space="preserve">Круг  36 мм -  0,96м(7,7кг) - 1шт  </t>
  </si>
  <si>
    <t>Круг   25 мм  - 1,14м - 1шт</t>
  </si>
  <si>
    <t>Лента - 0,1х150мм - 43кг - 1 рулон</t>
  </si>
  <si>
    <t>Лента - 0,1х90мм - 24,1кг - 1 рулон  меряется 0,08мм!!!!</t>
  </si>
  <si>
    <r>
      <t xml:space="preserve">Лист  1,0 мм  -  0,7х1,38м(15,3кг) - 2шт; 0,66х1,38м(7,6кг); 0,75х1,32-1,37м(15,9кг) - 2шт; 0,75х1,08м(6,5кг); 0,59х1,5м(7кг) по 1шт   маркировка    </t>
    </r>
    <r>
      <rPr>
        <b/>
        <sz val="10"/>
        <rFont val="Arial"/>
        <family val="2"/>
        <charset val="204"/>
      </rPr>
      <t xml:space="preserve"> ЭИ-943 </t>
    </r>
  </si>
  <si>
    <r>
      <t xml:space="preserve">Труба  18 х 3,0 -  4,4-4,6м(41,7кг отрезали куски)                                              </t>
    </r>
    <r>
      <rPr>
        <b/>
        <sz val="10"/>
        <rFont val="Arial"/>
        <family val="2"/>
        <charset val="204"/>
      </rPr>
      <t>316-Тi</t>
    </r>
  </si>
  <si>
    <r>
      <t xml:space="preserve">Круг  32"-" мм  -  1,57-1,7м                      </t>
    </r>
    <r>
      <rPr>
        <b/>
        <sz val="10"/>
        <rFont val="Arial"/>
        <family val="2"/>
        <charset val="204"/>
      </rPr>
      <t>316-Тi</t>
    </r>
    <r>
      <rPr>
        <b/>
        <sz val="8.5"/>
        <rFont val="Arial"/>
        <family val="2"/>
        <charset val="204"/>
      </rPr>
      <t xml:space="preserve">  </t>
    </r>
  </si>
  <si>
    <t>Проволока   ф 3,5 мм  - 1,8; 2,4кг; 15,6кг по 1-й бухте</t>
  </si>
  <si>
    <t xml:space="preserve">Круг  325 мм  -  23мм(15,4кг); 25мм(16,6кг); 30мм(21,4кг) по 1шт                           </t>
  </si>
  <si>
    <t xml:space="preserve">Круг  215 мм  -   40мм(11,3кг); 100мм(28,3кг) по 1шт                           </t>
  </si>
  <si>
    <t xml:space="preserve">Труба  18 х 1,5  -  1,7-2м(10,6кг) </t>
  </si>
  <si>
    <t>Е3</t>
  </si>
  <si>
    <t>Круг  40 мм - 0,69+0,73+0,83м=25кг</t>
  </si>
  <si>
    <t>Круг  42 мм - 1м(12,4кг) - 1шт</t>
  </si>
  <si>
    <t>Круг   88 мм -  0,74м(по 40,5кг) - 4шт; 0,74м(40,8кг)  - 1шт</t>
  </si>
  <si>
    <r>
      <t xml:space="preserve">Лист  12 мм - 1,55х2,14м(108кг) - 1шт     </t>
    </r>
    <r>
      <rPr>
        <b/>
        <sz val="12"/>
        <rFont val="Arial"/>
        <family val="2"/>
        <charset val="204"/>
      </rPr>
      <t xml:space="preserve">  склад 2</t>
    </r>
  </si>
  <si>
    <r>
      <t xml:space="preserve">Труба  32 х 1,5  -  3,77-3,82м           </t>
    </r>
    <r>
      <rPr>
        <b/>
        <sz val="10"/>
        <rFont val="Arial"/>
        <family val="2"/>
        <charset val="204"/>
      </rPr>
      <t xml:space="preserve">  316-Ti</t>
    </r>
  </si>
  <si>
    <r>
      <t xml:space="preserve">Лист  10 мм  -  1,5х3м(700кг) - 2шт          </t>
    </r>
    <r>
      <rPr>
        <b/>
        <sz val="10"/>
        <rFont val="Arial"/>
        <family val="2"/>
        <charset val="204"/>
      </rPr>
      <t>склад 6</t>
    </r>
  </si>
  <si>
    <r>
      <t xml:space="preserve">Лист  2,2 мм - 0,76х0,99м(42кг) - 3шт; 0,55х1,1м(11,4кг) - 1шт     </t>
    </r>
    <r>
      <rPr>
        <b/>
        <sz val="10"/>
        <rFont val="Arial"/>
        <family val="2"/>
        <charset val="204"/>
      </rPr>
      <t>ЭИ-435</t>
    </r>
  </si>
  <si>
    <t>Труба  18 х 2,5   -  2,33м(2,3кг); 2,69м(2,7кг); 2,04м(2кг); 2,05+2,1м=4,4кг; 0,98м(1кг)   по 1шт</t>
  </si>
  <si>
    <t>Лист 5мм -  0,67х1м(15,6кг) - 1шт</t>
  </si>
  <si>
    <r>
      <t xml:space="preserve">Лист  6 мм  -  1х2м(95,4кг); 1х1,7м(80,9кг) по 1шт                  </t>
    </r>
    <r>
      <rPr>
        <b/>
        <sz val="10"/>
        <rFont val="Arial"/>
        <family val="2"/>
        <charset val="204"/>
      </rPr>
      <t>316-L</t>
    </r>
  </si>
  <si>
    <t xml:space="preserve">Круг  120 мм  -   0,74м(66,8кг) - 1шт </t>
  </si>
  <si>
    <r>
      <t xml:space="preserve">Круг  37 мм -  0,28-0,4м(21кг) н\о                            </t>
    </r>
    <r>
      <rPr>
        <b/>
        <sz val="10"/>
        <rFont val="Arial"/>
        <family val="2"/>
        <charset val="204"/>
      </rPr>
      <t xml:space="preserve"> 316-L</t>
    </r>
  </si>
  <si>
    <t>Труба  29 х 0,5   -  3,02м(1,1кг) - 1кг</t>
  </si>
  <si>
    <t xml:space="preserve">Труба  52 х 6,5  -  0,98м(7,6кг) - 1шт  </t>
  </si>
  <si>
    <r>
      <t xml:space="preserve">Круг  8 мм  -  2,2-2,7м    калиброваный и обычный             </t>
    </r>
    <r>
      <rPr>
        <b/>
        <sz val="10"/>
        <rFont val="Arial"/>
        <family val="2"/>
        <charset val="204"/>
      </rPr>
      <t>ЭИ-268</t>
    </r>
  </si>
  <si>
    <t xml:space="preserve">Лист 6мм -  1х2м(54,4+54,4кг) по 1шт </t>
  </si>
  <si>
    <r>
      <t xml:space="preserve">Лист  12 мм  -  1,5х0,86м(124кг) -  1шт       </t>
    </r>
    <r>
      <rPr>
        <b/>
        <sz val="10"/>
        <rFont val="Arial"/>
        <family val="2"/>
        <charset val="204"/>
      </rPr>
      <t xml:space="preserve">склад 6   </t>
    </r>
    <r>
      <rPr>
        <b/>
        <sz val="8"/>
        <rFont val="Arial"/>
        <family val="2"/>
        <charset val="204"/>
      </rPr>
      <t xml:space="preserve">   </t>
    </r>
  </si>
  <si>
    <r>
      <t xml:space="preserve">Труба  219 х 8,0  -  4,57м - 1шт        </t>
    </r>
    <r>
      <rPr>
        <b/>
        <sz val="10"/>
        <rFont val="Arial"/>
        <family val="2"/>
        <charset val="204"/>
      </rPr>
      <t xml:space="preserve"> склад 6     </t>
    </r>
    <r>
      <rPr>
        <b/>
        <sz val="8.3000000000000007"/>
        <rFont val="Arial"/>
        <family val="2"/>
        <charset val="204"/>
      </rPr>
      <t xml:space="preserve">              </t>
    </r>
  </si>
  <si>
    <r>
      <t xml:space="preserve">Труба  32 х 3,0  -  2,3м(5кг); 6,3; 4,75м по 1шт                 </t>
    </r>
    <r>
      <rPr>
        <b/>
        <sz val="10"/>
        <rFont val="Arial"/>
        <family val="2"/>
        <charset val="204"/>
      </rPr>
      <t>316-Ti</t>
    </r>
  </si>
  <si>
    <r>
      <t xml:space="preserve">Труба  19 х 1,5  -  2,4-3,2м(88,7кг); 5,2м(3,7кг); 1,46м(1кг)           </t>
    </r>
    <r>
      <rPr>
        <b/>
        <sz val="10"/>
        <rFont val="Arial"/>
        <family val="2"/>
        <charset val="204"/>
      </rPr>
      <t>316-L</t>
    </r>
  </si>
  <si>
    <t xml:space="preserve">Круг   16 мм  -  1,96м(3,2кг) - 1шт    </t>
  </si>
  <si>
    <t>Полоса        2х25мм   -  18,1; 13,2; 16,5кг по 1-й  бухте</t>
  </si>
  <si>
    <t xml:space="preserve">Круг  20 мм -  0,56м(2,7кг) - 2шт </t>
  </si>
  <si>
    <r>
      <t xml:space="preserve">Труба  159 х 7,5-8   -  6м - 2шт          </t>
    </r>
    <r>
      <rPr>
        <b/>
        <sz val="10"/>
        <rFont val="Arial"/>
        <family val="2"/>
        <charset val="204"/>
      </rPr>
      <t>склад 6</t>
    </r>
  </si>
  <si>
    <t xml:space="preserve">Круг  100(98) мм   -  1,2м(81,8кг клеймо) - 1шт </t>
  </si>
  <si>
    <t>42Н</t>
  </si>
  <si>
    <r>
      <t xml:space="preserve">Круг  39 мм   -  1,09м(11,6кг) - 1шт                </t>
    </r>
    <r>
      <rPr>
        <b/>
        <sz val="10"/>
        <rFont val="Arial"/>
        <family val="2"/>
        <charset val="204"/>
      </rPr>
      <t xml:space="preserve"> ЭИ-868</t>
    </r>
  </si>
  <si>
    <t xml:space="preserve">Лист медный 3,0 мм - 0,6х1,5м(46,1кг) - 2шт </t>
  </si>
  <si>
    <t xml:space="preserve">Круг 10-11мм  -  0,57-0,8м(4,8кг н\о, в т.ч. 1,01м)               </t>
  </si>
  <si>
    <r>
      <t xml:space="preserve">Лист  45(46) мм  - 0,44х0,73м(121кг); 0,4х0,9м(136кг); 0,42х0,75м(119кг) по 1шт    </t>
    </r>
    <r>
      <rPr>
        <b/>
        <sz val="10"/>
        <rFont val="Arial"/>
        <family val="2"/>
        <charset val="204"/>
      </rPr>
      <t xml:space="preserve"> склад 6</t>
    </r>
  </si>
  <si>
    <t>Полоса        2х40мм  -  12,4кг - 1 бухта</t>
  </si>
  <si>
    <t>Круг   100 мм - 0,58м(39,9кг); 0,6м(42кг); 0,58м(39,3кг); 0,37м(26кг); 0,36м(25,3кг); 0,33м(22,4кг); 0,29м(20,8кг); 0,32м(23,5кг найти!!!!);  0,19м(13,5кг найти!!!)  по 1шт</t>
  </si>
  <si>
    <r>
      <t xml:space="preserve">Труба  60 х 6,5-7,5  - 3,7м(34,6кг) - 1шт                           </t>
    </r>
    <r>
      <rPr>
        <b/>
        <sz val="10"/>
        <rFont val="Arial"/>
        <family val="2"/>
        <charset val="204"/>
      </rPr>
      <t xml:space="preserve">  316-Ti  </t>
    </r>
    <r>
      <rPr>
        <b/>
        <sz val="8.3000000000000007"/>
        <rFont val="Arial"/>
        <family val="2"/>
        <charset val="204"/>
      </rPr>
      <t xml:space="preserve">                 </t>
    </r>
    <r>
      <rPr>
        <b/>
        <sz val="10"/>
        <rFont val="Arial"/>
        <family val="2"/>
        <charset val="204"/>
      </rPr>
      <t xml:space="preserve">   </t>
    </r>
  </si>
  <si>
    <t xml:space="preserve">Круг  200мм  -  60мм(15,3; 14,9кг) по 1шт                           </t>
  </si>
  <si>
    <t>Круг  80 мм - 0,51м(11,8кг клеймо) - 1шт</t>
  </si>
  <si>
    <t>Проволока  1,0 мм  -  4,5кг - 1 катушка</t>
  </si>
  <si>
    <t xml:space="preserve">Труба 45х0,75  по 2,5м  </t>
  </si>
  <si>
    <r>
      <t xml:space="preserve">Труба  25 х 3,0  - 1,95м(3,1кг) - 1шт                                        </t>
    </r>
    <r>
      <rPr>
        <b/>
        <sz val="10"/>
        <rFont val="Arial"/>
        <family val="2"/>
        <charset val="204"/>
      </rPr>
      <t xml:space="preserve"> </t>
    </r>
  </si>
  <si>
    <t>Проволока   0,32мм  - 11,4кг - 1 катушка железная</t>
  </si>
  <si>
    <t>ХН45МВТЮБР</t>
  </si>
  <si>
    <r>
      <t xml:space="preserve">Лист  3 мм -   </t>
    </r>
    <r>
      <rPr>
        <b/>
        <sz val="8.5"/>
        <rFont val="Arial"/>
        <family val="2"/>
        <charset val="204"/>
      </rPr>
      <t xml:space="preserve"> 0,71х1,23м(22кг) -  1шт      </t>
    </r>
    <r>
      <rPr>
        <b/>
        <sz val="10"/>
        <rFont val="Arial"/>
        <family val="2"/>
        <charset val="204"/>
      </rPr>
      <t>маркир                        ЭП-718</t>
    </r>
    <r>
      <rPr>
        <b/>
        <sz val="8.3000000000000007"/>
        <rFont val="Arial"/>
        <family val="2"/>
        <charset val="204"/>
      </rPr>
      <t xml:space="preserve"> ИД</t>
    </r>
  </si>
  <si>
    <r>
      <t xml:space="preserve">Лист  4,0 мм -  1,05х1,25м(41кг) - 1шт         </t>
    </r>
    <r>
      <rPr>
        <b/>
        <sz val="10"/>
        <rFont val="Arial"/>
        <family val="2"/>
        <charset val="204"/>
      </rPr>
      <t>РИФЛЕНЫЙ</t>
    </r>
  </si>
  <si>
    <r>
      <t xml:space="preserve">Шестигранник №24  -  1,2-1,4м - 14шт            </t>
    </r>
    <r>
      <rPr>
        <b/>
        <sz val="10"/>
        <rFont val="Arial"/>
        <family val="2"/>
        <charset val="204"/>
      </rPr>
      <t>ЭП-288</t>
    </r>
  </si>
  <si>
    <r>
      <t xml:space="preserve">Труба  112 х 21 -  0,19м(10кг) - 1шт        </t>
    </r>
    <r>
      <rPr>
        <b/>
        <sz val="10"/>
        <rFont val="Arial"/>
        <family val="2"/>
        <charset val="204"/>
      </rPr>
      <t xml:space="preserve"> </t>
    </r>
  </si>
  <si>
    <t xml:space="preserve">Труба  141 х 15-16 -  0,26м(12,8кг) - 1шт </t>
  </si>
  <si>
    <r>
      <t xml:space="preserve">Труба  22 х 2,5 -  2,73-3,4м(35кг)     </t>
    </r>
    <r>
      <rPr>
        <b/>
        <sz val="10"/>
        <rFont val="Arial"/>
        <family val="2"/>
        <charset val="204"/>
      </rPr>
      <t>316-Ti</t>
    </r>
  </si>
  <si>
    <t xml:space="preserve">Труба  57 х 4,0 - 1,37+1,5м=8,4кг  </t>
  </si>
  <si>
    <t xml:space="preserve">Шестигранник №24 -  0,25-1м </t>
  </si>
  <si>
    <t xml:space="preserve">Труба  141 х 14-16 -  0,19м(9,7кг) - 1шт </t>
  </si>
  <si>
    <r>
      <t xml:space="preserve">Труба  114(113) х 25-27 -  0,2м(11,6кг) - 1шт        </t>
    </r>
    <r>
      <rPr>
        <b/>
        <sz val="10"/>
        <rFont val="Arial"/>
        <family val="2"/>
        <charset val="204"/>
      </rPr>
      <t xml:space="preserve"> </t>
    </r>
  </si>
  <si>
    <r>
      <t xml:space="preserve">Труба  102(101) х 23 -  0,2м(9,2кг) - 1шт        </t>
    </r>
    <r>
      <rPr>
        <b/>
        <sz val="10"/>
        <rFont val="Arial"/>
        <family val="2"/>
        <charset val="204"/>
      </rPr>
      <t xml:space="preserve"> </t>
    </r>
  </si>
  <si>
    <t>Круг   8 мм   -  3-3,15м   птв</t>
  </si>
  <si>
    <t>Круг   50(49) мм  -  0,52м(8,4кг) - 1шт</t>
  </si>
  <si>
    <t>Проволока   ф 5,0 мм  - 12,1; 2,7кг по 1-й бухте</t>
  </si>
  <si>
    <t xml:space="preserve">Круг  60 мм -  2,05м(25,9кг клеймо) - 1шт   </t>
  </si>
  <si>
    <r>
      <t xml:space="preserve">Лист  30 мм  -  0,75х1,5м(277кг без угла 4х4см) -  1шт       </t>
    </r>
    <r>
      <rPr>
        <b/>
        <sz val="10"/>
        <rFont val="Arial"/>
        <family val="2"/>
        <charset val="204"/>
      </rPr>
      <t>склад 2</t>
    </r>
  </si>
  <si>
    <t>Лист  1,0 мм - 1,25х2,19м(21,7кг); 1х1,59м(12,3кг); 0,79х0,9м(16,4кг) - 3шт</t>
  </si>
  <si>
    <t>Круг   140 мм -   0,79м(105,4кг); 0,6м(80,8кг) по 1шт</t>
  </si>
  <si>
    <t>Проволока  3,0  мм    -  12,7кг; 13,9кг  по  1-й бухте   твердая</t>
  </si>
  <si>
    <t>Труба  48 х 10  -  1,16-1,18м + 0,98м</t>
  </si>
  <si>
    <t>Труба 36х0,8 -  3м - 7шт    клеймо</t>
  </si>
  <si>
    <t>Круг  38 мм -  2,3м - 3шт; 1,17м - 1шт</t>
  </si>
  <si>
    <t>Лист 0,3мм -  0,6х2м(19,5кг) - 11шт   маркированы</t>
  </si>
  <si>
    <t xml:space="preserve">Круг   40 мм  -  0,12; 0,14; 0,15; 0,17; 0,22; 0,26м  по 1шт                  </t>
  </si>
  <si>
    <t>Проволока  1,2 мм  -  15,3кг по 1-й бухте</t>
  </si>
  <si>
    <t xml:space="preserve">Труба  38 х 3,5  -  2,4м(7,1кг) - 1шт                </t>
  </si>
  <si>
    <t>Круг   50 мм  - 0,8м - 2шт; 0,57м - 1шт</t>
  </si>
  <si>
    <t>Круг  85 мм  -  1,12м(48,9кг клеймо) - 1шт</t>
  </si>
  <si>
    <r>
      <t xml:space="preserve">Труба  142 х 6,5-7 -   0,6м(14кг) - 1шт      </t>
    </r>
    <r>
      <rPr>
        <b/>
        <sz val="10"/>
        <rFont val="Arial"/>
        <family val="2"/>
        <charset val="204"/>
      </rPr>
      <t xml:space="preserve">   316-Ti</t>
    </r>
  </si>
  <si>
    <t>Проволока   0,5 мм  -   бухты  0,1; 1,8; 2,8; 1,5; 2,8; 6,6; 5,2кг по 1 бухте</t>
  </si>
  <si>
    <r>
      <t xml:space="preserve">Труба  159 х 10   -  2,82м - 1шт   н\о          </t>
    </r>
    <r>
      <rPr>
        <b/>
        <sz val="10"/>
        <rFont val="Arial"/>
        <family val="2"/>
        <charset val="204"/>
      </rPr>
      <t>склад 6</t>
    </r>
  </si>
  <si>
    <t xml:space="preserve">Лист  5 мм  -  1,25х2м(99,5кг); 1х1,5м(59,8кг)  по 1шт  холоднокатаный; 1 сторона в пленке                     </t>
  </si>
  <si>
    <t>Труба 28х5,0  -  2,17м(2,2кг) - 1шт        клеймо</t>
  </si>
  <si>
    <r>
      <t xml:space="preserve">Круг  325 мм -   0,15м(103,8кг); 0,23м(156,5кг) по 1шт    клейма  </t>
    </r>
    <r>
      <rPr>
        <b/>
        <sz val="10"/>
        <rFont val="Arial"/>
        <family val="2"/>
        <charset val="204"/>
      </rPr>
      <t xml:space="preserve"> 316-Тi   склад 6</t>
    </r>
  </si>
  <si>
    <r>
      <t xml:space="preserve">Круг  325 мм -   0,3м(200,7кг); 0,21м(145+140,9кг); 0,2м(136кг); 0,25м(167кг); 0,28м(188,3кг); 0,19м(128,4кг)  по 1шт    клейма  </t>
    </r>
    <r>
      <rPr>
        <b/>
        <sz val="10"/>
        <rFont val="Arial"/>
        <family val="2"/>
        <charset val="204"/>
      </rPr>
      <t xml:space="preserve"> 316-я  склад 6</t>
    </r>
  </si>
  <si>
    <t xml:space="preserve">03Х17Н13М2 </t>
  </si>
  <si>
    <t>Труба  28 х 0,5  - 5-6м                склад 7</t>
  </si>
  <si>
    <t xml:space="preserve">Труба  62 х 3,0 - 1,98м(4,9кг) - 1шт  </t>
  </si>
  <si>
    <t>Проволока  0,3 мм  -  6,3кг - 1 катушка алюминиевая</t>
  </si>
  <si>
    <r>
      <t xml:space="preserve">Труба  22 х 3,0 -   2,93м(4,2кг) - 1шт     </t>
    </r>
    <r>
      <rPr>
        <b/>
        <sz val="10"/>
        <rFont val="Arial"/>
        <family val="2"/>
        <charset val="204"/>
      </rPr>
      <t>316-Ti</t>
    </r>
  </si>
  <si>
    <t>Труба  22 х 3,5  -  1,9-2,4м</t>
  </si>
  <si>
    <t>Лента латунная 0,5х300 мм - 4кг - 1 рулон   птв</t>
  </si>
  <si>
    <t>Полоса  0,7х115мм  -    длины 400-1200мм</t>
  </si>
  <si>
    <t>52К12Ф</t>
  </si>
  <si>
    <r>
      <t xml:space="preserve">Лента - 0,5х250мм - 20,2кг - 1 рулон         </t>
    </r>
    <r>
      <rPr>
        <b/>
        <sz val="10"/>
        <rFont val="Arial"/>
        <family val="2"/>
        <charset val="204"/>
      </rPr>
      <t xml:space="preserve"> </t>
    </r>
    <r>
      <rPr>
        <b/>
        <sz val="8.5"/>
        <rFont val="Arial"/>
        <family val="2"/>
        <charset val="204"/>
      </rPr>
      <t xml:space="preserve">  </t>
    </r>
  </si>
  <si>
    <t xml:space="preserve">Лист 4 мм -  0,8х1,49м(21,2кг) - 1шт </t>
  </si>
  <si>
    <t>Круг  140 мм  -  0,21м(25,4кг) - 1шт</t>
  </si>
  <si>
    <t>Круг  170 мм  -  0,14м(25,3кг клеймо); 115мм(20,8+20,8кг) по 1шт</t>
  </si>
  <si>
    <t>Круг  180 мм  -  95мм(19,8+19,8+19,3+19,3кг)  по 1шт</t>
  </si>
  <si>
    <t>Квадрат  190х190х220мм -  61,8кг - 1шт</t>
  </si>
  <si>
    <t>Круг   20 мм  -  1,38+2,3м=9,8кг   мягкий, клейма</t>
  </si>
  <si>
    <t>Труба  21 х 2,0  -   4,02м - 1шт</t>
  </si>
  <si>
    <t>Труба  60 х 5-5,5  -  2,7м(19,8кг) - 1шт</t>
  </si>
  <si>
    <r>
      <t xml:space="preserve">Лист  5 мм  -  0,34х0,62м(9,1кг); 0,36х0,64м(9,4кг); 0,3х0,63м(8кг)   по 1шт         </t>
    </r>
    <r>
      <rPr>
        <b/>
        <sz val="10"/>
        <rFont val="Arial"/>
        <family val="2"/>
        <charset val="204"/>
      </rPr>
      <t>ЭИ-435</t>
    </r>
  </si>
  <si>
    <r>
      <t xml:space="preserve">Лист  5 мм  -  0,33х0,49м(41,7кг) - 6шт      </t>
    </r>
    <r>
      <rPr>
        <b/>
        <sz val="10"/>
        <rFont val="Arial"/>
        <family val="2"/>
        <charset val="204"/>
      </rPr>
      <t>маркировка    ЭИ-435</t>
    </r>
  </si>
  <si>
    <t xml:space="preserve">Круг  15 мм  -   1,2-1,5м(196,7+107+91,8кг)   клеймо    </t>
  </si>
  <si>
    <t>Проволока   ф 1,2мм  -  6,2кг; 5,3кг; 25,2кг  по 1-й бухте</t>
  </si>
  <si>
    <t>07Х12НМБФ</t>
  </si>
  <si>
    <r>
      <t xml:space="preserve">Лист  2,8 мм -  0,68х1,29м(19,1кг) - 1шт  маркировка  </t>
    </r>
    <r>
      <rPr>
        <b/>
        <sz val="10"/>
        <rFont val="Arial"/>
        <family val="2"/>
        <charset val="204"/>
      </rPr>
      <t>ЭП-609</t>
    </r>
  </si>
  <si>
    <r>
      <t xml:space="preserve">Лист  1,0 -  0,71х1,54м(8,5кг) - 1шт              </t>
    </r>
    <r>
      <rPr>
        <b/>
        <sz val="10"/>
        <rFont val="Arial"/>
        <family val="2"/>
        <charset val="204"/>
      </rPr>
      <t xml:space="preserve">ЭИ-961  маркировка   </t>
    </r>
  </si>
  <si>
    <r>
      <t xml:space="preserve">Лист  1,0 -  0,71х1,43м(8,1кг) - 1шт              </t>
    </r>
    <r>
      <rPr>
        <b/>
        <sz val="10"/>
        <rFont val="Arial"/>
        <family val="2"/>
        <charset val="204"/>
      </rPr>
      <t xml:space="preserve">ЭИ-703  маркировка   </t>
    </r>
  </si>
  <si>
    <t xml:space="preserve">Труба  95 х 6,0  -  1,26м(16,4кг) - 1шт </t>
  </si>
  <si>
    <r>
      <t xml:space="preserve">Труба  30 х 4,0  -  0,9-1,18м(19,4кг); 1,09-1,18м(11,8кг)           </t>
    </r>
    <r>
      <rPr>
        <b/>
        <sz val="10"/>
        <rFont val="Arial"/>
        <family val="2"/>
        <charset val="204"/>
      </rPr>
      <t>316-Ti</t>
    </r>
  </si>
  <si>
    <t xml:space="preserve">Круг   24 мм  -  0,32м(1,2кг); 0,25м(1,8кг) - 2шт; 0,25-0,26м(2,7кг) - 3шт  </t>
  </si>
  <si>
    <t xml:space="preserve">Круг   45 мм  -   0,32-0,4м(26,3кг)                  </t>
  </si>
  <si>
    <t>Проволока   1,4 мм  -   бухты 27,2; 9,9; 17,8; 23,1кг по 1шт</t>
  </si>
  <si>
    <t>Круг  40 мм -  0,24м - 2шт</t>
  </si>
  <si>
    <t xml:space="preserve">АМГ-4,5 </t>
  </si>
  <si>
    <r>
      <t xml:space="preserve">Проволока  1,2 мм  -   9,5кг - 1  бухта, бирка      </t>
    </r>
    <r>
      <rPr>
        <b/>
        <sz val="10"/>
        <rFont val="Arial"/>
        <family val="2"/>
        <charset val="204"/>
      </rPr>
      <t>ЭИ-868</t>
    </r>
  </si>
  <si>
    <r>
      <t xml:space="preserve">Проволока  1,2 мм  -  15,8кг  - 1 бухта      </t>
    </r>
    <r>
      <rPr>
        <b/>
        <sz val="10"/>
        <rFont val="Arial"/>
        <family val="2"/>
        <charset val="204"/>
      </rPr>
      <t>ЭП-56</t>
    </r>
  </si>
  <si>
    <t>Труба  21 х 2,0  - 2,5-2,98м</t>
  </si>
  <si>
    <t>Труба  85х22-23  -  1,45м - 1шт</t>
  </si>
  <si>
    <r>
      <t xml:space="preserve">Труба  22 х 3,0   -  1,47м(2,2кг)  - 1шт                                                  </t>
    </r>
    <r>
      <rPr>
        <b/>
        <sz val="10"/>
        <rFont val="Arial"/>
        <family val="2"/>
        <charset val="204"/>
      </rPr>
      <t>ЭИ-943</t>
    </r>
  </si>
  <si>
    <r>
      <t xml:space="preserve">Труба  214 х 22-23 -  100мм(12,9кг) - 1шт               </t>
    </r>
    <r>
      <rPr>
        <b/>
        <sz val="10"/>
        <rFont val="Arial"/>
        <family val="2"/>
        <charset val="204"/>
      </rPr>
      <t xml:space="preserve">   </t>
    </r>
  </si>
  <si>
    <t>Труба  21,3 х 2,0  -   2,6; 3,4м по 1шт</t>
  </si>
  <si>
    <t>Труба  35 х 2,0  -  2,18м(3,6кг); 2,03м(3,4кг) по 1шт</t>
  </si>
  <si>
    <t>Труба  45 х 2,0 -   1,7+2,09м=8,4кг</t>
  </si>
  <si>
    <t>Труба  45 х 3,0  -  1,95-3м</t>
  </si>
  <si>
    <t>Труба  52 х 2,5  - 3,02м(9,3кг) - 1шт</t>
  </si>
  <si>
    <r>
      <t xml:space="preserve">Лист  4 мм  - 1х1,5м(47,5кг, в пленке); 1,5х1,5м(71кг) по 1шт     холоднокатаный      </t>
    </r>
    <r>
      <rPr>
        <b/>
        <sz val="10"/>
        <rFont val="Arial"/>
        <family val="2"/>
        <charset val="204"/>
      </rPr>
      <t>316</t>
    </r>
  </si>
  <si>
    <t xml:space="preserve">Труба  89 х 4,5-5  -  2,91м(28,8кг); 2,74м(25кг); 2,89м(29,2кг); 2,9м(26,6+28,3кг); 2,99м(30кг); 2,98м(30,4кг); 3м(29,8кг)  по 1шт </t>
  </si>
  <si>
    <t>Круг  20 мм  - 1,4-2,2м         цветовая маркировка</t>
  </si>
  <si>
    <t xml:space="preserve">Круг  30 мм  - 1,1-2м      </t>
  </si>
  <si>
    <t>Круг  30 мм  - 1,57м(3,1кг) - 1шт</t>
  </si>
  <si>
    <t>Круг  34 мм  - 1,44+1,6м=7,5кг   клеймо</t>
  </si>
  <si>
    <t xml:space="preserve">БРАЖ-Нмц </t>
  </si>
  <si>
    <t xml:space="preserve">Круг   80 мм - 0,2м(7,9кг) - 1шт  </t>
  </si>
  <si>
    <r>
      <t xml:space="preserve">Труба  159 х 6-6,5  -   1,23м(29,5кг) - 1шт      </t>
    </r>
    <r>
      <rPr>
        <b/>
        <sz val="10"/>
        <rFont val="Arial"/>
        <family val="2"/>
        <charset val="204"/>
      </rPr>
      <t xml:space="preserve"> </t>
    </r>
  </si>
  <si>
    <t>Проволока   ф 0,6мм  - 7,3кг; 14,4кг; 15,9кг; 17,5кг  по 1-й бухте</t>
  </si>
  <si>
    <t xml:space="preserve">Круг  25 мм  - 1,07м(1,4кг) - 1шт   </t>
  </si>
  <si>
    <t xml:space="preserve">Круг ф7,5мм -  0,8м(0,35кг) - 1шт </t>
  </si>
  <si>
    <t>Труба  16 х 2,5  -  1,74м(1,5кг) - 1шт</t>
  </si>
  <si>
    <t xml:space="preserve">Круг  12 мм  - 1,49-1,51м(35,4кг н\о) </t>
  </si>
  <si>
    <r>
      <t xml:space="preserve">Круг  24 мм -  3,1м(10,8кг) - 1шт      </t>
    </r>
    <r>
      <rPr>
        <b/>
        <sz val="10"/>
        <rFont val="Arial"/>
        <family val="2"/>
        <charset val="204"/>
      </rPr>
      <t>ЭИ-268</t>
    </r>
  </si>
  <si>
    <t>Круг   20 мм  -  1,65-2,06м(15,8кг)   мягкий, клейма</t>
  </si>
  <si>
    <t xml:space="preserve">Труба  73 х 8,5-9 -  2,7м(35,2кг) - 1шт </t>
  </si>
  <si>
    <t>Круг  50(49) мм -  0,99м(15кг н\о) - 1шт</t>
  </si>
  <si>
    <r>
      <t xml:space="preserve">Проволока  1,2 мм  -  6,8кг; 35кг по 1-й бухте      </t>
    </r>
    <r>
      <rPr>
        <b/>
        <sz val="10"/>
        <rFont val="Arial"/>
        <family val="2"/>
        <charset val="204"/>
      </rPr>
      <t>ЭП-367</t>
    </r>
  </si>
  <si>
    <t xml:space="preserve">Шестигранник №19 -  3,06-3,65м(43,3кг); 0,75-1,6м(57,9кг); 0,71+0,71+0,38м=4,4кг </t>
  </si>
  <si>
    <t>Труба  48 х 7,0  - 1,4м(9,7кг) - 1шт</t>
  </si>
  <si>
    <r>
      <t xml:space="preserve">Труба  32 х 3,0  -  6,1м(13,4кг); 2,08+2,05м=8,4кг; 1,47м(3,2кг) по 1шт                        </t>
    </r>
    <r>
      <rPr>
        <b/>
        <sz val="10"/>
        <rFont val="Arial"/>
        <family val="2"/>
        <charset val="204"/>
      </rPr>
      <t xml:space="preserve">ЭИ-943  </t>
    </r>
  </si>
  <si>
    <r>
      <t xml:space="preserve">Круг  176 мм  -   1,38м(265кг) -  1шт              клеймо                    </t>
    </r>
    <r>
      <rPr>
        <b/>
        <sz val="10"/>
        <rFont val="Arial"/>
        <family val="2"/>
        <charset val="204"/>
      </rPr>
      <t>склад 6</t>
    </r>
  </si>
  <si>
    <t xml:space="preserve">Круг  160 мм  -  0,12м(19,3кг); 80мм(12,7кг) по 1шт    н\о                     </t>
  </si>
  <si>
    <t xml:space="preserve">Лист 7мм - 0,32х0,43м(38кг) - 9шт   </t>
  </si>
  <si>
    <t xml:space="preserve">Лист 0,5мм -  0,6х1,23м(1,7кг) - 1шт; 0,59х0,9м(3,6кг) - 3шт </t>
  </si>
  <si>
    <t xml:space="preserve">Труба  32 х 3,5  -  1,19-1,85м(11кг); 1,54м(3,9кг); 1,86м(4,3кг); 1,7м(3,9кг) </t>
  </si>
  <si>
    <t>Круг   129 мм -  65мм(6,6кг) - 1шт</t>
  </si>
  <si>
    <t xml:space="preserve">Шестигранник №24мм - 2,46-2,7м  </t>
  </si>
  <si>
    <t>Проволока   ф 1,0мм  - 5; 8,3; 10,5; 7,3кг по 1-й бухте</t>
  </si>
  <si>
    <r>
      <t xml:space="preserve">Лист  20 мм  -  0,48х1,5м(116кг) - 1шт  маркирован  </t>
    </r>
    <r>
      <rPr>
        <b/>
        <sz val="10"/>
        <rFont val="Arial"/>
        <family val="2"/>
        <charset val="204"/>
      </rPr>
      <t>1.4828</t>
    </r>
    <r>
      <rPr>
        <b/>
        <sz val="8.3000000000000007"/>
        <rFont val="Arial"/>
        <family val="2"/>
        <charset val="204"/>
      </rPr>
      <t xml:space="preserve">  </t>
    </r>
    <r>
      <rPr>
        <b/>
        <sz val="10"/>
        <rFont val="Arial"/>
        <family val="2"/>
        <charset val="204"/>
      </rPr>
      <t>склад 6</t>
    </r>
  </si>
  <si>
    <t>Труба  46х5,0  - 1,79м(9,7кг) - 1шт</t>
  </si>
  <si>
    <t>Лист  1,0 мм  -  0,7х1,36-1,44м  -  3шт    маркирован</t>
  </si>
  <si>
    <t xml:space="preserve">Круг  10 мм -   0,65-0,67м(29,5кг) </t>
  </si>
  <si>
    <r>
      <t xml:space="preserve">Проволока  3,0 мм  -   40кг - 1  бухта    бирка       </t>
    </r>
    <r>
      <rPr>
        <b/>
        <sz val="10"/>
        <rFont val="Arial"/>
        <family val="2"/>
        <charset val="204"/>
      </rPr>
      <t>ЭП-367</t>
    </r>
  </si>
  <si>
    <t xml:space="preserve">Труба  114 х 9,0 -  3,16м(74кг н\о) - 1шт        </t>
  </si>
  <si>
    <t xml:space="preserve">Проволока   3,5мм  -  38,2; 7,6кг; 9кг  по 1-й бухте    </t>
  </si>
  <si>
    <t>Круг  16"-" мм -   2,78м(2,4кг) - 1шт</t>
  </si>
  <si>
    <t>Круг  30 мм  -  0,97м(3кг)  - 1шт</t>
  </si>
  <si>
    <t xml:space="preserve">Лист  0,8 мм  -  1,1х2м(по 14кг) - 4шт </t>
  </si>
  <si>
    <r>
      <t xml:space="preserve">Лист  0,8 мм - 0,65-0,77х0,7м(22,3кг) - 6шт      </t>
    </r>
    <r>
      <rPr>
        <b/>
        <sz val="10"/>
        <rFont val="Arial"/>
        <family val="2"/>
        <charset val="204"/>
      </rPr>
      <t xml:space="preserve">    ЭИ-868</t>
    </r>
  </si>
  <si>
    <r>
      <t xml:space="preserve">Труба  20 х 3,0 -   2,9-3,3м(53,7кг); 6,1-6,3м(29,8кг отрезали куски)           </t>
    </r>
    <r>
      <rPr>
        <b/>
        <sz val="10"/>
        <rFont val="Arial"/>
        <family val="2"/>
        <charset val="204"/>
      </rPr>
      <t xml:space="preserve"> 316-L</t>
    </r>
  </si>
  <si>
    <t>Проволока  3,0  мм    -  27,5кг - 1 бухта  средней твердости</t>
  </si>
  <si>
    <t>Лента латунная 0,15х200 мм - 18,4кг - 1 рулон   птв</t>
  </si>
  <si>
    <t>Труба  38 х 4,0  -  1,5-1,57м    найти!!!!!!</t>
  </si>
  <si>
    <t xml:space="preserve">Шестигранник №22  -  0,8+1м=6кг </t>
  </si>
  <si>
    <t>Труба  15 х 1,5   -   2,4м - 1шт</t>
  </si>
  <si>
    <r>
      <t xml:space="preserve">Круг  72 мм -  0,18; 0,17; 0,18; 0,21; 0,16 по 1шт </t>
    </r>
    <r>
      <rPr>
        <b/>
        <sz val="10"/>
        <rFont val="Arial"/>
        <family val="2"/>
        <charset val="204"/>
      </rPr>
      <t xml:space="preserve"> клеймо  ЭИ-868</t>
    </r>
  </si>
  <si>
    <t>Шестигранник №32(31)  - 280-290мм  н\о</t>
  </si>
  <si>
    <t>Шестигранник №33  - 290; 290мм по 1шт  н\о; 0,32м - 1шт светл</t>
  </si>
  <si>
    <t xml:space="preserve">Шестигранник №37  - 200-300мм  н\о </t>
  </si>
  <si>
    <t>Круг  32 мм  -  0,3м(1,9кг); 0,35+0,36м=4,7кг по 1шт</t>
  </si>
  <si>
    <t xml:space="preserve">Круг  12 мм  - 3,9-4,1м(отрезали 2; 0,35м)    </t>
  </si>
  <si>
    <t>Проволока   0,3мм  - 6,5кг; 10кг  по  1-й катушке                                1,8кг(найти!!!!)  -  1шт</t>
  </si>
  <si>
    <t xml:space="preserve">Труба  40 х 3,0   -  1,81м(5,1кг)  - 1шт       </t>
  </si>
  <si>
    <t xml:space="preserve">Труба  25х2,0  -  6м(77,5кг, в т.ч. 1шт 3,5м) </t>
  </si>
  <si>
    <t xml:space="preserve">Труба  30 х 5,0  -  1,07-1,17м </t>
  </si>
  <si>
    <t>Труба  60 х 3,5  - 2,32м(11кг) - 1шт</t>
  </si>
  <si>
    <t xml:space="preserve">Труба  42 х 3,0   -  2,85-2,98м </t>
  </si>
  <si>
    <t>Круг   18 мм - 1,7-3,2м(90,1кг); 0,56м(1,2кг)</t>
  </si>
  <si>
    <t xml:space="preserve">Круг  72 мм   -   0,21м(8кг) - 1шт     </t>
  </si>
  <si>
    <t>Лист  3 мм  -   1х2м(49кг) - 1шт</t>
  </si>
  <si>
    <t>Проволока   0,4 мм  -   катушка алюминий  3кг - 1 шт</t>
  </si>
  <si>
    <t>Проволока   0,4мм  - 7,7кг(алюминий катушка) - 1шт</t>
  </si>
  <si>
    <t>Проволока   0,5мм  - 8,5кг - 1 катушка железная</t>
  </si>
  <si>
    <t>Лист  6 мм -   1х1,5м(68,2+68,4+68,4+68,4кг); 0,61х1,5м(42кг); 1,08х1,5м(74,3кг) по 1шт</t>
  </si>
  <si>
    <r>
      <t xml:space="preserve">Труба  57 х 3,5  -  1,8м(8,2кг); 0,97м(4,6кг) по 1шт           </t>
    </r>
    <r>
      <rPr>
        <b/>
        <sz val="10"/>
        <rFont val="Arial"/>
        <family val="2"/>
        <charset val="204"/>
      </rPr>
      <t xml:space="preserve">316-Ті   </t>
    </r>
  </si>
  <si>
    <t>Анод никель 10мм - 0,2х1м(17,5; 17,5кг) по 1шт</t>
  </si>
  <si>
    <t>Проволока   1,0мм  -  2,8кг - 1 бухта</t>
  </si>
  <si>
    <t>Шестигранник №30мм - 0,73м(1,5кг); 2,59-2,64м(14,5кг в т.ч. 1шт 1,57м) - 3шт</t>
  </si>
  <si>
    <t xml:space="preserve">Труба  30 х 5,0 - 1,68м(5,4кг) - 1шт                                       2-2,1м(12кг найти!!!) </t>
  </si>
  <si>
    <t>Круг   24 мм -  0,66-1,03м</t>
  </si>
  <si>
    <t>Проволока   ф 0,2мм  -  2,2кг - 1  катушка, пластиковая</t>
  </si>
  <si>
    <t xml:space="preserve">Круг  36 мм - 1,49-1,5м(93,5кг, в т.ч 0,89м - 1шт) </t>
  </si>
  <si>
    <t xml:space="preserve">Труба  114 х 7,5  - 3,39м(62,8кг); 3,09м(58кг); 1,56м(29,5+29,5кг); 1,67м(29,5кг)  - 1шт  </t>
  </si>
  <si>
    <t xml:space="preserve">Лента медная рулон  0,2х300мм - 23,5кг - 1шт   очень мягкая </t>
  </si>
  <si>
    <t xml:space="preserve">Шестигранник №22 - 0,4-0,83м              </t>
  </si>
  <si>
    <t xml:space="preserve">Круг  100 мм  -  0,52м(32,8кг); 0,35м(21,6кг) по 1шт    </t>
  </si>
  <si>
    <t>Круг  25 мм  - 0,75+0,79+0,86м=5,2кг  по 1шт; 2,41м(5,3кг)  по 1шт     красно\черный торец</t>
  </si>
  <si>
    <t xml:space="preserve">Труба  57 х 5,5  -  1,85+1,9м=26кг </t>
  </si>
  <si>
    <r>
      <t xml:space="preserve">Проволока  2,0 мм  -  12,9кг - 1  бухта       </t>
    </r>
    <r>
      <rPr>
        <b/>
        <sz val="10"/>
        <rFont val="Arial"/>
        <family val="2"/>
        <charset val="204"/>
      </rPr>
      <t>ЭИ-868</t>
    </r>
  </si>
  <si>
    <t>Круг  5 мм -  2,2-2,5м, отрезали куски</t>
  </si>
  <si>
    <t xml:space="preserve">Круг  75 мм -  0,27м(9,6кг) - 1шт                   1м(35,5кг  найти!!!!!!)           </t>
  </si>
  <si>
    <t>Круг   12 мм  -  0,86+0,91+1,05м=2,6кг</t>
  </si>
  <si>
    <t xml:space="preserve">Круг   80 мм -   0,14м(11,9кг) - 2шт </t>
  </si>
  <si>
    <t xml:space="preserve">Труба  56 х 3,0 - 1,74м(4,2кг) - 1шт  </t>
  </si>
  <si>
    <t>Круг   150 мм - 0,41м(65,4кг); 0,54м(83,7кг); 0,22м(34,6кг); 0,25м(39,1кг); 0,19м(29кг) по 1шт</t>
  </si>
  <si>
    <t>Проволока   1,6мм    -   11; 20,5кг по 1-й  бухте     (3,9кг найти!!!)</t>
  </si>
  <si>
    <t xml:space="preserve">Труба  45 х 2,5  -  2,45; 2,45м по 1шт </t>
  </si>
  <si>
    <r>
      <t xml:space="preserve">Проволока  1,6 мм  -  катушки по 15кг - 11шт бирки     </t>
    </r>
    <r>
      <rPr>
        <b/>
        <sz val="10"/>
        <rFont val="Arial"/>
        <family val="2"/>
        <charset val="204"/>
      </rPr>
      <t xml:space="preserve"> ER-307 </t>
    </r>
  </si>
  <si>
    <t>Труба  42 х 11,0  -   5,2; 4,27; 5,06м по 1шт</t>
  </si>
  <si>
    <t>Чушка кадмий -  4шт     КД-000 (бирка), лабораторный</t>
  </si>
  <si>
    <t>КД-0000</t>
  </si>
  <si>
    <t>Квадрат 5,5х5,5мм - 2,95-3,05м</t>
  </si>
  <si>
    <t xml:space="preserve">Труба 22х3,0 -  1,19м(0,5кг) - 1шт  </t>
  </si>
  <si>
    <t xml:space="preserve">Труба  38 х 3,0  -  2,95-3,25м(16,2кг) </t>
  </si>
  <si>
    <t xml:space="preserve">Круг  30 мм  - 0,42м(39,5кг) </t>
  </si>
  <si>
    <t>Лист  3 мм  -   1,25х2м - 1шт</t>
  </si>
  <si>
    <t>Труба  30 х 2,5"-"   -  2,4м(3,7кг) - 1шт</t>
  </si>
  <si>
    <r>
      <t xml:space="preserve">Труба  18 х 4,0  -  3,8-4,2м(177,8кг  отрезал куски  2,5; 2,1; 1 и 1м)   </t>
    </r>
    <r>
      <rPr>
        <b/>
        <sz val="10"/>
        <rFont val="Arial"/>
        <family val="2"/>
        <charset val="204"/>
      </rPr>
      <t>мельхиор</t>
    </r>
  </si>
  <si>
    <r>
      <t xml:space="preserve">Труба  18х4 - 3,8-4,2м, отрезали куски                 </t>
    </r>
    <r>
      <rPr>
        <b/>
        <sz val="12"/>
        <rFont val="Arial"/>
        <family val="2"/>
        <charset val="204"/>
      </rPr>
      <t xml:space="preserve"> мельхиор</t>
    </r>
  </si>
  <si>
    <t>Проволока   3мм  -  20,4кг; 15,3кг; 10кг; 22,8кг; 1,5кг; 4,3кг по 1-й бухте</t>
  </si>
  <si>
    <t>Труба 85х2,5 -  1,39-2,6м(20,2кг)      цветовая маркировка</t>
  </si>
  <si>
    <t>св АК-5</t>
  </si>
  <si>
    <t>Проволока   ф 5,5 мм -  5,4; 4,3кг по 1-й  бухте   сварочная проволока</t>
  </si>
  <si>
    <t>Проволока  1,6 мм - 37кг - 1 бухта    константант</t>
  </si>
  <si>
    <r>
      <t xml:space="preserve">Круг  100 мм  -  3,13м(190кг) - 1шт        </t>
    </r>
    <r>
      <rPr>
        <b/>
        <sz val="10"/>
        <rFont val="Arial"/>
        <family val="2"/>
        <charset val="204"/>
      </rPr>
      <t>склад 6</t>
    </r>
  </si>
  <si>
    <t xml:space="preserve">Круг  100 мм  -  0,46м(29,6кг) - 1шт </t>
  </si>
  <si>
    <r>
      <t xml:space="preserve">Круг  100 мм -  2,5м(155,4кг)  - 1шт                       </t>
    </r>
    <r>
      <rPr>
        <b/>
        <sz val="10"/>
        <rFont val="Arial"/>
        <family val="2"/>
        <charset val="204"/>
      </rPr>
      <t>склад 6</t>
    </r>
  </si>
  <si>
    <t xml:space="preserve">Круг  100 мм -  1м(61,8+61,9+62кг); 0,96м(59,4кг); 0,91м(56,8кг); 1,04м(64,8кг); 0,62м(39кг); 0,26м(17кг); 0,28м(18,8кг); 0,32м(20,3+20,3кг)  по  1шт </t>
  </si>
  <si>
    <t xml:space="preserve">Круг  100 мм -   0,5м(30,8кг) - 1шт </t>
  </si>
  <si>
    <t xml:space="preserve">Круг  100 мм  -  1,06м(65,1кг клеймо) - 1шт      </t>
  </si>
  <si>
    <t xml:space="preserve">Круг  100 мм -                                   0,56м(35,4кг  н\о клейм найти!!!) </t>
  </si>
  <si>
    <t>Круг  100 мм - 0,93м(58,3кг); 1,03м(64,5кг); 1м(62,3кг); 0,91м(56,5кг); 1,02м(62,9кг)  по 1шт    клеймо</t>
  </si>
  <si>
    <r>
      <t xml:space="preserve">Проволока  1,6 мм  -   19,2; 2,2; 3,6; 1,8; 1,2; 1,2кг по 1-й  бухте       </t>
    </r>
    <r>
      <rPr>
        <b/>
        <sz val="10"/>
        <rFont val="Arial"/>
        <family val="2"/>
        <charset val="204"/>
      </rPr>
      <t>ЭИ-868</t>
    </r>
  </si>
  <si>
    <t xml:space="preserve">Круг  160 мм  - 0,44м(24,7кг) - 1шт    </t>
  </si>
  <si>
    <t xml:space="preserve">Труба  201 х 22  -  0,12м(12,1кг) - 1шт </t>
  </si>
  <si>
    <t xml:space="preserve">Труба  191 х 22  -  0,11м(10,5кг) - 1шт </t>
  </si>
  <si>
    <t xml:space="preserve">Труба  170 х 27-28  -  0,11м(11,8кг) - 1шт </t>
  </si>
  <si>
    <r>
      <t>Труба  325 х 12-13 - 2,34; 2,39м по 1шт</t>
    </r>
    <r>
      <rPr>
        <b/>
        <sz val="10"/>
        <rFont val="Arial"/>
        <family val="2"/>
        <charset val="204"/>
      </rPr>
      <t xml:space="preserve">             склад 2</t>
    </r>
  </si>
  <si>
    <r>
      <t xml:space="preserve">Труба  76 х 12-13 -  6-6,2м  - 11шт            </t>
    </r>
    <r>
      <rPr>
        <b/>
        <sz val="10"/>
        <rFont val="Arial"/>
        <family val="2"/>
        <charset val="204"/>
      </rPr>
      <t xml:space="preserve"> склад 6     </t>
    </r>
    <r>
      <rPr>
        <b/>
        <sz val="8.3000000000000007"/>
        <rFont val="Arial"/>
        <family val="2"/>
        <charset val="204"/>
      </rPr>
      <t xml:space="preserve">              </t>
    </r>
  </si>
  <si>
    <t>Труба  159(158) х 16-17  -  0,9м(53,2кг); 1,15м(67кг); 1,08м(63,4кг); 1,18м(70кг); 1,11м(65,2кг) по 1шт</t>
  </si>
  <si>
    <t>Труба  26 х 3,3-3,5  -  1,64-1,7м(3,4кг)</t>
  </si>
  <si>
    <t xml:space="preserve">Круг   158 мм  - 0,31м(46,4кг) - 1шт   </t>
  </si>
  <si>
    <r>
      <t xml:space="preserve">Круг  90 мм -    0,67м(36,7кг клеймо) - 1шт          </t>
    </r>
    <r>
      <rPr>
        <b/>
        <sz val="10"/>
        <rFont val="Arial"/>
        <family val="2"/>
        <charset val="204"/>
      </rPr>
      <t xml:space="preserve">  ЭИ-943</t>
    </r>
  </si>
  <si>
    <r>
      <t xml:space="preserve">Проволока  2,0 мм  -  катушка 25кг - 1шт            </t>
    </r>
    <r>
      <rPr>
        <b/>
        <sz val="10"/>
        <rFont val="Arial"/>
        <family val="2"/>
        <charset val="204"/>
      </rPr>
      <t xml:space="preserve"> ER-307 </t>
    </r>
  </si>
  <si>
    <t>Проволока   ф 1,0мм  - 8,7; 7,2; 7,8; 4,8кг по 1 катушке, пластиковые</t>
  </si>
  <si>
    <r>
      <t xml:space="preserve">Проволока  1,2 мм  -  катушка 15кг - 1шт            </t>
    </r>
    <r>
      <rPr>
        <b/>
        <sz val="10"/>
        <rFont val="Arial"/>
        <family val="2"/>
        <charset val="204"/>
      </rPr>
      <t xml:space="preserve"> ER-307 </t>
    </r>
  </si>
  <si>
    <r>
      <t xml:space="preserve">Проволока  1,0 мм  -  катушки  по 15кг - 4шт железные катушки          </t>
    </r>
    <r>
      <rPr>
        <b/>
        <sz val="10"/>
        <rFont val="Arial"/>
        <family val="2"/>
        <charset val="204"/>
      </rPr>
      <t>308-L</t>
    </r>
    <r>
      <rPr>
        <b/>
        <sz val="8.3000000000000007"/>
        <rFont val="Arial"/>
        <family val="2"/>
        <charset val="204"/>
      </rPr>
      <t xml:space="preserve">                       </t>
    </r>
  </si>
  <si>
    <r>
      <t xml:space="preserve">Проволока  1,0 мм  -  катушка - 15кг - 1шт           </t>
    </r>
    <r>
      <rPr>
        <b/>
        <sz val="10"/>
        <rFont val="Arial"/>
        <family val="2"/>
        <charset val="204"/>
      </rPr>
      <t>316-L</t>
    </r>
    <r>
      <rPr>
        <b/>
        <sz val="8.3000000000000007"/>
        <rFont val="Arial"/>
        <family val="2"/>
        <charset val="204"/>
      </rPr>
      <t xml:space="preserve">                       </t>
    </r>
  </si>
  <si>
    <r>
      <t xml:space="preserve">Проволока  1,2 мм  -  катушка - 15кг - 1шт           </t>
    </r>
    <r>
      <rPr>
        <b/>
        <sz val="10"/>
        <rFont val="Arial"/>
        <family val="2"/>
        <charset val="204"/>
      </rPr>
      <t>316-L</t>
    </r>
    <r>
      <rPr>
        <b/>
        <sz val="8.3000000000000007"/>
        <rFont val="Arial"/>
        <family val="2"/>
        <charset val="204"/>
      </rPr>
      <t xml:space="preserve">                       </t>
    </r>
  </si>
  <si>
    <t>Проволока  0,5 мм  -  12кг - 1 бухта</t>
  </si>
  <si>
    <r>
      <t xml:space="preserve">Труба  57 х 4,0  - 3,08+3,1м=33,5кг                     </t>
    </r>
    <r>
      <rPr>
        <b/>
        <sz val="10"/>
        <rFont val="Arial"/>
        <family val="2"/>
        <charset val="204"/>
      </rPr>
      <t>ЭИ-943</t>
    </r>
  </si>
  <si>
    <r>
      <t xml:space="preserve">Круг  6 мм -  2,7м - 3шт          </t>
    </r>
    <r>
      <rPr>
        <b/>
        <sz val="10"/>
        <rFont val="Arial"/>
        <family val="2"/>
        <charset val="204"/>
      </rPr>
      <t>ЭИ-474</t>
    </r>
  </si>
  <si>
    <r>
      <t xml:space="preserve">Круг  40 мм  -  1,7; 2,54м по 1шт                    </t>
    </r>
    <r>
      <rPr>
        <b/>
        <sz val="10"/>
        <rFont val="Arial"/>
        <family val="2"/>
        <charset val="204"/>
      </rPr>
      <t>ЭИ-474</t>
    </r>
  </si>
  <si>
    <t>Труба  57 х 4-4,5  -  1,89м(9,6кг); 2-2,48м(188,9кг); 1,88м(10кг); 1,48м(8кг); 1,35м(7,4кг); 1,25м(6,8кг); 1,04м(5,7кг) по 1шт</t>
  </si>
  <si>
    <t xml:space="preserve">Труба  21 х 4,0 -  3,55-3,6м(26,8кг отрезали куски); 5,15м(8,5кг) - 1шт </t>
  </si>
  <si>
    <t>Круг   15 мм  -  0,72-1,4м(201,3кг); 0,59м(16,4кг)</t>
  </si>
  <si>
    <r>
      <t xml:space="preserve">Лента  0,1х60 мм  -   рулоны  39кг; 38,2кг по 1шт                           </t>
    </r>
    <r>
      <rPr>
        <b/>
        <sz val="10"/>
        <rFont val="Arial"/>
        <family val="2"/>
        <charset val="204"/>
      </rPr>
      <t>ЭИ-435</t>
    </r>
  </si>
  <si>
    <t>Круг   12 мм  -  1,6-3,3м</t>
  </si>
  <si>
    <t xml:space="preserve">Круг   42 мм  -   0,16м  - 1шт                  </t>
  </si>
  <si>
    <t xml:space="preserve">Лист 0,5мм -  0,51х1,49м(1,8кг) - 1шт </t>
  </si>
  <si>
    <r>
      <t xml:space="preserve">Круг  48мм  -  0,55м(8,6кг клеймо); 0,39м(6кг клеймо) по 1шт     </t>
    </r>
    <r>
      <rPr>
        <b/>
        <sz val="10"/>
        <rFont val="Arial"/>
        <family val="2"/>
        <charset val="204"/>
      </rPr>
      <t>ЭИ-702</t>
    </r>
    <r>
      <rPr>
        <b/>
        <sz val="8.3000000000000007"/>
        <rFont val="Arial"/>
        <family val="2"/>
        <charset val="204"/>
      </rPr>
      <t>ш</t>
    </r>
  </si>
  <si>
    <r>
      <t xml:space="preserve">Труба  133 х 27 -  2,3м - 1шт          </t>
    </r>
    <r>
      <rPr>
        <b/>
        <sz val="10"/>
        <rFont val="Arial"/>
        <family val="2"/>
        <charset val="204"/>
      </rPr>
      <t xml:space="preserve">   </t>
    </r>
    <r>
      <rPr>
        <b/>
        <sz val="8.3000000000000007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склад 6</t>
    </r>
  </si>
  <si>
    <t>Проволока   0,9мм  - 6,6; 12,7; 10,2; 10; 6,7; 11,9кг по 1-й бухте</t>
  </si>
  <si>
    <t>Круг  8 мм  -  1-1,2м(17,7кг); 0,45-0,55м(34,1кг)   н\о</t>
  </si>
  <si>
    <t xml:space="preserve">Лист  5 мм -  варианты порезки: 0,49х0,74м; 0,6х0,82м; 0,4х1,19м или 0,82х1,5м(без угла 80х490мм по длинной стороне) по 1шт; 0,18х0,2м(1,3кг) - 1шт      </t>
  </si>
  <si>
    <t>Труба 52х10  - 1,2м(4,5кг) - 1шт     цветовая маркировка</t>
  </si>
  <si>
    <t>Круг  100(99) мм - 0,35м(12,5кг) - 1шт</t>
  </si>
  <si>
    <t xml:space="preserve">Круг   5 мм -   2,9-3,1м </t>
  </si>
  <si>
    <t xml:space="preserve">Лист медный 5,0 мм - 0,5х1м(44,8кг) - 2шт </t>
  </si>
  <si>
    <t>Труба  50 х 13,0  -  0,77м(9,3кг) - 1шт</t>
  </si>
  <si>
    <t>Круг  25 мм  -  2,08-2,33м; 1,42м - 1шт</t>
  </si>
  <si>
    <t>Проволока   ф 1,2мм  -  6,2; 4; 1кг по 1-й бухте</t>
  </si>
  <si>
    <r>
      <t xml:space="preserve">Круг  110 мм -  0,86м(64,8+64,8+65+65кг)  по 1шт  </t>
    </r>
    <r>
      <rPr>
        <b/>
        <sz val="10"/>
        <rFont val="Arial"/>
        <family val="2"/>
        <charset val="204"/>
      </rPr>
      <t xml:space="preserve"> </t>
    </r>
    <r>
      <rPr>
        <b/>
        <sz val="8"/>
        <rFont val="Arial"/>
        <family val="2"/>
        <charset val="204"/>
      </rPr>
      <t>клеймо</t>
    </r>
    <r>
      <rPr>
        <b/>
        <sz val="10"/>
        <rFont val="Arial"/>
        <family val="2"/>
        <charset val="204"/>
      </rPr>
      <t xml:space="preserve">   ЭК-21 </t>
    </r>
    <r>
      <rPr>
        <b/>
        <sz val="8.3000000000000007"/>
        <rFont val="Arial"/>
        <family val="2"/>
        <charset val="204"/>
      </rPr>
      <t>вд</t>
    </r>
  </si>
  <si>
    <t>03Н18К8М5Твд</t>
  </si>
  <si>
    <r>
      <t xml:space="preserve">Шестигранник №22 -  1,25м(4,1кг); 0,98м(3,2кг); 1,04м(3,4кг); 0,57+0,56м=3,7кг; 0,46м(1,5кг); 0,74м(2,4кг)  по 1шт              </t>
    </r>
    <r>
      <rPr>
        <b/>
        <sz val="10"/>
        <rFont val="Arial"/>
        <family val="2"/>
        <charset val="204"/>
      </rPr>
      <t>ЭП-33вд</t>
    </r>
  </si>
  <si>
    <t>Никель лист 5 мм - 350х490мм(7,6кг) - 1шт   маркирован</t>
  </si>
  <si>
    <t>Круг  45 мм -  2,35м(16,4кг); 2,15м(14,9кг); 2,04м(14,1кг) по 1шт</t>
  </si>
  <si>
    <t>Круг  22 мм  -   2,14-2,17м   маркирован</t>
  </si>
  <si>
    <t>Труба  36"+" х 9,0  - 5,91; 5,94м по 1шт</t>
  </si>
  <si>
    <r>
      <t xml:space="preserve">Лист медный 62 мм -  0,67х0,67м - 1шт     </t>
    </r>
    <r>
      <rPr>
        <b/>
        <sz val="12"/>
        <rFont val="Arial"/>
        <family val="2"/>
        <charset val="204"/>
      </rPr>
      <t xml:space="preserve">    склад 2</t>
    </r>
    <r>
      <rPr>
        <b/>
        <sz val="10"/>
        <rFont val="Arial"/>
        <family val="2"/>
        <charset val="204"/>
      </rPr>
      <t xml:space="preserve">  </t>
    </r>
    <r>
      <rPr>
        <b/>
        <sz val="12"/>
        <rFont val="Arial"/>
        <family val="2"/>
        <charset val="204"/>
      </rPr>
      <t>режем нужный размер</t>
    </r>
  </si>
  <si>
    <r>
      <t xml:space="preserve">Лист медный 83 мм -  0,31х1,2м - 1шт     </t>
    </r>
    <r>
      <rPr>
        <b/>
        <sz val="12"/>
        <rFont val="Arial"/>
        <family val="2"/>
        <charset val="204"/>
      </rPr>
      <t xml:space="preserve">    склад 2</t>
    </r>
    <r>
      <rPr>
        <b/>
        <sz val="10"/>
        <rFont val="Arial"/>
        <family val="2"/>
        <charset val="204"/>
      </rPr>
      <t xml:space="preserve">  </t>
    </r>
    <r>
      <rPr>
        <b/>
        <sz val="12"/>
        <rFont val="Arial"/>
        <family val="2"/>
        <charset val="204"/>
      </rPr>
      <t>режем нужный размер</t>
    </r>
  </si>
  <si>
    <t>Круг  58 мм -  0,65м(13,6кг точеный) - 1шт</t>
  </si>
  <si>
    <t>Труба  32 х 4,0  -  1,82+1,98+1,98м=16кг</t>
  </si>
  <si>
    <t>Труба  65 х 4-4,5  - 1,46; 1,96м по 1шт</t>
  </si>
  <si>
    <t>Круг   90 мм -  0,38м(21,8кг); 90мм(6,2кг)  по 1шт</t>
  </si>
  <si>
    <t xml:space="preserve">Круг   60 мм  -  1,99м(50,7кг) - 1шт          (0,37м найти!!!) </t>
  </si>
  <si>
    <t xml:space="preserve">Труба  57 х 4,0 -  1,08-1,15м(54,7кг) - 9шт; 0,84м(3,8кг) - 1шт </t>
  </si>
  <si>
    <t>Труба  76 х 17-21    -  1,62-1,7м(224кг) - 5шт н\о</t>
  </si>
  <si>
    <t>Круг  180 мм  -  0,1м(12,3кг); 0,12м(14,2кг клеймо) по 1шт</t>
  </si>
  <si>
    <r>
      <t xml:space="preserve">Лист  8 мм  -  0,92х2м(115,5кг); 0,92х1,7м(97,5кг) по 1шт, холоднокатаный,  1 сторона в пленке          </t>
    </r>
    <r>
      <rPr>
        <b/>
        <sz val="10"/>
        <rFont val="Arial"/>
        <family val="2"/>
        <charset val="204"/>
      </rPr>
      <t>316-L</t>
    </r>
    <r>
      <rPr>
        <b/>
        <sz val="8.5"/>
        <rFont val="Arial"/>
        <family val="2"/>
        <charset val="204"/>
      </rPr>
      <t xml:space="preserve">     склад  6</t>
    </r>
  </si>
  <si>
    <t xml:space="preserve">Круг   48 мм - 0,39м(5,8кг); 0,36м(5,6кг) по 1шт  </t>
  </si>
  <si>
    <t>Круг  148 мм  - 0,9м(138,8кг) -  1шт</t>
  </si>
  <si>
    <t>Круг  148 мм  - 0,82м(130кг клеймо М1)  -  1шт</t>
  </si>
  <si>
    <t>Лист  3 мм  -   0,63х0,83м(13кг); 0,57х1,02м(13,4кг) по 1шт</t>
  </si>
  <si>
    <t>Труба  38 х 3,0  -  3,36; 3,59; 5,87; 5,89м; 2,28м(6,2кг) по 1шт</t>
  </si>
  <si>
    <t xml:space="preserve">Круг   100 мм - 0,155м(9,6кг); 0,15м(8,8кг); 57мм(3,5кг) по 1шт </t>
  </si>
  <si>
    <t xml:space="preserve">Круг  150 мм  - 0,62м(51,9кг); 0,38м(31,8кг); 0,48м(39,7кг); 80мм(6,7кг) по 1шт    клеймо  </t>
  </si>
  <si>
    <t xml:space="preserve">Круг   12 мм  - 2,7-3,1м(108,8кг); 0,88-1,1м(0,9кг); 0,8м(0,7кг) </t>
  </si>
  <si>
    <t>Проволока   0,13мм -  катушка 2кг - 1шт   пластиковая</t>
  </si>
  <si>
    <t>Проволока   0,14мм -  катушка 1,5кг - 1шт   пластиковая</t>
  </si>
  <si>
    <t xml:space="preserve">Круг   100 мм -  0,98мм(66,9кг); 0,79м(54,1кг клеймо)  по 1шт </t>
  </si>
  <si>
    <t>Лист латунный 1,8 мм - 0,6х1,5м(13кг) - 1шт    птв</t>
  </si>
  <si>
    <t>Труба  133 х 6-6,5  -  3,52м(70,6кг); 3,56м(67,3кг); 3,58м(70кг); 3,5м(68,3кг) по 1шт</t>
  </si>
  <si>
    <t>Круг  35"+" мм -  3,5-3,54м - 4шт; 2,59м - 1шт   н\о</t>
  </si>
  <si>
    <t>Е7</t>
  </si>
  <si>
    <t>Круг  35"+" мм -  1,3м(10,3кг) - 1шт   н\о</t>
  </si>
  <si>
    <t>Круг  15 мм  -  2,98-3,04м(33,2кг); 1,32м(2,1кг) - 1шт</t>
  </si>
  <si>
    <r>
      <t xml:space="preserve">Круг  20 мм  -  2,5-3,15м(88,2кг в т.ч. 2шт по 2м)  калиброваный </t>
    </r>
    <r>
      <rPr>
        <b/>
        <sz val="10"/>
        <rFont val="Arial"/>
        <family val="2"/>
        <charset val="204"/>
      </rPr>
      <t>ЭИ-435</t>
    </r>
  </si>
  <si>
    <t>Полоса        1х25мм    бухты 3,4кг; 20,8кг по 1шт</t>
  </si>
  <si>
    <t>Труба  49 х 4,5  -  0,8+0,89м=8,7кг</t>
  </si>
  <si>
    <t xml:space="preserve">Круг  36 мм -  1,99м(32,2кг) - 2шт; 0,97-1,05м(306,8кг); 0,5м(4кг) - 1шт </t>
  </si>
  <si>
    <t xml:space="preserve">Круг   16 мм  -  0,7-0,83м(12кг)  </t>
  </si>
  <si>
    <t xml:space="preserve">Труба  25 х 3,0  -  1,2-1,49м(27,1кг); 1,43-1,63м(18,9кг); 1,6м(2,6+2,8кг) </t>
  </si>
  <si>
    <t>Круг   100 мм -  0,32м(19кг); 0,18м(10,7кг); 0,12мм(7,1кг) по 1шт</t>
  </si>
  <si>
    <t>Круг  70 мм  -  0,4м(4,3кг) - 1шт</t>
  </si>
  <si>
    <t xml:space="preserve">Круг  110 мм  -  0,3м(8кг клеймо); 0,19м(5,2кг) по 1шт    </t>
  </si>
  <si>
    <t>Круг   29 мм  -   0,13м(0,7кг) - 1шт</t>
  </si>
  <si>
    <t xml:space="preserve">Круг   100 мм - 1,22м(79,7кг); 80мм(5,3кг); 0,15м(10кг) по 1шт </t>
  </si>
  <si>
    <t xml:space="preserve">Лента 0,22х200мм - 4,9кг - 1 рулон </t>
  </si>
  <si>
    <t>Труба  56 х 3-3,5  - 1,22; 1,35; 1,44; 1,44; 1,55; 1,55; 1,6; 1,71; 1,73; 1,75; 1,82м по 1шт</t>
  </si>
  <si>
    <t>Круг ф70мм  -  1,13; 1,16; 1,2м  по  1шт</t>
  </si>
  <si>
    <t>Труба  38 х 5,5-6 -  1,85-1,9м - 6шт; 1,34м - 1шт</t>
  </si>
  <si>
    <t xml:space="preserve">Круг  48 мм -  0,3м(47,9кг); 0,28-0,3м(73,9кг); 0,2+0,29м=7,2кг; 0,22-0,3м(32,3кг); 0,23-0,26м(97,4кг)        </t>
  </si>
  <si>
    <t xml:space="preserve">Труба  18 х 1,5  -  2,35-3,7м(19,3кг); 2,5-2,9м(15,1кг) </t>
  </si>
  <si>
    <t>Круг  40 мм  - 3,45м(34,2кг); 2,8м(28кг) по 1шт       316Тi</t>
  </si>
  <si>
    <t xml:space="preserve">Круг  45 мм  -  60мм(0,8кг) - 1шт        </t>
  </si>
  <si>
    <t xml:space="preserve">Круг  35 мм  -   0,4; 0,35м по 1шт           </t>
  </si>
  <si>
    <t xml:space="preserve">Проволока   ф 2,0мм  -  19,4; 7,6кг по 1-й  бухте  </t>
  </si>
  <si>
    <t>Круг  30 мм -  0,6-0,78м</t>
  </si>
  <si>
    <r>
      <t xml:space="preserve">Круг  30 мм  - 1,15м(6,8кг) - 1шт        </t>
    </r>
    <r>
      <rPr>
        <b/>
        <sz val="10"/>
        <rFont val="Arial"/>
        <family val="2"/>
        <charset val="204"/>
      </rPr>
      <t>ЭИ-435</t>
    </r>
  </si>
  <si>
    <t>Круг  35 мм  - 1,34м - 3шт; 1,73м - 1шт</t>
  </si>
  <si>
    <t xml:space="preserve">Круг  50 мм  - 1,61м(8,2кг клеймо) - 1шт   </t>
  </si>
  <si>
    <t>Лента 0,2х200мм - 1,3; 4,7; 2; 0,6; 9,6кг по 1 рулону</t>
  </si>
  <si>
    <r>
      <t xml:space="preserve">Круг  10 мм  -  3,1-3,3м(в т.ч. 2шт по 1м)        </t>
    </r>
    <r>
      <rPr>
        <b/>
        <sz val="10"/>
        <rFont val="Arial"/>
        <family val="2"/>
        <charset val="204"/>
      </rPr>
      <t xml:space="preserve"> 316-L</t>
    </r>
  </si>
  <si>
    <t>Лист медный 0,8 мм -  0,6х1,5м(6кг); 0,6х1м(4,1кг) по 1шт  твердые</t>
  </si>
  <si>
    <r>
      <t xml:space="preserve">Труба  108(107) х 26 -  3,01м(160кг) - 1шт          </t>
    </r>
    <r>
      <rPr>
        <b/>
        <sz val="10"/>
        <rFont val="Arial"/>
        <family val="2"/>
        <charset val="204"/>
      </rPr>
      <t xml:space="preserve">   </t>
    </r>
    <r>
      <rPr>
        <b/>
        <sz val="8.3000000000000007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склад 6</t>
    </r>
  </si>
  <si>
    <r>
      <t xml:space="preserve">Лента  0,3х200 мм  -   рулоны  2; 3кг по 1шт                           </t>
    </r>
    <r>
      <rPr>
        <b/>
        <sz val="10"/>
        <rFont val="Arial"/>
        <family val="2"/>
        <charset val="204"/>
      </rPr>
      <t>ЭИ-868</t>
    </r>
  </si>
  <si>
    <t xml:space="preserve">Круг  170 мм -  80мм(по 14,4кг н\о) - 2шт; 80мм(по 14,3кг) - 2шт  </t>
  </si>
  <si>
    <t>Шина медная - 8х80мм - 22,7; 11,1кг по 1-й бухте,  ориентировочная длина 4 и 2м</t>
  </si>
  <si>
    <t>Труба  51 х 2,5  -  1,2-2м</t>
  </si>
  <si>
    <r>
      <t xml:space="preserve">Труба  15 х 1,5 -  2,2м(1кг) - 1шт    </t>
    </r>
    <r>
      <rPr>
        <b/>
        <sz val="10"/>
        <rFont val="Arial"/>
        <family val="2"/>
        <charset val="204"/>
      </rPr>
      <t>316-L</t>
    </r>
  </si>
  <si>
    <t xml:space="preserve">Круг  180 мм -  80мм(16,1; 16,7кг н\о; 17,4; 17,4кг) по 1шт </t>
  </si>
  <si>
    <r>
      <t xml:space="preserve">Лист  12 мм  -  0,3х0,39м(по 12кг) - 3шт; 0,3х0,39м(11,8кг); 0,3х0,36м(12кг)        </t>
    </r>
    <r>
      <rPr>
        <b/>
        <sz val="10"/>
        <rFont val="Arial"/>
        <family val="2"/>
        <charset val="204"/>
      </rPr>
      <t>316-Ti</t>
    </r>
  </si>
  <si>
    <r>
      <t xml:space="preserve">Круг  30 мм -  2,84м(15,4кг) - 1шт                         </t>
    </r>
    <r>
      <rPr>
        <b/>
        <sz val="10"/>
        <rFont val="Arial"/>
        <family val="2"/>
        <charset val="204"/>
      </rPr>
      <t xml:space="preserve"> 316-Тi</t>
    </r>
  </si>
  <si>
    <t>Проволока   6,5 мм    -  4,5кг - 1 бухта</t>
  </si>
  <si>
    <t>Круг   55 мм  -  0,28м(5,7кг) - 1шт</t>
  </si>
  <si>
    <t>Проволока   4,5мм  - 15,4; 10,5; 9,6; 2кг; 3,9кг по 1-й  бухте</t>
  </si>
  <si>
    <t xml:space="preserve">Проволока   7мм  -  18,8кг; 18,6кг; 6,4кг; 5,5кг; 4,1; 3,2кг; 7,2кг; 9,9кг  по 1-й бухте </t>
  </si>
  <si>
    <t>Труба  22 х 2,5  -    1,45м(1кг) - 1шт</t>
  </si>
  <si>
    <r>
      <t xml:space="preserve">Круг  30 мм -  2,11м(12кг) - 1шт            </t>
    </r>
    <r>
      <rPr>
        <b/>
        <sz val="10"/>
        <rFont val="Arial"/>
        <family val="2"/>
        <charset val="204"/>
      </rPr>
      <t xml:space="preserve"> 316-Тi</t>
    </r>
  </si>
  <si>
    <t>Труба  60 х 5,5-6  -  6,2м(45,2кг) - 1шт</t>
  </si>
  <si>
    <t>Труба  57 х 3,0 - 3,37м(13,6кг) - 1шт</t>
  </si>
  <si>
    <t>Труба  32 х 4,0  -  1,18+1,37+1,86м=12кг</t>
  </si>
  <si>
    <t>Круг  18 мм - 3м(13,3кг) - 2шт; 1,3-1,5м(8,3кг от 1шт резали 0,65м); 0,98м(2,1кг)</t>
  </si>
  <si>
    <r>
      <t xml:space="preserve">Круг  22 мм  -  2,65-3м(63,5кг н\о); 1м(10,5кг); 1,97м(5,7кг); 0,65-0,93м(13,9кг)         </t>
    </r>
    <r>
      <rPr>
        <b/>
        <sz val="10"/>
        <rFont val="Arial"/>
        <family val="2"/>
        <charset val="204"/>
      </rPr>
      <t>ЭИ-268</t>
    </r>
  </si>
  <si>
    <t xml:space="preserve">Круг  8 мм  - 3-3,1м </t>
  </si>
  <si>
    <t>Круг   38 мм - 0,91м(8,7кг) - 1шт</t>
  </si>
  <si>
    <t xml:space="preserve">Круг   40 мм  -  0,17; 0,18; 0,2; 0,18м(2,2кг); 0,21м(2,5кг); 0,26+0,27м=6кг  по 1шт                  </t>
  </si>
  <si>
    <t>Лента бронзовая - 0,6х250мм - 1 бухта  21,8кг       твердая</t>
  </si>
  <si>
    <t xml:space="preserve">Круг  120(117) мм  - 0,65м(63кг клеймо)  - 1шт  </t>
  </si>
  <si>
    <t>44НХТЮ</t>
  </si>
  <si>
    <r>
      <t xml:space="preserve">Шестигранник №30  - 0,49-0,54м(19,5кг)    </t>
    </r>
    <r>
      <rPr>
        <b/>
        <sz val="10"/>
        <rFont val="Arial"/>
        <family val="2"/>
        <charset val="204"/>
      </rPr>
      <t xml:space="preserve"> ЭП-33вд</t>
    </r>
  </si>
  <si>
    <t>Е5</t>
  </si>
  <si>
    <t>Труба  16 х 1,0 -  3,95-4,65м</t>
  </si>
  <si>
    <t>Круг  120(118) мм - 85мм(7,7кг) - 1шт</t>
  </si>
  <si>
    <t xml:space="preserve">Круг  120(118) мм - 0,52м(43,6кг); 1,01м(83,4кг) по 1шт </t>
  </si>
  <si>
    <t xml:space="preserve">Круг  120(118) мм - 0,35м(28,7кг) - 1шт </t>
  </si>
  <si>
    <t xml:space="preserve">Круг  120 мм - 75мм(6,3кг) - 1шт </t>
  </si>
  <si>
    <r>
      <t xml:space="preserve">Труба  60 х 5-5,5  - 4,81м(33,8кг) - 1шт             </t>
    </r>
    <r>
      <rPr>
        <b/>
        <sz val="10"/>
        <rFont val="Arial"/>
        <family val="2"/>
        <charset val="204"/>
      </rPr>
      <t>316-Ti</t>
    </r>
  </si>
  <si>
    <t>Труба  70 х 7-7,5  - 2,13; 2,08; 1,55; 1,53; 1,5; 1,48; 1,46; 1,44м; 1,57м(17,6кг) по 1шт</t>
  </si>
  <si>
    <t xml:space="preserve">Труба  95 х 10  -  3,27м(69кг клеймо); 1,94м(42,7кг) по 1шт </t>
  </si>
  <si>
    <t>Лист  2 мм - 0,39х0,75м(3,2кг) - 2шт</t>
  </si>
  <si>
    <t>Лист  20 мм -  1,52х1,87м(151кг - 1 сторона в пленке) - 1шт        склад 2</t>
  </si>
  <si>
    <t xml:space="preserve">Круг   15 мм - 0,97-1,26м(16,5кг); 2,11м(3,1кг); 2,3-2,5м(7,4кг) </t>
  </si>
  <si>
    <t xml:space="preserve">Круг  9 мм  -  1,75м(0,3кг) - 1шт       </t>
  </si>
  <si>
    <t xml:space="preserve">Круг  38 мм  -  0,94-1,13м(60,2кг, в т.ч. 0,74м - 1шт  клеймо ) </t>
  </si>
  <si>
    <t>Проволока   ф 1,6мм  - 12кг; 17,2; 8,8кг по 1-й  бухте</t>
  </si>
  <si>
    <t>Лента бронзовая - 0,3х270мм  -  3,1кг - 1 бухта    твердая</t>
  </si>
  <si>
    <t xml:space="preserve">Круг  65 мм -   1,5м(22,5кг клеймо); 0,54м - 4шт </t>
  </si>
  <si>
    <r>
      <t xml:space="preserve">Круг  28 мм  - 1,4-1,48м                           </t>
    </r>
    <r>
      <rPr>
        <b/>
        <sz val="10"/>
        <rFont val="Arial"/>
        <family val="2"/>
        <charset val="204"/>
      </rPr>
      <t>ЭИ-268</t>
    </r>
  </si>
  <si>
    <t>Круг   32 мм -  0,39м(2,6кг); 0,8м(5,4кг) по 1шт</t>
  </si>
  <si>
    <t>Круг  55 мм -   3,04м(56,9кг) - 1шт</t>
  </si>
  <si>
    <t xml:space="preserve">Труба  114 х 6-6,5 - 5,32м - 1шт     </t>
  </si>
  <si>
    <t>Круг   90 мм   -   0,41м(22,2кг); 0,43м(23,2кг); 0,5м(26,7кг) по 1шт</t>
  </si>
  <si>
    <t>Труба  32 х 5,0  - 1,67-1,9м(36,5кг)</t>
  </si>
  <si>
    <t xml:space="preserve">Припой   ф5мм  - проволока бухта 2,2кг  </t>
  </si>
  <si>
    <t xml:space="preserve">Круг  115 мм  -  80мм(6,6кг) - 1шт  н\о                         </t>
  </si>
  <si>
    <t>Лист  1,2 мм -  1,07х1,76м(17,4кг) - 1шт</t>
  </si>
  <si>
    <r>
      <t xml:space="preserve">Лист  4,0 мм -  0,95х0,98м(32,6кг кривизна); 0,83х0,96м(27,6кг); 0,46х0,97м(16,2кг); 0,47х0,96м(15,7кг); 0,46х0,99м(16,4кг) по 1шт         </t>
    </r>
    <r>
      <rPr>
        <b/>
        <sz val="10"/>
        <rFont val="Arial"/>
        <family val="2"/>
        <charset val="204"/>
      </rPr>
      <t>ЭИ-868</t>
    </r>
  </si>
  <si>
    <t xml:space="preserve">Труба  22 х 3,5  -  0,83м(1,3кг) - 1шт </t>
  </si>
  <si>
    <r>
      <t xml:space="preserve">Круг  60 мм  -  1,5м(34кг); 1,34м(30,2кг); 0,99м(22,5кг) по 1шт         </t>
    </r>
    <r>
      <rPr>
        <b/>
        <sz val="10"/>
        <rFont val="Arial"/>
        <family val="2"/>
        <charset val="204"/>
      </rPr>
      <t>316-L</t>
    </r>
  </si>
  <si>
    <t>Круг  60 мм  -  1,41м(31,3кг); 1,47м(33+33,2кг); 1,03м(22,9кг) по 1шт</t>
  </si>
  <si>
    <t>Припой   ф2,7-3мм  - длина 100-150мм</t>
  </si>
  <si>
    <t>ПМФОЦР6-4-0,03</t>
  </si>
  <si>
    <t xml:space="preserve">Круг   42 мм -   0,23м(2,9кг) - 1шт                  </t>
  </si>
  <si>
    <t>Труба  30 х 2,5  -  1,76м(2,9кг) - 1шт</t>
  </si>
  <si>
    <t xml:space="preserve">Труба  159 х 7,5-8   -  1,82м(53,5кг) - 1шт         </t>
  </si>
  <si>
    <t>Круг   28 мм - 1,5-2м(25кг); 0,64м(3,3кг)</t>
  </si>
  <si>
    <r>
      <t xml:space="preserve">Труба  159 х 6-6,5  -  1,25м(28,6кг); 1,03м(23,7кг н\о)  по 1шт              </t>
    </r>
    <r>
      <rPr>
        <b/>
        <sz val="10"/>
        <rFont val="Arial"/>
        <family val="2"/>
        <charset val="204"/>
      </rPr>
      <t xml:space="preserve">   </t>
    </r>
    <r>
      <rPr>
        <b/>
        <sz val="8.3000000000000007"/>
        <rFont val="Arial"/>
        <family val="2"/>
        <charset val="204"/>
      </rPr>
      <t xml:space="preserve">              </t>
    </r>
  </si>
  <si>
    <t xml:space="preserve">Круг  30 мм -  0,37м(1кг) - 1шт </t>
  </si>
  <si>
    <t xml:space="preserve">Труба  33 х 1,5  -  3,12-3,28м(20,5кг от 1шт резали 1; 1м)     </t>
  </si>
  <si>
    <t xml:space="preserve">Полоса        2х10мм    бухта  2,5; 8,3; 4,3кг по 1шт   </t>
  </si>
  <si>
    <t>Круг  4,4 мм  -  2м        калиброванный</t>
  </si>
  <si>
    <t>Лист  90 мм   -  0,91х1,12м(735; 745; 740; 740кг) по 1шт   клеймо    склад 6</t>
  </si>
  <si>
    <t>Проволока   4,0мм   -  8,6кг; 4кг; 7,5кг по 1-й  бухте</t>
  </si>
  <si>
    <t xml:space="preserve">Круг   110 мм - 0,3м(22,4кг); 0,29м(20,7кг); 0,27м(19,6кг); 0,14м(10,4+10,8кг); 0,17м(12,6кг) по 1шт  </t>
  </si>
  <si>
    <t>Круг  47 мм  -  0,55м(7,9кг н\о) - 1шт</t>
  </si>
  <si>
    <t>Лист  0,5 мм - 160х340мм         НБПЛ-1</t>
  </si>
  <si>
    <t>Круг  70 мм  -  1,6м(47,5кг); 1,52м(45,2кг клеймо); 1,55м(45,7кг); 1,64м(48,4кг); 1,55м(45,6кг клеймо); 1,54м(45,5кг клеймо); 1,62м(48кг клеймо)  по 1шт</t>
  </si>
  <si>
    <r>
      <t xml:space="preserve">Круг  48 мм  -  1,79м(25,6кг); 0,67м(9,6кг) по 1шт   </t>
    </r>
    <r>
      <rPr>
        <b/>
        <sz val="10"/>
        <rFont val="Arial"/>
        <family val="2"/>
        <charset val="204"/>
      </rPr>
      <t xml:space="preserve">        ЭИ-696</t>
    </r>
  </si>
  <si>
    <r>
      <t xml:space="preserve">Труба  38 х 4,0    -  2,67+2,51м=17,9кг; 2,7м(9,5кг) - 1шт              </t>
    </r>
    <r>
      <rPr>
        <b/>
        <sz val="10"/>
        <rFont val="Arial"/>
        <family val="2"/>
        <charset val="204"/>
      </rPr>
      <t>ЭИ-943</t>
    </r>
  </si>
  <si>
    <t xml:space="preserve">Труба  50 х 12,5  -  1,17м - 2шт </t>
  </si>
  <si>
    <t>Труба  108 х 4,5-5  -  3,81м(47,2кг клеймо) - 1шт</t>
  </si>
  <si>
    <t>Труба 38х7,0 -  1,44м - 1шт           цветовая маркировка</t>
  </si>
  <si>
    <r>
      <t xml:space="preserve">Круг  54 мм - 1м(18,5кг) - 1шт         </t>
    </r>
    <r>
      <rPr>
        <b/>
        <sz val="10"/>
        <rFont val="Arial"/>
        <family val="2"/>
        <charset val="204"/>
      </rPr>
      <t>ЭИ-943</t>
    </r>
  </si>
  <si>
    <r>
      <t xml:space="preserve">Круг  54 мм  -  0,72м(13,2кг клеймо, н\о) - 1шт      </t>
    </r>
    <r>
      <rPr>
        <b/>
        <sz val="10"/>
        <rFont val="Arial"/>
        <family val="2"/>
        <charset val="204"/>
      </rPr>
      <t xml:space="preserve"> 316-Ті</t>
    </r>
  </si>
  <si>
    <r>
      <t xml:space="preserve">Труба  140 х 6-6,5 - 2,44; 2,51; 2,37; 2,33; 2,44; 2,46; 2,5; 2,42; 2,33; 2,56; 2,44; 2,35; 2,42; 2,33; 2,35м по 1шт           </t>
    </r>
    <r>
      <rPr>
        <b/>
        <sz val="10"/>
        <rFont val="Arial"/>
        <family val="2"/>
        <charset val="204"/>
      </rPr>
      <t>склад 6</t>
    </r>
  </si>
  <si>
    <t xml:space="preserve">Труба  140 х 6-6,5 - 2,46м(54,5кг); 2,51м(53,7кг); 2,43м(51кг); 2,54м(52,6кг); 2,49м(52кг); 2,44м(50,4кг)  по 1шт       </t>
  </si>
  <si>
    <t xml:space="preserve">Труба 80х20  -  0,23; 0,4; 0,44м по 1шт </t>
  </si>
  <si>
    <t xml:space="preserve">Труба 108х7,0  -  0,45м(2,7кг) - 1шт  </t>
  </si>
  <si>
    <t>Лист 2,5 мм  -  1х1,34м(15,6кг) - 1шт</t>
  </si>
  <si>
    <t>Проволока   ф 2,4 мм  -  по 7кг - 5 катушек, бирка</t>
  </si>
  <si>
    <t xml:space="preserve">Круг   65 мм -  0,5м(14кг); 0,37м(10,5кг)  по 1шт  </t>
  </si>
  <si>
    <t>Труба  60 х 4,5  -  2,68м(16,6кг); 1,94м(13кг) по 1шт</t>
  </si>
  <si>
    <t xml:space="preserve">Труба  114 х 14-16 -   2,06м(77кг) - 1шт </t>
  </si>
  <si>
    <t>Лента  0,15х395 мм  -  рулон 67,2кг - 1 шт       мягкая</t>
  </si>
  <si>
    <t xml:space="preserve">Круг  20 мм   -  0,6-0,77м(9,9кг) - 5шт </t>
  </si>
  <si>
    <t xml:space="preserve">Труба  45 х 12,5 -  0,92м(9,6кг) - 1шт  </t>
  </si>
  <si>
    <t>Труба  32 х 2,5  -  2,98-3,01м - 5шт; 2,84м - 1шт</t>
  </si>
  <si>
    <t xml:space="preserve">Лист бронзовый 30мм - 80х250мм(5,3кг) - 1шт </t>
  </si>
  <si>
    <t xml:space="preserve">Труба  63 х 4-4,5 -  3,78-3,83м </t>
  </si>
  <si>
    <t xml:space="preserve">Труба  89 х 4,0  -  1,79м(16кг клеймо) - 1шт                                  </t>
  </si>
  <si>
    <t>Труба  38 х 4,0   -   1,68м(5,8кг) - 1шт</t>
  </si>
  <si>
    <t>Труба  45 х 3,0  -  1,72м(5,3кг) - 1шт</t>
  </si>
  <si>
    <r>
      <t xml:space="preserve">Труба  160 х 25  -  90мм(8,3кг) - 1шт          </t>
    </r>
    <r>
      <rPr>
        <b/>
        <sz val="10"/>
        <rFont val="Arial"/>
        <family val="2"/>
        <charset val="204"/>
      </rPr>
      <t xml:space="preserve">  316-L</t>
    </r>
  </si>
  <si>
    <t>Круг   60 мм -   0,39м(8,6кг); 0,34м(8кг); 98мм(2кг)  по 1шт</t>
  </si>
  <si>
    <t xml:space="preserve">Лист 4,5 мм  -  0,72х1,31м(18,4кг) - 1шт   </t>
  </si>
  <si>
    <t>Круг   19 мм  - 0,7м(1,5кг) - 1шт</t>
  </si>
  <si>
    <t>Круг   22"-" мм  - 0,62+0,6+0,96м=6,3кг</t>
  </si>
  <si>
    <t>Круг   29 мм  -  0,62+0,63+0,67+0,78м=13,9кг</t>
  </si>
  <si>
    <r>
      <t xml:space="preserve">Лист  16"-" мм - 0,73х0,9м(27,6кг) - 1шт     </t>
    </r>
    <r>
      <rPr>
        <b/>
        <sz val="12"/>
        <rFont val="Arial"/>
        <family val="2"/>
        <charset val="204"/>
      </rPr>
      <t xml:space="preserve">   </t>
    </r>
  </si>
  <si>
    <t xml:space="preserve">Круг   90 мм - 0,99м(46,4кг) - 1шт </t>
  </si>
  <si>
    <t>Лента  0,95х400 мм  -  1  рулон 23,9кг         средней  жесткости</t>
  </si>
  <si>
    <r>
      <t xml:space="preserve">Круг  60 мм -   2,79м(62кг клеймо) - 1шт           </t>
    </r>
    <r>
      <rPr>
        <b/>
        <sz val="10"/>
        <rFont val="Arial"/>
        <family val="2"/>
        <charset val="204"/>
      </rPr>
      <t>ЭП-817ш</t>
    </r>
  </si>
  <si>
    <t>06Х14Н6Д2МБТ</t>
  </si>
  <si>
    <t xml:space="preserve">Труба  32 х 6,0  -  5,38-5,65м - 5шт                 </t>
  </si>
  <si>
    <t>Лист медный 20 мм -  0,29х0,59м(29,8кг без угла 5х5см) - 1шт</t>
  </si>
  <si>
    <r>
      <t xml:space="preserve">Труба  89 х 4,0 -  2,5м(21,5кг) - 1шт              </t>
    </r>
    <r>
      <rPr>
        <b/>
        <sz val="10"/>
        <rFont val="Arial"/>
        <family val="2"/>
        <charset val="204"/>
      </rPr>
      <t xml:space="preserve"> </t>
    </r>
  </si>
  <si>
    <t xml:space="preserve">Труба  38 х 4,0  -  3,17-5,92м </t>
  </si>
  <si>
    <t xml:space="preserve">Труба  32 х 3,3-3,5  -  1,37-2,15м </t>
  </si>
  <si>
    <t>Круг  12 мм  -   1,4; 1,36м по 1шт</t>
  </si>
  <si>
    <t>Труба  33 х 1,5  - 6,18+6,44+6,44+5,35м=27,4кг</t>
  </si>
  <si>
    <t xml:space="preserve">Труба  28 х 1,5  -  1,17-1,19м(16,2кг) </t>
  </si>
  <si>
    <r>
      <t xml:space="preserve">Лист  0,9 мм  -  0,58х0,6м(по 2,5кг) - 3шт              </t>
    </r>
    <r>
      <rPr>
        <b/>
        <sz val="10"/>
        <rFont val="Arial"/>
        <family val="2"/>
        <charset val="204"/>
      </rPr>
      <t>ЭИ-943</t>
    </r>
  </si>
  <si>
    <t xml:space="preserve">Шестигранник №5  - 1,45-1,5м </t>
  </si>
  <si>
    <t>Шестигранник №5,5  - бухта 27,3кг</t>
  </si>
  <si>
    <t>Шестигранник №12  -                             (8кг найти!!!!!)</t>
  </si>
  <si>
    <t>Шестигранник №30  -  0,32+0,35м=4,5кг</t>
  </si>
  <si>
    <t>Шестигранник №32  -  0,97+0,6м=11,7кг</t>
  </si>
  <si>
    <t xml:space="preserve">Шестигранник №36  -  3,01м; 1,4м по 1шт </t>
  </si>
  <si>
    <t>Шестигранник №40  -  0,3м(3,1кг найти)</t>
  </si>
  <si>
    <t xml:space="preserve">Шестигранник №46 -  2,67м(40кг); 2,75м(41,5кг); 0,9м(14,1кг) </t>
  </si>
  <si>
    <t>Шестигранник №27  -  0,29-0,33м(15кг)</t>
  </si>
  <si>
    <t xml:space="preserve">Шестигранник №22  - 0,99м(22,2кг) - 6шт </t>
  </si>
  <si>
    <t xml:space="preserve">Шестигранник №13  -  0,45-0,6м(0,7кг)         </t>
  </si>
  <si>
    <t>Круг  25 мм  -  6м - 11шт</t>
  </si>
  <si>
    <t xml:space="preserve">Труба  32 х 3,0  -  2,95-3,1м </t>
  </si>
  <si>
    <t>Лента  0,15х190 мм  -  рулоны  4,1кг; 14,9кг по 1 шт      мягкие</t>
  </si>
  <si>
    <t xml:space="preserve">Труба  219 х 26 -  100мм(13,2кг н\о) - 1шт </t>
  </si>
  <si>
    <t xml:space="preserve">Лист  25 мм  -  блины   ф330мм(17,4кг) - 1шт </t>
  </si>
  <si>
    <r>
      <t xml:space="preserve">Круг  70 мм  -  0,11м(3,5кг) - 1шт              </t>
    </r>
    <r>
      <rPr>
        <b/>
        <sz val="10"/>
        <rFont val="Arial"/>
        <family val="2"/>
        <charset val="204"/>
      </rPr>
      <t>316-L</t>
    </r>
  </si>
  <si>
    <t>Проволока   6,0 мм  -  4,3; 4,5кг; 5кг; 7,3; 3,4кг по 1-й бухте</t>
  </si>
  <si>
    <t xml:space="preserve">Труба  32 х 3,0  -   1,8-2,3м </t>
  </si>
  <si>
    <t>Круг  40 мм - 1,14м(12,8кг) - 1шт</t>
  </si>
  <si>
    <t>Труба  8 х 1,5  - 2,2-3,8м</t>
  </si>
  <si>
    <r>
      <t xml:space="preserve">Труба  34 х 4,5  -  3,42м(11,6кг) - 1шт            </t>
    </r>
    <r>
      <rPr>
        <b/>
        <sz val="10"/>
        <rFont val="Arial"/>
        <family val="2"/>
        <charset val="204"/>
      </rPr>
      <t xml:space="preserve"> 316-Ti</t>
    </r>
  </si>
  <si>
    <r>
      <t xml:space="preserve">Круг  150 мм  -  2,72м(386кг) -  1шт                 </t>
    </r>
    <r>
      <rPr>
        <b/>
        <sz val="10"/>
        <rFont val="Arial"/>
        <family val="2"/>
        <charset val="204"/>
      </rPr>
      <t>склад 2</t>
    </r>
  </si>
  <si>
    <t>Труба  28х5,0  - 2,46+2,52м=15,3кг</t>
  </si>
  <si>
    <t>Проволока   0,6мм  -  2,8; 9,9кг  по  1-й  бухте</t>
  </si>
  <si>
    <t>Труба  19 х 2,5  -   2,5м(2,5кг) - 1шт</t>
  </si>
  <si>
    <t>Проволока  1,2 мм  -  5кг - 1 бухта</t>
  </si>
  <si>
    <t>Анод никель 10мм - 0,25х0,7м(15,4кг) - 1шт</t>
  </si>
  <si>
    <t>Проволока   7мм  -  18,9кг - 1 бухта</t>
  </si>
  <si>
    <t>Проволока   1,6мм  -  4,4кг - 1 бухта</t>
  </si>
  <si>
    <t>Труба  65 х 1,5  -  2,45м - 1шт</t>
  </si>
  <si>
    <t>Труба  60 х 2,5  -  2,55м - 1шт</t>
  </si>
  <si>
    <t>Круг  45 мм  -  1,35-1,65м    клейма</t>
  </si>
  <si>
    <t>Круг  25 мм  -  2,15-2,25м</t>
  </si>
  <si>
    <t>Труба  50 х 3,0  -  1,37+1,42м=10кг</t>
  </si>
  <si>
    <t xml:space="preserve">Труба  15х3,0  -  1,7-2,5м     мягкая    </t>
  </si>
  <si>
    <t>Лист  1мм - 170х190мм - 8шт; 130х190мм - 1шт</t>
  </si>
  <si>
    <t>молибден  МЧ</t>
  </si>
  <si>
    <t>молибден МЧ</t>
  </si>
  <si>
    <t xml:space="preserve">Круг   73 мм -  0,37м(13,9кг) - 1шт </t>
  </si>
  <si>
    <t xml:space="preserve">Круг   80 мм -  0,22м(10кг) - 1шт </t>
  </si>
  <si>
    <t>Лист  0,5мм - 130-140х190-220мм  - 4шт</t>
  </si>
  <si>
    <t>Проволока  0,1 мм  -  1,6; 1,6; 1,5кг по 1-й  алюмин катушке   мягкая</t>
  </si>
  <si>
    <r>
      <t xml:space="preserve">Труба  45 х 4,0   -  1,17м(9,4кг) - 2шт           </t>
    </r>
    <r>
      <rPr>
        <b/>
        <sz val="10"/>
        <rFont val="Arial"/>
        <family val="2"/>
        <charset val="204"/>
      </rPr>
      <t xml:space="preserve"> 316-Ti</t>
    </r>
  </si>
  <si>
    <t>Труба  89 х 2,5  -  3,12м(15,6кг); 2,35м(11,6кг) по 1шт</t>
  </si>
  <si>
    <t>Круг  160 мм  -   0,21м(36,4кг) - 1шт  н\о</t>
  </si>
  <si>
    <t xml:space="preserve">Труба  18 х 2,5 -  2,83-3,33м(11,5кг); 1,7-1,73м(16,6кг на Е2) </t>
  </si>
  <si>
    <t>Круг  50 мм -  0,99м - 1шт</t>
  </si>
  <si>
    <t>Лента латунная 0,2х175 мм - 18кг; 5,5кг по 1 рулону твердая</t>
  </si>
  <si>
    <t>Круг  65 мм -  2,58м(68,3кг) - 1шт</t>
  </si>
  <si>
    <r>
      <t xml:space="preserve">Круг  12 мм  -  2,07м(1,8кг) - 1шт            </t>
    </r>
    <r>
      <rPr>
        <b/>
        <sz val="10"/>
        <rFont val="Arial"/>
        <family val="2"/>
        <charset val="204"/>
      </rPr>
      <t>ЭИ-268</t>
    </r>
  </si>
  <si>
    <t xml:space="preserve">Круг  60 мм - 1,79м(22,7кг красно-черный торец); 0,2м(2,5кг); 0,19м(2,3кг) по 1шт  </t>
  </si>
  <si>
    <t xml:space="preserve">Круг  60 мм  -  2,71м(33,4кг красно-черный торец); 2,37м(30кг); 1,29м(16,2кг)  по 1шт   </t>
  </si>
  <si>
    <t xml:space="preserve">Круг  60 мм -  0,12м(1,7кг) - 1шт   </t>
  </si>
  <si>
    <t>Лента - 0,5х200мм -  14,1кг   жесткая</t>
  </si>
  <si>
    <r>
      <t xml:space="preserve">Круг  55 мм   -  0,61м(77,4кг) - 6шт       </t>
    </r>
    <r>
      <rPr>
        <b/>
        <sz val="10"/>
        <rFont val="Arial"/>
        <family val="2"/>
        <charset val="204"/>
      </rPr>
      <t xml:space="preserve"> ЭИ-868</t>
    </r>
  </si>
  <si>
    <t xml:space="preserve">Круг  36 мм -  0,29м(16,3кг) - 7шт  </t>
  </si>
  <si>
    <r>
      <rPr>
        <b/>
        <sz val="8"/>
        <rFont val="Arial"/>
        <family val="2"/>
        <charset val="204"/>
      </rPr>
      <t xml:space="preserve">Шестигранник №17 - 0,17-0,22м(2,3кг); 30-260мм(9,8кг) </t>
    </r>
    <r>
      <rPr>
        <b/>
        <sz val="10"/>
        <rFont val="Arial"/>
        <family val="2"/>
        <charset val="204"/>
      </rPr>
      <t>ЭП-33вд</t>
    </r>
  </si>
  <si>
    <r>
      <t xml:space="preserve">Труба  12,5 х 1,2  -  2,7-3,3м(2,3кг)                  </t>
    </r>
    <r>
      <rPr>
        <b/>
        <sz val="10"/>
        <rFont val="Arial"/>
        <family val="2"/>
        <charset val="204"/>
      </rPr>
      <t>аналог ЭИ-943 - 1.4539  -  904-L</t>
    </r>
  </si>
  <si>
    <t xml:space="preserve">Труба  32 х 2,0  -  4,8-6,7м; 3,16-3,39м(34,5кг); 2,2-2,6м(14,2кг) </t>
  </si>
  <si>
    <r>
      <t xml:space="preserve">Квадрат  30х30мм  -  2,23м(15,8кг); 0,88м(6,1кг) по 1шт       </t>
    </r>
    <r>
      <rPr>
        <b/>
        <sz val="10"/>
        <rFont val="Arial"/>
        <family val="2"/>
        <charset val="204"/>
      </rPr>
      <t xml:space="preserve">        </t>
    </r>
  </si>
  <si>
    <t xml:space="preserve">Круг   29 мм  -  1,9-3,18м; 1,34м - 1шт  </t>
  </si>
  <si>
    <t>Круг  180 мм -  130мм(26,7кг); 105мм(21,4+21,9кг); 40мм(7,8кг) по 1шт</t>
  </si>
  <si>
    <t>Круг   128 мм - 0,97м(97,2кг) - 1шт</t>
  </si>
  <si>
    <t>Круг   25 мм  -  0,91м(3,2кг) - 1шт</t>
  </si>
  <si>
    <t xml:space="preserve">Круг  150 мм - 0,54м(77,6+76,7кг); 0,55м(78+77,7+78,3+78кг); 0,55м(по 77,3кг) - 5шт; 0,24м(34,1кг)  </t>
  </si>
  <si>
    <r>
      <t xml:space="preserve">Труба  18 х 1,0 -   6,1-6,9м(4,8кг резал 2м от 1шт); 2,1-3,4м(24,4кг)    </t>
    </r>
    <r>
      <rPr>
        <b/>
        <sz val="10"/>
        <rFont val="Arial"/>
        <family val="2"/>
        <charset val="204"/>
      </rPr>
      <t>316-L</t>
    </r>
  </si>
  <si>
    <t xml:space="preserve">Лист  40 мм  -  блин  ф300мм - 24,4кг </t>
  </si>
  <si>
    <t>Труба  27 х 2,5 -  2,95+2,98м=8,4кг</t>
  </si>
  <si>
    <t>Труба  25 х 3,0 -  2,42м(3,9кг) - 1шт</t>
  </si>
  <si>
    <t>06Х15Н6МВФБ</t>
  </si>
  <si>
    <t>Труба  60 х 12 - 0,74; 0,75; 0,77м; 0,42м(6,2кг) по 1шт</t>
  </si>
  <si>
    <t xml:space="preserve">Полоса        1х10мм    бухты  6,3кг; 2,7; 3,6кг по 1шт   </t>
  </si>
  <si>
    <t xml:space="preserve">Круг   110 мм -  0,24м(20кг) - 1шт </t>
  </si>
  <si>
    <t xml:space="preserve">Круг   110 мм -   0,17м(13,9кг) - 1шт </t>
  </si>
  <si>
    <t xml:space="preserve">Квадрат  75х75мм -  2,51м(107,8кг н\о) - 1шт   </t>
  </si>
  <si>
    <t xml:space="preserve">Лист  30 мм  -  блины  ф530мм(54,2+54,2кг); ф500мм(по 48кг) - 2шт </t>
  </si>
  <si>
    <t xml:space="preserve">Круг  10 мм  -  1,8-2,6м(10,9кг, отрезали куски) </t>
  </si>
  <si>
    <r>
      <t xml:space="preserve">Круг  70 мм  -   0,55м(17,7кг) - 1шт       </t>
    </r>
    <r>
      <rPr>
        <b/>
        <sz val="10"/>
        <rFont val="Arial"/>
        <family val="2"/>
        <charset val="204"/>
      </rPr>
      <t xml:space="preserve"> 316-Ti </t>
    </r>
    <r>
      <rPr>
        <b/>
        <sz val="8.3000000000000007"/>
        <rFont val="Arial"/>
        <family val="2"/>
        <charset val="204"/>
      </rPr>
      <t xml:space="preserve">   </t>
    </r>
  </si>
  <si>
    <t>Шина медная - 10х100мм - 1,41; 1,45; 1,5м по 1шт  твердая</t>
  </si>
  <si>
    <t>Полоса 12х45 мм  - 2,6-3,35м (от 1шт отрезали 1м)      клеймо</t>
  </si>
  <si>
    <t>Полоса 18х30 мм  - 2,43-2,45м(52,8кг, в т.ч. 1,91; 2,31м, от 1шт отрезали 0,6м)      клеймо    по химии похож на АМГ-6, очень крутой сплав!!!!</t>
  </si>
  <si>
    <r>
      <t xml:space="preserve">Труба  20 х 1,0 - 2,84м - 1шт       </t>
    </r>
    <r>
      <rPr>
        <b/>
        <sz val="10"/>
        <rFont val="Arial"/>
        <family val="2"/>
        <charset val="204"/>
      </rPr>
      <t>316-L</t>
    </r>
  </si>
  <si>
    <t xml:space="preserve">Труба  168 х 7,5 -   1,74м(53,5кг) - 1шт                      </t>
  </si>
  <si>
    <t>Труба  42 х 4,0  -  2,95м - 4шт</t>
  </si>
  <si>
    <t>Круг   54 мм -  2,33м(40,1кг); 0,16м(2,8кг) по 1шт</t>
  </si>
  <si>
    <t>Круг   29 мм  -  0,17+0,28м=2,3кг</t>
  </si>
  <si>
    <t xml:space="preserve">Круг  150 мм  -   0,21м(по 29кг) - 4шт    </t>
  </si>
  <si>
    <t xml:space="preserve">Круг  170 мм  -  150мм(27кг); 125мм(23,1+23,1кг) по 1шт    </t>
  </si>
  <si>
    <t xml:space="preserve">Припой   ф2мм  - проволока бухта 2,3кг </t>
  </si>
  <si>
    <t xml:space="preserve">Припой   ф5мм  - проволока бухта 1,7кг </t>
  </si>
  <si>
    <t xml:space="preserve">Труба 45х2,0 - 2м - 2шт; 1,27м; 2,3м по 1шт клейма   </t>
  </si>
  <si>
    <t xml:space="preserve">Круг  75мм  -   1,34м(47,4кг); 0,49м(18,2кг н\о) по 1шт                           </t>
  </si>
  <si>
    <t>Труба  57 х 4,5  - 1,67; 1,75м по 1шт</t>
  </si>
  <si>
    <t>Труба  60 х 5-5,5  - 1,14; 1,33; 2,3м; 1,37м(9,8кг) по 1шт</t>
  </si>
  <si>
    <t xml:space="preserve">Труба  161 х 20-21 -  0,14м(10,5кг) - 1шт </t>
  </si>
  <si>
    <t>Круг  55 мм -   0,12м(7кг н\о) - 3шт</t>
  </si>
  <si>
    <t xml:space="preserve">Труба  89 х 10  -   0,59м(11,7кг) - 1шт   </t>
  </si>
  <si>
    <t>Труба  40 х 10  - 1,32м(9,8кг); 0,49м(11,2кг) - 3шт</t>
  </si>
  <si>
    <t>Труба  48 х 6,5  -  1,62м(11,3кг) - 1шт</t>
  </si>
  <si>
    <t>Труба  34 х 5,0   -  3м(11,2кг) - 1шт</t>
  </si>
  <si>
    <t>Труба  33 х 4,5   - 3,07м(9,8кг) - 1шт</t>
  </si>
  <si>
    <t>Труба  28 х 3,5   - 2,76м(5,6кг) - 1шт</t>
  </si>
  <si>
    <t>Лента бронзовая - 0,3х250мм  -  20,7кг - 1 бухта    мягкая</t>
  </si>
  <si>
    <t>Круг  40 мм -  2,1+2,59м=46,7кг; 2,15м(21,2кг); 2,42м(23,4кг); 2,47м(24,7кг н\о); 1,67м(16,2кг н\о) по 1шт</t>
  </si>
  <si>
    <t xml:space="preserve">Круг  40 мм  -  1,88-2,6м(111,2кг)   клейма                </t>
  </si>
  <si>
    <t>Чушка церий    -  мишметалл МЦ-60</t>
  </si>
  <si>
    <t>церий МЦ-60</t>
  </si>
  <si>
    <t xml:space="preserve">Проволока  3,0  мм    -  44,5кг - 1 бухта   бирка  </t>
  </si>
  <si>
    <t>Круг   16 мм  -  0,54м(0,8кг)  - 1шт  найти!!!!</t>
  </si>
  <si>
    <t>Труба  30 х 4,0 -    2,08-2,5м(10,2кг)   найти!!!!</t>
  </si>
  <si>
    <t xml:space="preserve">Круг   148 мм - 0,3м(46,8кг) - 1шт  </t>
  </si>
  <si>
    <r>
      <t xml:space="preserve">Круг  12 мм  -  0,7-1,4м(31кг)           </t>
    </r>
    <r>
      <rPr>
        <b/>
        <sz val="10"/>
        <rFont val="Arial"/>
        <family val="2"/>
        <charset val="204"/>
      </rPr>
      <t>ЭИ-435</t>
    </r>
  </si>
  <si>
    <t>Круг   22"-" мм  -  1,3-1,9м</t>
  </si>
  <si>
    <t>Круг   22"-" мм  -  0,77м(2,1кг) - 1шт</t>
  </si>
  <si>
    <t xml:space="preserve">Круг   60(59) мм -  2,15м(45,2кг) - 1шт  </t>
  </si>
  <si>
    <t>Труба  57 х 3,5  - 2,2; 1,95м по 1шт</t>
  </si>
  <si>
    <t xml:space="preserve">Лист 4мм - 0,44х0,91м(7кг, без 2-х углов 3х3см) - 1шт    </t>
  </si>
  <si>
    <t xml:space="preserve">Лист 4мм - 0,43х0,91м(7кг без 2-х углов 3х3см по длинной стороне) по 1шт    </t>
  </si>
  <si>
    <t>Круг ф40(37)мм  -  1,35м(14,7кг) -  1шт</t>
  </si>
  <si>
    <r>
      <t xml:space="preserve">Труба  32 х 2,5  -  2,6м(15,8кг) - 3шт; 1,4-1,49м(80,1кг); 1,71м(3кг) - 1шт            </t>
    </r>
    <r>
      <rPr>
        <b/>
        <sz val="10"/>
        <rFont val="Arial"/>
        <family val="2"/>
        <charset val="204"/>
      </rPr>
      <t>316-Ti</t>
    </r>
  </si>
  <si>
    <t xml:space="preserve">Труба  36 х 2,0  -   4,3+5,16м=16,2кг  </t>
  </si>
  <si>
    <t>Труба  57 х 5,0  -  2,17м(13,2кг) - 1шт</t>
  </si>
  <si>
    <t>Круг   12 мм  -  0,45-0,87м(1,9кг)</t>
  </si>
  <si>
    <t>Труба  22 х 2,0   - 5,96м(36,3кг); 4,9м(4,9кг); 3-3,44м(15,7кг); 2,49-2,75м(6кг); 2,8-3,5м(43,2кг)</t>
  </si>
  <si>
    <t xml:space="preserve">Круг  98 мм  -  1,83м(112,5кг клеймо) - 1шт    </t>
  </si>
  <si>
    <r>
      <t xml:space="preserve">Труба  60 х 5,0  -  5-5,04м; 4,88м - 1шт          </t>
    </r>
    <r>
      <rPr>
        <b/>
        <sz val="10"/>
        <rFont val="Arial"/>
        <family val="2"/>
        <charset val="204"/>
      </rPr>
      <t xml:space="preserve">   316-L  </t>
    </r>
    <r>
      <rPr>
        <b/>
        <sz val="8.3000000000000007"/>
        <rFont val="Arial"/>
        <family val="2"/>
        <charset val="204"/>
      </rPr>
      <t xml:space="preserve">           </t>
    </r>
  </si>
  <si>
    <t>Лента бронзовая - 0,25х235мм  -  бухта  - 0,9кг - 1шт   твердая</t>
  </si>
  <si>
    <t>Труба  48 х 2,5  -  2,42м(6,3кг) - 1шт</t>
  </si>
  <si>
    <t>Проволока  5,0 мм - 33,3; 24; 13,2кг  по 1-й бухте  твердая</t>
  </si>
  <si>
    <t>ПОС-61</t>
  </si>
  <si>
    <t>Круг   6 мм  - 0,53-0,75м(4,6кг)</t>
  </si>
  <si>
    <t xml:space="preserve">Круг   55 мм -  0,41м(8,8кг) - 1шт   </t>
  </si>
  <si>
    <t>Проволока   0,18мм -  катушки 2,9; 2,7; 2; 2; 0,8; 1,6; 0,5; 1,9; 1,9; 2,4; 2; 1,1кг по 1шт</t>
  </si>
  <si>
    <t>Полоса        0,1х2,0мм  -  2,9кг -  пластиковая катушка</t>
  </si>
  <si>
    <t>Проволока   1,0мм  -  7,1; 8,2; 7; 7,4; 9,2; 8,5; 8,3кг  по 1-й  бухте   бирки !!!!  ФЕХРАЛЬ</t>
  </si>
  <si>
    <t>Проволока   6,0 мм -  23,2; 14,4; 3,3кг по  1-й бухте    светлая   ФЕХРАЛЬ</t>
  </si>
  <si>
    <t>Круг   60 мм - 2,24м(47,3кг); 0,67м(15,2кг) по 1шт</t>
  </si>
  <si>
    <t>Труба  48 х 3,5   -  3,79+4м=29,9кг</t>
  </si>
  <si>
    <t>Лист  2,0 мм -  1,25х2,5м(47,3кг) - 1шт</t>
  </si>
  <si>
    <t>Лента медная рулон  0,02х230мм - 27,6кг бухта - 1шт   птв</t>
  </si>
  <si>
    <t xml:space="preserve">Лист  10 мм - 0,44х0,5м(18кг) - 1шт   </t>
  </si>
  <si>
    <t>Труба  18,5х2,0  - 3,3-3,7м(38,7кг в т.ч. 1,97м по 1шт)</t>
  </si>
  <si>
    <t>Круг   100 мм -  0,64м(44,4кг); 0,29м(20,8кг) по 1шт</t>
  </si>
  <si>
    <t>Шестигранник №27  -   0,62м(3,2кг) - 1шт</t>
  </si>
  <si>
    <t>Круг   42 мм  -   0,24м(2,5кг); 0,25+0,26м=6,1кг; 0,12м(1,3кг)  по 1шт</t>
  </si>
  <si>
    <r>
      <t xml:space="preserve">Круг  22 мм -  1,35-1,5м(37,2кг, от 1шт резали 0,63м)     </t>
    </r>
    <r>
      <rPr>
        <b/>
        <sz val="10"/>
        <rFont val="Arial"/>
        <family val="2"/>
        <charset val="204"/>
      </rPr>
      <t xml:space="preserve"> ЭП-56   </t>
    </r>
  </si>
  <si>
    <r>
      <t xml:space="preserve">Круг  70 мм  -  1,48м(44кг); 1,53м(45,8+45,8кг); 0,91м(27кг); 1,5м(44,5кг); 1,31м(38,8кг); 1,33м(39,4кг); 1,41м(41,8+41,8кг); 1,54м(45,4кг);   по 1шт    клейма      </t>
    </r>
    <r>
      <rPr>
        <b/>
        <sz val="10"/>
        <rFont val="Arial"/>
        <family val="2"/>
        <charset val="204"/>
      </rPr>
      <t xml:space="preserve">ЭП-56 </t>
    </r>
  </si>
  <si>
    <t>Проволока   ф 1,6мм  -  15,3; 5,8кг по 1-й  бухте</t>
  </si>
  <si>
    <r>
      <t xml:space="preserve">Лист  10 мм  - 0,25х0,65м(13,8кг); 0,34х0,65м(19,2кг)  по 1шт   </t>
    </r>
    <r>
      <rPr>
        <b/>
        <sz val="10"/>
        <rFont val="Arial"/>
        <family val="2"/>
        <charset val="204"/>
      </rPr>
      <t xml:space="preserve"> ЭП-202</t>
    </r>
  </si>
  <si>
    <t>Труба  40 х 1,5"+"   -  5,58-6,45м - 8шт (от 1шт отрезали 1м)</t>
  </si>
  <si>
    <r>
      <t xml:space="preserve">Труба  48 х 7-7,5 -   1,18-1,22м              </t>
    </r>
    <r>
      <rPr>
        <b/>
        <sz val="10"/>
        <rFont val="Arial"/>
        <family val="2"/>
        <charset val="204"/>
      </rPr>
      <t>316-Ti</t>
    </r>
  </si>
  <si>
    <t>Лента бронзовая - 0,7х300мм - 1 бухта  26,2кг                    твердая</t>
  </si>
  <si>
    <t>Проволока   ф 1,6мм  -  2; 2,7кг  по 1-й  бухте</t>
  </si>
  <si>
    <t>Труба 50х1,5 -   2,5м(3,1кг) - 2шт      цветовая маркировка</t>
  </si>
  <si>
    <t>Проволока   3,0мм    -   9,2кг; 50,5; 39; 11,6кг   по  1-й  бухте</t>
  </si>
  <si>
    <t>Лист  1,5 мм -  1х2м(в т.ч. 1шт без угла 150х150мм) - 11шт; 1х1м - 1шт</t>
  </si>
  <si>
    <t xml:space="preserve">Круг  32 мм - 0,37м(2,3кг); 0,72м(4,4кг) по 1шт   </t>
  </si>
  <si>
    <t>Круг   60 мм  -  0,72м(17,9кг) - 1шт</t>
  </si>
  <si>
    <t>Шестигранник №14  -  0,81м(1,1кг); 0,62м(0,9кг)  по 1шт</t>
  </si>
  <si>
    <t>Лента  0,3х330 мм  -  1  рулон 103,7кг        мягкая</t>
  </si>
  <si>
    <t>Лист медный 0,55 мм -  1х2м(126,5кг) - 13шт  птв</t>
  </si>
  <si>
    <t>Труба  25 х 3,0  - 3,25-3,35м(146,8кг, от 1шт резали 1м)</t>
  </si>
  <si>
    <r>
      <t xml:space="preserve">Труба  60 х 5-5,5  -  2,22м(16,2кг); 2,27м(15,8кг) по  1шт                      </t>
    </r>
    <r>
      <rPr>
        <b/>
        <sz val="10"/>
        <rFont val="Arial"/>
        <family val="2"/>
        <charset val="204"/>
      </rPr>
      <t>316-L</t>
    </r>
  </si>
  <si>
    <t>Труба  68 х 3,5 -  2,47м(13,9кг); 2,26м(12,7кг) по 1шт</t>
  </si>
  <si>
    <t>Труба  51 х 2,5  -  4,18м(12,5кг); 1,7-2,7м(52,7кг); 1,85-1,9м(32кг); 2,33+3,04м=17,6кг; 1,77+1,97м(3шт)=22,9кг; 1,76м(5,5кг); 1,42м(4,9кг); 2,11м(6,4кг)</t>
  </si>
  <si>
    <t>Труба  48 х 3,5  - 2,31-2,37м</t>
  </si>
  <si>
    <r>
      <t>Круг  25"-" мм -    2,87-2,92м(52,6кг от 1шт резали 1м)         клеймо</t>
    </r>
    <r>
      <rPr>
        <b/>
        <sz val="10"/>
        <rFont val="Arial"/>
        <family val="2"/>
        <charset val="204"/>
      </rPr>
      <t xml:space="preserve">      ЭП-56   </t>
    </r>
  </si>
  <si>
    <t>Труба  6,35х0,76 - 1,6кг - 1 бухта</t>
  </si>
  <si>
    <t>Труба  21 х 3,0  -  5,9-6,2м(130,3кг, отрезали куски)</t>
  </si>
  <si>
    <t xml:space="preserve">Круг   50"+" мм -  0,64м(10кг); 0,65+0,65+0,61м=30,8кг   </t>
  </si>
  <si>
    <t xml:space="preserve">Труба  20 х 3,0   -  0,8-0,87м(10,4кг) </t>
  </si>
  <si>
    <r>
      <t xml:space="preserve">Труба  42 х 4,0  -  2,49м(26,6кг) - 3шт                   </t>
    </r>
    <r>
      <rPr>
        <b/>
        <sz val="10"/>
        <rFont val="Arial"/>
        <family val="2"/>
        <charset val="204"/>
      </rPr>
      <t xml:space="preserve">   316-Ti</t>
    </r>
  </si>
  <si>
    <t>Труба  42 х 3,0   -  2+2,14м=12,6кг; 1,9м(6,2кг); 2,11м(6,6кг); 2,29м(6,4кг) по 1шт</t>
  </si>
  <si>
    <t xml:space="preserve">Труба  32 х 4,5  - 1,05м(3,4кг)  -  1шт  </t>
  </si>
  <si>
    <t>Труба  20 х 3,0   -   1,5+1,46м=3,6кг; 1,8м(2,2кг); 1,88м(2,3кг) по 1шт</t>
  </si>
  <si>
    <r>
      <rPr>
        <b/>
        <sz val="8"/>
        <rFont val="Arial"/>
        <family val="2"/>
        <charset val="204"/>
      </rPr>
      <t xml:space="preserve">Шестигранник №19 - 0,98-1м(143,2кг); 0,55-0,75м(28,5кг в Г3)       </t>
    </r>
    <r>
      <rPr>
        <b/>
        <sz val="10"/>
        <rFont val="Arial"/>
        <family val="2"/>
        <charset val="204"/>
      </rPr>
      <t>ЭП-33вд</t>
    </r>
    <r>
      <rPr>
        <b/>
        <sz val="8.3000000000000007"/>
        <rFont val="Arial"/>
        <family val="2"/>
        <charset val="204"/>
      </rPr>
      <t xml:space="preserve">  есть клейма</t>
    </r>
  </si>
  <si>
    <t>Труба  27 х 2,0 -  2,66+3,2+4,2м=13,8кг</t>
  </si>
  <si>
    <t>Труба 50х8,0  - 2,67м(8кг) - 1шт              цветовая маркировка</t>
  </si>
  <si>
    <t xml:space="preserve">Круг  15-16 мм -  2,65-2,77м(22,5кг); 0,8-0,81м(5,1кг) </t>
  </si>
  <si>
    <r>
      <t xml:space="preserve">Круг  32 мм  -  1,6+1,65м=20,3кг </t>
    </r>
    <r>
      <rPr>
        <b/>
        <sz val="10"/>
        <color indexed="10"/>
        <rFont val="Arial"/>
        <family val="2"/>
        <charset val="204"/>
      </rPr>
      <t xml:space="preserve">   </t>
    </r>
    <r>
      <rPr>
        <b/>
        <sz val="10"/>
        <rFont val="Arial"/>
        <family val="2"/>
        <charset val="204"/>
      </rPr>
      <t xml:space="preserve"> ЭП-678увд  </t>
    </r>
    <r>
      <rPr>
        <b/>
        <sz val="8.3000000000000007"/>
        <rFont val="Arial"/>
        <family val="2"/>
        <charset val="204"/>
      </rPr>
      <t xml:space="preserve">  клеймо</t>
    </r>
  </si>
  <si>
    <r>
      <t xml:space="preserve">Круг  50 мм  - 1,23-1,5м    клейма      </t>
    </r>
    <r>
      <rPr>
        <b/>
        <sz val="10"/>
        <rFont val="Arial"/>
        <family val="2"/>
        <charset val="204"/>
      </rPr>
      <t>ЭП-56ш</t>
    </r>
  </si>
  <si>
    <t xml:space="preserve">Круг  80 мм  -  1,95м(77,2кг); 1,21м(48,8кг); 0,53м(21,3кг клеймо) по 1шт   клейма  </t>
  </si>
  <si>
    <t>Круг  40 мм  - 1,03-1,23м(39кг клеймо)</t>
  </si>
  <si>
    <t>Труба 9х1,5 -  3м(28,7кг, несколько шт короче 3м)      цветовая маркировка</t>
  </si>
  <si>
    <t>Проволока  ф1,2  мм - 23,4кг - 1  бухта  для сварки!!!!!</t>
  </si>
  <si>
    <t>Труба  57 х 5,0 -  1,87м(11,3кг); 1,36м(8,4кг); 1,32м(8кг) по 1шт</t>
  </si>
  <si>
    <t xml:space="preserve">Проволока  6,5 мм  - 7,7кг -  1  бухта </t>
  </si>
  <si>
    <t xml:space="preserve">Труба  20 х 3,0   -  6,26-6,3м(отрезали куски 3м; 2,35м;  2м; 2м; 1м; 0,6м)            </t>
  </si>
  <si>
    <t>Круг  32 мм  - 1,6м(9,8кг) - 1шт</t>
  </si>
  <si>
    <t>Труба  60 х 3,0  - 1,9м(8,6кг); 1,35м(5,6кг); 1,85м(7,5кг); 1,71м(7,2кг) по 1шт</t>
  </si>
  <si>
    <t>Лента бронзовая - 0,15х225мм  -  70,7кг; 8,2кг; 11,4кг по 1-й бухте на катушке твердая</t>
  </si>
  <si>
    <r>
      <t xml:space="preserve">Труба  42 х 3,0   -   1,93+3,31м=15,3кг            </t>
    </r>
    <r>
      <rPr>
        <b/>
        <sz val="10"/>
        <rFont val="Arial"/>
        <family val="2"/>
        <charset val="204"/>
      </rPr>
      <t xml:space="preserve">  316-Ti</t>
    </r>
  </si>
  <si>
    <r>
      <t xml:space="preserve">Лист  0,8 мм - 0,65х1,5м(6,8кг) - 1шт      </t>
    </r>
    <r>
      <rPr>
        <b/>
        <sz val="10"/>
        <rFont val="Arial"/>
        <family val="2"/>
        <charset val="204"/>
      </rPr>
      <t xml:space="preserve">    ЭИ-868</t>
    </r>
  </si>
  <si>
    <t>Лента бронзовая - 0,5х250мм  - 24,6кг - 1 бухта  мягкая</t>
  </si>
  <si>
    <r>
      <t xml:space="preserve">Круг  10 мм  -   1,63м(1,3кг) - 1шт                           </t>
    </r>
    <r>
      <rPr>
        <b/>
        <sz val="10"/>
        <rFont val="Arial"/>
        <family val="2"/>
        <charset val="204"/>
      </rPr>
      <t xml:space="preserve"> ЭИ-435</t>
    </r>
  </si>
  <si>
    <t>Труба  51 х 3,0  -  1,94м(6,6кг) - 1шт</t>
  </si>
  <si>
    <t>Труба  32 х 2,0  - 1,42; 1,98м по 1шт</t>
  </si>
  <si>
    <t>Проволока  8 мм  - 46,6; 46,1; 58,2; 46,1; 8,6кг по 1 бухте н\о</t>
  </si>
  <si>
    <t>Труба 52х2,0   по  3м   цветовая маркировка</t>
  </si>
  <si>
    <r>
      <t xml:space="preserve">Круг  25 мм  -  1,45-1,5м(62,9кг в т.ч. 1,15м)  клеймо   </t>
    </r>
    <r>
      <rPr>
        <b/>
        <sz val="10"/>
        <rFont val="Arial"/>
        <family val="2"/>
        <charset val="204"/>
      </rPr>
      <t>ВНС-16</t>
    </r>
  </si>
  <si>
    <t>Труба 80х5,0  -  1,5-2,6м  - 18шт   клеймо</t>
  </si>
  <si>
    <r>
      <t xml:space="preserve">Проволока  5,0 мм  -  25,1кг  - 1  бухта                           </t>
    </r>
    <r>
      <rPr>
        <b/>
        <sz val="10"/>
        <rFont val="Arial"/>
        <family val="2"/>
        <charset val="204"/>
      </rPr>
      <t>ER-316</t>
    </r>
  </si>
  <si>
    <t>Труба  25 х 2,0 - 1,35-3,2м                               (найти 80кг!!!!)</t>
  </si>
  <si>
    <t xml:space="preserve">Круг  12 мм  -   0,6-1м(18,3кг н\о) </t>
  </si>
  <si>
    <t xml:space="preserve">Круг   80 мм -  1,63м(60,8кг); 0,47м(17,3кг) по 1шт             </t>
  </si>
  <si>
    <t>Проволока  1,2 мм  -  13,2кг - 1 бухта</t>
  </si>
  <si>
    <t>Проволока   3,5мм  - 6кг; 4,7кг по 1-й  бухте</t>
  </si>
  <si>
    <r>
      <t xml:space="preserve">Круг  18 мм  - 2,7-3,2м(42кг, 1шт - 1,1м)                                     </t>
    </r>
    <r>
      <rPr>
        <b/>
        <sz val="10"/>
        <rFont val="Arial"/>
        <family val="2"/>
        <charset val="204"/>
      </rPr>
      <t>ЭИ-654               склад 7</t>
    </r>
  </si>
  <si>
    <t>Круг  80 мм  -  0,25м(по 10кг) - 7шт; 0,28м(по 11,4кг) - 4шт</t>
  </si>
  <si>
    <t>Круг  60 мм  -  0,3м(по 6,6кг) - 2шт; 0,16м(3,6кг) - 14шт</t>
  </si>
  <si>
    <t>Труба 200х40-42  -  0,65м(по 35,3кг) - 4шт</t>
  </si>
  <si>
    <t xml:space="preserve">Лист  10 мм - 0,8х1,5м(98,5кг) - 1шт            </t>
  </si>
  <si>
    <t>Круг   20 мм  -  0,92; 0,97; 1,19; 2,62м по 1шт</t>
  </si>
  <si>
    <r>
      <t xml:space="preserve">Труба  18 х 2,0 - 2,4-3,3м            </t>
    </r>
    <r>
      <rPr>
        <b/>
        <sz val="10"/>
        <rFont val="Arial"/>
        <family val="2"/>
        <charset val="204"/>
      </rPr>
      <t>316-L</t>
    </r>
  </si>
  <si>
    <t xml:space="preserve">Труба  45 х 2,5  -  2,2м(5,5кг) - 1шт </t>
  </si>
  <si>
    <t>Труба 53х1,5  -  3м(31,5кг)  клеймо</t>
  </si>
  <si>
    <t>Лента латунная 0,4х250 мм - 67,7кг - 1 рулон   мягкая</t>
  </si>
  <si>
    <r>
      <t xml:space="preserve">Круг  25 мм  -  1-1,6м   клеймо   </t>
    </r>
    <r>
      <rPr>
        <b/>
        <sz val="10"/>
        <rFont val="Arial"/>
        <family val="2"/>
        <charset val="204"/>
      </rPr>
      <t xml:space="preserve"> ЭП-288мш</t>
    </r>
  </si>
  <si>
    <t>12Х21Н5Твд</t>
  </si>
  <si>
    <r>
      <t xml:space="preserve">Круг  32 мм  - 0,66; 0,86; 1,04; 1,4; 1,54; 1,6; 1,64м по 1шт   клеймо           </t>
    </r>
    <r>
      <rPr>
        <b/>
        <sz val="10"/>
        <rFont val="Arial"/>
        <family val="2"/>
        <charset val="204"/>
      </rPr>
      <t xml:space="preserve">ЭИ-811вд </t>
    </r>
  </si>
  <si>
    <r>
      <rPr>
        <b/>
        <sz val="8"/>
        <rFont val="Arial"/>
        <family val="2"/>
        <charset val="204"/>
      </rPr>
      <t xml:space="preserve">Шестигранник №19 - 1,25-1,6м      </t>
    </r>
    <r>
      <rPr>
        <b/>
        <sz val="10"/>
        <rFont val="Arial"/>
        <family val="2"/>
        <charset val="204"/>
      </rPr>
      <t>ЭП-33вд</t>
    </r>
  </si>
  <si>
    <r>
      <rPr>
        <b/>
        <sz val="8"/>
        <rFont val="Arial"/>
        <family val="2"/>
        <charset val="204"/>
      </rPr>
      <t xml:space="preserve">Шестигранник №22 - 1,3м - 8шт; 1,73-1,76м - 4шт; 1,26м - 2шт; 1,53м - 4шт      </t>
    </r>
    <r>
      <rPr>
        <b/>
        <sz val="10"/>
        <rFont val="Arial"/>
        <family val="2"/>
        <charset val="204"/>
      </rPr>
      <t>ЭП-33вд</t>
    </r>
    <r>
      <rPr>
        <b/>
        <sz val="8.3000000000000007"/>
        <rFont val="Arial"/>
        <family val="2"/>
        <charset val="204"/>
      </rPr>
      <t xml:space="preserve"> </t>
    </r>
  </si>
  <si>
    <t>Проволока   0,15мм  - 0,4кг(железная катушка); 0,8кг(пластик катушка) по 1шт</t>
  </si>
  <si>
    <t>Проволока   0,1мм  - 0,5кг(пластик катушка) - 1шт</t>
  </si>
  <si>
    <t xml:space="preserve">Труба  159 х 8,0  -  0,84м(15кг) - 1шт   </t>
  </si>
  <si>
    <t>Проволока   2,5мм  -  32,6кг - 1  бухта</t>
  </si>
  <si>
    <t>Круг  16 мм  - 0,55+0,77м=0,7кг</t>
  </si>
  <si>
    <t xml:space="preserve">Лист  14 мм   -  0,49х0,5м(27,7кг) - 1шт                        </t>
  </si>
  <si>
    <t xml:space="preserve">Круг   110 мм - 0,11м(9,4+10кг) по 1шт </t>
  </si>
  <si>
    <r>
      <t xml:space="preserve">Труба  161 х 36  -  0,16м(19,2кг) - 1шт          </t>
    </r>
    <r>
      <rPr>
        <b/>
        <sz val="10"/>
        <rFont val="Arial"/>
        <family val="2"/>
        <charset val="204"/>
      </rPr>
      <t xml:space="preserve">  316-L</t>
    </r>
  </si>
  <si>
    <t xml:space="preserve">Лист бронзовый 19"-"мм - 85х220мм(3+3,1кг) по 1шт </t>
  </si>
  <si>
    <t>Круг ф24"-"мм -  0,5м - 3шт; 0,42м - 1шт</t>
  </si>
  <si>
    <t xml:space="preserve">Круг ф20"-"мм -  0,5м - 5шт </t>
  </si>
  <si>
    <t xml:space="preserve">Круг  30 мм -  1,99м(6,3кг) - 1шт </t>
  </si>
  <si>
    <t>Полоса        1,5х15мм   - 8,9кг(светлая); 10,2кг; 20кг; 7,4кг  по 1-й  бухте</t>
  </si>
  <si>
    <t>Труба  63 х 14  - 0,37м(6,5кг) - 1шт</t>
  </si>
  <si>
    <t xml:space="preserve">Полоса  3х30мм  -  по 6м  - 12шт          маркировка         </t>
  </si>
  <si>
    <r>
      <t xml:space="preserve">Полоса  5х30мм  -  по 3м                      </t>
    </r>
    <r>
      <rPr>
        <b/>
        <sz val="10"/>
        <rFont val="Arial"/>
        <family val="2"/>
        <charset val="204"/>
      </rPr>
      <t>316-L</t>
    </r>
  </si>
  <si>
    <t xml:space="preserve">Полоса  8х160мм  - 4м(40кг маркирована) - 1шт                    </t>
  </si>
  <si>
    <t xml:space="preserve">Полоса  8х180мм  - 4м(44,5кг маркирована) - 1шт                    </t>
  </si>
  <si>
    <t xml:space="preserve">Круг  90 мм - 1,73м(96,8кг) - 1шт   </t>
  </si>
  <si>
    <t xml:space="preserve">Труба  19 х 2,0  -  5,97-6м </t>
  </si>
  <si>
    <t>Круг   25 мм  -  0,9; 1,73; 2,19; 2,2м по 1шт    мягкий, клеймо</t>
  </si>
  <si>
    <r>
      <t xml:space="preserve">Труба  22 х 1,5   -  5,3-5,9м(12,8кг) - 3шт; 6-6,4м(7,4кг от 1шт резали 2м); 2,9-3,2м(32,8кг); 1,84м(1,2кг)   </t>
    </r>
    <r>
      <rPr>
        <b/>
        <sz val="10"/>
        <rFont val="Arial"/>
        <family val="2"/>
        <charset val="204"/>
      </rPr>
      <t>316-L</t>
    </r>
  </si>
  <si>
    <t>Круг  80 мм  -  0,35м(13,8кг) - 1шт</t>
  </si>
  <si>
    <t>Круг  35 мм  -  1,85-2,4м   клейма</t>
  </si>
  <si>
    <t>Труба  28 х 1,0  -  1,1м - 2шт</t>
  </si>
  <si>
    <t>Труба  32 х 1,0  - 3,77-3,9м(146,4кг, отрезали 2; 1м)</t>
  </si>
  <si>
    <t>Круг  14 мм  - 0,75м - 3шт; 1,1м - 6шт</t>
  </si>
  <si>
    <t>Круг  65 мм  - 2,68; 3,17; 2,9м по 1шт  клеймо</t>
  </si>
  <si>
    <t xml:space="preserve">Круг  120 мм  -   0,62м(57кг в чистоте ф115мм); 0,52м(53,8кг, грязная длина 0,6м, по торцам - утяжка) по 1шт </t>
  </si>
  <si>
    <t xml:space="preserve">Круг  75 мм  -   0,59м(12,3кг) - 1шт             </t>
  </si>
  <si>
    <t xml:space="preserve">Круг  75 мм  -   2,03м(41,8кг) - 1шт              </t>
  </si>
  <si>
    <t>Труба  22 х 2,0  -  3,03м(1,6кг) - 1шт</t>
  </si>
  <si>
    <t>Труба  21 х 3,0  -  2,92м(2,4кг) - 1шт</t>
  </si>
  <si>
    <t>Труба  20 х 2,5  -  2,62-2,97м</t>
  </si>
  <si>
    <t>Труба  18 х 3,0  -   4м(2,7кг) - 1шт</t>
  </si>
  <si>
    <t>Труба  18 х 2,5  -   3,92; 3,92; 3,62; 4м по 1шт</t>
  </si>
  <si>
    <t>Труба  17 х 3,0  -   3,06м(1,7кг) - 1шт</t>
  </si>
  <si>
    <t xml:space="preserve">Круг   84 мм -  0,17м(по 7,1кг) - 3шт  </t>
  </si>
  <si>
    <t>Проволока   1,5мм    -  4,65кг; 4; 6,1кг по 1-й  бухта</t>
  </si>
  <si>
    <t>Лента  0,5х130 мм  -   рулоны 3,8кг - 1шт           мягкая</t>
  </si>
  <si>
    <t>Труба  14 х 2,5  -  2,9; 3,56; 3,82м по 1шт; 4м - 5шт</t>
  </si>
  <si>
    <t>Круг  30 мм -  0,81+0,82+0,83м=13,8кг; 0,2м(9,4кг)</t>
  </si>
  <si>
    <t xml:space="preserve">Круг  30 мм - 2,5м(13,8кг) - 1шт </t>
  </si>
  <si>
    <r>
      <t xml:space="preserve">Лист  0,8 мм  -    1х2м(145,1кг) - 11шт                                 </t>
    </r>
    <r>
      <rPr>
        <b/>
        <sz val="10"/>
        <rFont val="Arial"/>
        <family val="2"/>
        <charset val="204"/>
      </rPr>
      <t xml:space="preserve">               ЭИ-835</t>
    </r>
  </si>
  <si>
    <r>
      <t xml:space="preserve">Круг  90 мм - 0,84м(42,8кг клейм) - 1шт     </t>
    </r>
    <r>
      <rPr>
        <b/>
        <sz val="10"/>
        <rFont val="Arial"/>
        <family val="2"/>
        <charset val="204"/>
      </rPr>
      <t xml:space="preserve">ЭИ-654  </t>
    </r>
  </si>
  <si>
    <t>Труба  10х1,0  - 1,9-2,65м(2,4кг)  птв</t>
  </si>
  <si>
    <t xml:space="preserve">Круг   40 мм  -   0,25-0,45м(10,3кг, в т.ч 0,14; 0,17м)                  </t>
  </si>
  <si>
    <t>Труба  19х1,0  -  3,97-4м, в т.ч. 2м</t>
  </si>
  <si>
    <r>
      <t xml:space="preserve">Труба  108 х 5,0 -  1,48м(19,7кг) - 1шт           </t>
    </r>
    <r>
      <rPr>
        <b/>
        <sz val="10"/>
        <rFont val="Arial"/>
        <family val="2"/>
        <charset val="204"/>
      </rPr>
      <t>316-Ti</t>
    </r>
  </si>
  <si>
    <r>
      <t xml:space="preserve">Труба  60 х 3,5 -  4,99м(23,3кг); 3,23-3,39м(57,2кг в т.ч. 2,3м); 5,14м(27кг)     </t>
    </r>
    <r>
      <rPr>
        <b/>
        <sz val="10"/>
        <rFont val="Arial"/>
        <family val="2"/>
        <charset val="204"/>
      </rPr>
      <t>316-Ti</t>
    </r>
  </si>
  <si>
    <t>Труба  50 х 2,5  -  1,84м(5,5кг); 1,8м(5,7кг) по 1шт</t>
  </si>
  <si>
    <t>Проволока  0,3 мм  -  7,7; 9кг по 1-й катушке алюминий</t>
  </si>
  <si>
    <t>Проволока  0,3 мм  -  9; 9; 8; 7,6; 7,6кг по 1-й катушке железной</t>
  </si>
  <si>
    <r>
      <t xml:space="preserve">Круг  100 мм   -  1,15м(80кг </t>
    </r>
    <r>
      <rPr>
        <b/>
        <sz val="10"/>
        <rFont val="Arial"/>
        <family val="2"/>
        <charset val="204"/>
      </rPr>
      <t>склад 7</t>
    </r>
    <r>
      <rPr>
        <b/>
        <sz val="8.3000000000000007"/>
        <rFont val="Arial"/>
        <family val="2"/>
        <charset val="204"/>
      </rPr>
      <t xml:space="preserve">); 1,32м(92,4кг); 0,17м(12кг клеймо вд)  -  по 1шт        клеймо   </t>
    </r>
    <r>
      <rPr>
        <b/>
        <sz val="10"/>
        <rFont val="Arial"/>
        <family val="2"/>
        <charset val="204"/>
      </rPr>
      <t xml:space="preserve">ЭП-202    </t>
    </r>
  </si>
  <si>
    <t xml:space="preserve">Круг  16 мм -    0,4м(1,8кг) - 5шт </t>
  </si>
  <si>
    <t xml:space="preserve">Лист латунный 6"-" мм -  0,65х0,9м(29,4кг) - 1шт </t>
  </si>
  <si>
    <t xml:space="preserve">Круг   8 мм  -  0,4-1,4м(13,1кг) </t>
  </si>
  <si>
    <r>
      <t xml:space="preserve">Труба  20 х 1,0 -  2,49м(1,2кг) - 1шт           </t>
    </r>
    <r>
      <rPr>
        <b/>
        <sz val="10"/>
        <rFont val="Arial"/>
        <family val="2"/>
        <charset val="204"/>
      </rPr>
      <t>316-Ti</t>
    </r>
  </si>
  <si>
    <t xml:space="preserve">Труба  171 х 21 -   0,16м(13,5кг); 0,2м(17кг) по 1шт                      </t>
  </si>
  <si>
    <t xml:space="preserve">Лист  6 мм -  0,25х1,53м(18кг) -  1шт      </t>
  </si>
  <si>
    <t xml:space="preserve">Круг  50 мм  -  0,31м(1,7кг клеймо) - 1шт     </t>
  </si>
  <si>
    <t>Круг  30 мм  -  1,75м(3,2кг) - 1шт</t>
  </si>
  <si>
    <t>Круг  28 мм -  1,24+1,34м=7,1кг</t>
  </si>
  <si>
    <t xml:space="preserve">Лист  13 мм  -  0,54х1,34м(77,7кг)  - 1шт                                  </t>
  </si>
  <si>
    <t>Круг  120 мм - 0,87м(27,6кг) - 1шт</t>
  </si>
  <si>
    <t>Круг  140 мм - 0,87м(37,6кг) - 1шт</t>
  </si>
  <si>
    <t>Труба 30х2,0 - 1,9-2м(12,6кг, от 1шт резали 0,5м)</t>
  </si>
  <si>
    <t>Круг ф10мм -  1,8-1,88м(10кг, от 1шт отрезали 0,5м)</t>
  </si>
  <si>
    <t>Труба  32 х 2,5  -  2,05-3,4м(95кг); 3,89-6,27м(56,7кг); 3,6+3,64+3,64+4,2м=28кг; 3,6+3,6+3,53м=20кг; 4м(7,3кг, на Е2)</t>
  </si>
  <si>
    <t xml:space="preserve">Труба  32 х 3,0   -  1,48-1,87м  </t>
  </si>
  <si>
    <t>Труба  45 х 3,5  -  1,94; 1,99; 2,04; 2,06м по 1шт</t>
  </si>
  <si>
    <t>Круг   25 мм -  2,8-3,27м(110,7кг, в т.ч. 2,46м)</t>
  </si>
  <si>
    <t>Шестигранник №27  -  1,06м(5,2кг н/о) - 1шт</t>
  </si>
  <si>
    <t>Круг   41 мм  -  1,2-1,65м(59,2кг) - 4шт; 0,4-0,5м(40кг)</t>
  </si>
  <si>
    <t xml:space="preserve">Круг  200 мм -   1,28м(114,8кг) - 1шт    клеймо 1933 </t>
  </si>
  <si>
    <t>Труба  16 х 2"-"  -  3,5-4м + 2,38м - 3шт</t>
  </si>
  <si>
    <t>Труба  14 х 1,2-1,3  -  4м</t>
  </si>
  <si>
    <t>Труба  14 х 1,5  -  4м(2,4кг) - 2шт</t>
  </si>
  <si>
    <r>
      <t xml:space="preserve">Проволока  2,5 мм  -   2,2кг -  1  бухта                          </t>
    </r>
    <r>
      <rPr>
        <b/>
        <sz val="10"/>
        <rFont val="Arial"/>
        <family val="2"/>
        <charset val="204"/>
      </rPr>
      <t>ЭП-367</t>
    </r>
  </si>
  <si>
    <t>Припой   ф2мм  - проволока бухты 6; 2,1; 0,7; 0,7; 0,3кг по 1шт; по 0,1кг - 5шт</t>
  </si>
  <si>
    <r>
      <t xml:space="preserve">Шестигранник №22 -   1,06м - 1шт            </t>
    </r>
    <r>
      <rPr>
        <b/>
        <sz val="10"/>
        <rFont val="Arial"/>
        <family val="2"/>
        <charset val="204"/>
      </rPr>
      <t>ЭИ-268</t>
    </r>
  </si>
  <si>
    <t>Круг   50 мм -  0,36; 0,36; 0,43м по 1шт</t>
  </si>
  <si>
    <t xml:space="preserve">Лист латунный 3,0 мм -  0,6х1,5м(22,7кг) - 1шт </t>
  </si>
  <si>
    <t xml:space="preserve">Труба  89 х 5,0  -  2,81м(27,7кг) - 1шт  </t>
  </si>
  <si>
    <t>Круг   44 мм  -  1,28м - 1шт</t>
  </si>
  <si>
    <t xml:space="preserve">Труба  38 х 4,0 -  2,43-2,6м(25,3кг) - 3шт </t>
  </si>
  <si>
    <t xml:space="preserve">Круг  140 мм  - 0,2м(25,2кг); 0,2м(по 24,7кг) - 21шт            </t>
  </si>
  <si>
    <r>
      <t xml:space="preserve">Круг  60 мм  -  1,43-1,45м(122,8кг клейма); 1,39м(31кг) - 1шт             </t>
    </r>
    <r>
      <rPr>
        <b/>
        <sz val="10"/>
        <rFont val="Arial"/>
        <family val="2"/>
        <charset val="204"/>
      </rPr>
      <t>ЭП-56</t>
    </r>
  </si>
  <si>
    <r>
      <t xml:space="preserve">Труба  76 х 4,0  -  5,4м(37,8кг); 5,3м(40кг) по 1шт </t>
    </r>
    <r>
      <rPr>
        <b/>
        <sz val="10"/>
        <rFont val="Arial"/>
        <family val="2"/>
        <charset val="204"/>
      </rPr>
      <t xml:space="preserve">  </t>
    </r>
  </si>
  <si>
    <t xml:space="preserve">Круг   5 мм -   1,4-1,5м </t>
  </si>
  <si>
    <t xml:space="preserve">Труба  161 х 26 -   0,14м(12,7кг) - 1шт                      </t>
  </si>
  <si>
    <t xml:space="preserve">Круг  95 мм  -  0,35м(19,7кг клеймо) - 1шт    </t>
  </si>
  <si>
    <t>Проволока  5,0 мм - 27,7кг; 3,1кг  по 1-й бухте    птв</t>
  </si>
  <si>
    <t>Круг   45 мм -  0,25м(3,5кг) по 1шт</t>
  </si>
  <si>
    <t xml:space="preserve">Круг  80 мм  -  0,7м(30,2кг) - 1шт </t>
  </si>
  <si>
    <t xml:space="preserve">Круг   10 мм  -  2,99м(5,6кг); 1,8-2,6м(6,6кг); 1,86м(1,2кг) - 1шт </t>
  </si>
  <si>
    <t xml:space="preserve">Проволока ф5мм  -  18,8кг - 1 бухта    </t>
  </si>
  <si>
    <t>Шина медная - 8х50мм - 14,7кг бухта,  ориентировочная длина 4м</t>
  </si>
  <si>
    <t>Шина медная - 8х50мм - 0,98м(3,6кг) - 1шт</t>
  </si>
  <si>
    <t>Круг   34 мм  -  0,71м(5кг); 0,16м(1,2кг); 0,2м(1,5кг); 0,25м(1,8кг) по 1шт</t>
  </si>
  <si>
    <t>Круг   22"-" мм  -  0,98-1м</t>
  </si>
  <si>
    <t>Круг   22"-" мм  -  0,9-1м - 6шт; 0,7; 0,75м по 1шт</t>
  </si>
  <si>
    <t xml:space="preserve">Труба 12х2,5 - 1,45-1,95м(3,3кг) </t>
  </si>
  <si>
    <t xml:space="preserve">Труба  28 х 3,5  - 4,8м(10,6кг); 1,98м(4,2кг); 2,44м(5,1кг) по 1шт </t>
  </si>
  <si>
    <t>Труба  28 х 4,5  -  0,93м(2,5кг) - 1шт</t>
  </si>
  <si>
    <t xml:space="preserve">Труба  32 х 5,0  -  3-3,2м(137,1кг); 1,57м(5,2кг); 1,85м(6,4кг) - 1шт </t>
  </si>
  <si>
    <t xml:space="preserve">Труба  42 х 3,0  -  1,14+1,17м=6,8кг; 1,53м(4,4кг) - 1шт  </t>
  </si>
  <si>
    <r>
      <t xml:space="preserve">Лист  3 мм -   0,39х1,03м(11,2кг) - 1шт             </t>
    </r>
    <r>
      <rPr>
        <b/>
        <sz val="10"/>
        <rFont val="Arial"/>
        <family val="2"/>
        <charset val="204"/>
      </rPr>
      <t>ЭИ-868</t>
    </r>
  </si>
  <si>
    <t>Проволока  5,0 мм - 8,3; 10,5кг  по 1-й бухте   мягкая</t>
  </si>
  <si>
    <r>
      <t xml:space="preserve">Труба  191 х 35  -  130м(20кг) - 1шт               </t>
    </r>
    <r>
      <rPr>
        <b/>
        <sz val="10"/>
        <rFont val="Arial"/>
        <family val="2"/>
        <charset val="204"/>
      </rPr>
      <t xml:space="preserve">  316-Т</t>
    </r>
    <r>
      <rPr>
        <b/>
        <sz val="8.3000000000000007"/>
        <rFont val="Arial"/>
        <family val="2"/>
        <charset val="204"/>
      </rPr>
      <t xml:space="preserve">                  </t>
    </r>
    <r>
      <rPr>
        <b/>
        <sz val="10"/>
        <rFont val="Arial"/>
        <family val="2"/>
        <charset val="204"/>
      </rPr>
      <t xml:space="preserve"> </t>
    </r>
  </si>
  <si>
    <r>
      <t xml:space="preserve">Лист  3 мм  -  1х2м - 3шт; 1х1,85м(43кг) - 1шт                  </t>
    </r>
    <r>
      <rPr>
        <b/>
        <sz val="10"/>
        <rFont val="Arial"/>
        <family val="2"/>
        <charset val="204"/>
      </rPr>
      <t>316-L</t>
    </r>
  </si>
  <si>
    <t>Круг  27мм  -  0,44м(5,9кг) - 3шт</t>
  </si>
  <si>
    <t>Круг  16мм  -  1,36м(2,2кг) - 1шт</t>
  </si>
  <si>
    <r>
      <t xml:space="preserve">Круг  55 мм  -  0,51м(9,8кг) - 1шт            </t>
    </r>
    <r>
      <rPr>
        <b/>
        <sz val="10"/>
        <rFont val="Arial"/>
        <family val="2"/>
        <charset val="204"/>
      </rPr>
      <t>316-L</t>
    </r>
  </si>
  <si>
    <r>
      <t xml:space="preserve">Круг  43 мм  -  0,47; 0,48м по 1шт            </t>
    </r>
    <r>
      <rPr>
        <b/>
        <sz val="10"/>
        <rFont val="Arial"/>
        <family val="2"/>
        <charset val="204"/>
      </rPr>
      <t>316-L</t>
    </r>
  </si>
  <si>
    <r>
      <t xml:space="preserve">Круг  36 мм  - 0,5-0,67м        </t>
    </r>
    <r>
      <rPr>
        <b/>
        <sz val="10"/>
        <rFont val="Arial"/>
        <family val="2"/>
        <charset val="204"/>
      </rPr>
      <t>316-L</t>
    </r>
  </si>
  <si>
    <r>
      <t xml:space="preserve">Круг  35 мм  - 0,39-0,46м        </t>
    </r>
    <r>
      <rPr>
        <b/>
        <sz val="10"/>
        <rFont val="Arial"/>
        <family val="2"/>
        <charset val="204"/>
      </rPr>
      <t>316-L</t>
    </r>
  </si>
  <si>
    <r>
      <t xml:space="preserve">Круг  32 мм  -  0,57-0,8м        </t>
    </r>
    <r>
      <rPr>
        <b/>
        <sz val="10"/>
        <rFont val="Arial"/>
        <family val="2"/>
        <charset val="204"/>
      </rPr>
      <t>316-L</t>
    </r>
  </si>
  <si>
    <r>
      <t xml:space="preserve">Круг  30 мм  -  0,54; 1,25; 1,27; 1,37м по 1шт       </t>
    </r>
    <r>
      <rPr>
        <b/>
        <sz val="10"/>
        <rFont val="Arial"/>
        <family val="2"/>
        <charset val="204"/>
      </rPr>
      <t>316-L</t>
    </r>
  </si>
  <si>
    <r>
      <t xml:space="preserve">Круг  28 мм  -  0,49-0,53м        </t>
    </r>
    <r>
      <rPr>
        <b/>
        <sz val="10"/>
        <rFont val="Arial"/>
        <family val="2"/>
        <charset val="204"/>
      </rPr>
      <t>316-L</t>
    </r>
  </si>
  <si>
    <r>
      <t xml:space="preserve">Круг  25 мм  -  0,51-0,79м        </t>
    </r>
    <r>
      <rPr>
        <b/>
        <sz val="10"/>
        <rFont val="Arial"/>
        <family val="2"/>
        <charset val="204"/>
      </rPr>
      <t>316-L</t>
    </r>
  </si>
  <si>
    <r>
      <t xml:space="preserve">Круг  22 мм  -  0,82; 0,84м по 1шт        </t>
    </r>
    <r>
      <rPr>
        <b/>
        <sz val="10"/>
        <rFont val="Arial"/>
        <family val="2"/>
        <charset val="204"/>
      </rPr>
      <t>316-L</t>
    </r>
  </si>
  <si>
    <t xml:space="preserve">Круг   52 мм -  0,44м(8,3кг) - 1шт   </t>
  </si>
  <si>
    <t>Лист  10 мм  -  0,77х1,5м(91,3кг); 0,42х0,86м(29,1кг); 0,54х0,6м(27кг)  по 1шт</t>
  </si>
  <si>
    <r>
      <t xml:space="preserve">Труба  22 х 1,5  -  2,15-3,72м    </t>
    </r>
    <r>
      <rPr>
        <b/>
        <sz val="10"/>
        <rFont val="Arial"/>
        <family val="2"/>
        <charset val="204"/>
      </rPr>
      <t>316-Ti</t>
    </r>
  </si>
  <si>
    <t>Лист латунный 8,0 мм - 0,6х0,87м(34,5кг) - 1шт</t>
  </si>
  <si>
    <t>Труба 26х1,0 -  2,3+2,3м=0,8кг     цветовая маркировка</t>
  </si>
  <si>
    <t>Проволока   0,5мм    -  4,8кг  - 1  катушка  деревянная</t>
  </si>
  <si>
    <t>Проволока   0,4мм    -  4,6кг; 5,7кг по 1-й  катушке  деревянные</t>
  </si>
  <si>
    <t xml:space="preserve">Лист латунный 4,0 мм - 0,59х0,91м(18,1кг) - 1шт       </t>
  </si>
  <si>
    <t>Круг   47 мм -  1,7м(22,5кг); 1,51м(20кг); 2,84м(37,5кг) по 1шт</t>
  </si>
  <si>
    <t>Труба 28х3,0 -  2,66м - 1шт</t>
  </si>
  <si>
    <t>Лента бронзовая - 0,25х250мм  - 9,1кг - 1 бухта    мягкая</t>
  </si>
  <si>
    <t>Проволока   ф 2,0мм  -  37,6; 46,8; 19,7; 19,6; 31,2; 36,5кг по 1-й  бухте</t>
  </si>
  <si>
    <t>Проволока   0,63мм  - 2кг -  1 катушка пластиковая</t>
  </si>
  <si>
    <t>Проволока   4,0мм   -  5,7кг - 1 бухта</t>
  </si>
  <si>
    <t>Труба  70 х 5,0  -  5,62м(45,9кг); 5,68м(46кг); 5,08м(42,4кг); 5,32м(43,7кг) по 1шт</t>
  </si>
  <si>
    <t>Труба  70 х 6,0  -  5,05м(48,6кг) - 1шт</t>
  </si>
  <si>
    <t>Проволока   ф 3,0мм -  15,2; 3,2; 54,3кг по 1-й бухте</t>
  </si>
  <si>
    <t>Круг  120мм  - 0,27м(27,4кг) - 1шт     клеймо М1</t>
  </si>
  <si>
    <t>Труба  32 х 3,0   -  1,1+1,12м=4,7кг</t>
  </si>
  <si>
    <r>
      <t xml:space="preserve">Труба  20 х 2,5 -   6,2-6,8м(112кг);  2,6-3,7м(173,7кг)            </t>
    </r>
    <r>
      <rPr>
        <b/>
        <sz val="10"/>
        <rFont val="Arial"/>
        <family val="2"/>
        <charset val="204"/>
      </rPr>
      <t xml:space="preserve"> 316-Ti</t>
    </r>
  </si>
  <si>
    <t xml:space="preserve">Круг   40 мм  -  0,2; 0,27; 0,37м; 0,25м(2,5кг) по 1шт   </t>
  </si>
  <si>
    <t>Лист медный 1,0 мм -  0,6х1,1м(5,7кг) - 1шт   мягкий   ровнять!!!</t>
  </si>
  <si>
    <t xml:space="preserve">Труба  57 х 3,5 - 2,8м(11,7кг); 2,74м(12,7кг); 2,14-2,68м(25,8кг) </t>
  </si>
  <si>
    <r>
      <t xml:space="preserve">Труба  168 х 11-12  -  2,65м(122,3кг); 2,65м(109,5кг) по 1шт   </t>
    </r>
    <r>
      <rPr>
        <b/>
        <sz val="10"/>
        <rFont val="Arial"/>
        <family val="2"/>
        <charset val="204"/>
      </rPr>
      <t xml:space="preserve"> склад 2</t>
    </r>
  </si>
  <si>
    <r>
      <t xml:space="preserve">Круг  325 мм  -  0,3м(210,5кг клеймо) - 1шт             </t>
    </r>
    <r>
      <rPr>
        <b/>
        <sz val="10"/>
        <rFont val="Arial"/>
        <family val="2"/>
        <charset val="204"/>
      </rPr>
      <t xml:space="preserve"> склад  6    </t>
    </r>
    <r>
      <rPr>
        <b/>
        <sz val="8.5"/>
        <rFont val="Arial"/>
        <family val="2"/>
        <charset val="204"/>
      </rPr>
      <t xml:space="preserve">       </t>
    </r>
  </si>
  <si>
    <t>Труба  24,5х3,3  - 1,73; 2,73м по 1шт</t>
  </si>
  <si>
    <t>Лист  6 мм  -  1,14х1,18м(61,5кг)  -  1шт</t>
  </si>
  <si>
    <t>Круг  35 мм  -  2,95-3,05м(193,9кг  отрезали куски 0,5; 0,7м)</t>
  </si>
  <si>
    <t>Круг   15 мм - 2,98-3,03м</t>
  </si>
  <si>
    <t>Круг  28 мм  - 0,44+0,45м=1,5кг</t>
  </si>
  <si>
    <t xml:space="preserve">Круг  22 мм  - 0,43-0,53м </t>
  </si>
  <si>
    <t>Круг   40 мм  -  0,89-1м</t>
  </si>
  <si>
    <t>Круг   45 мм  -  0,7-0,8м</t>
  </si>
  <si>
    <t xml:space="preserve">Круг   25"-" мм  -  0,8-1м </t>
  </si>
  <si>
    <t xml:space="preserve">Труба  102 х 5,0 - 1,94м(21,5кг) - 1шт                         3,3м(38кг н\о найти!!!!!!!) </t>
  </si>
  <si>
    <t xml:space="preserve">Круг  12 мм  -  2,9-3,1м(49,8кг от 3шт отрезали по 1м); 1,48-1,56м(7,8кг) </t>
  </si>
  <si>
    <t>Круг  65 мм -   1м(25,7кг по зачисткам ф62 клеймо) - 1шт</t>
  </si>
  <si>
    <t>Круг  65 мм  -  0,77м(20,6кг) - 1шт     кованый</t>
  </si>
  <si>
    <t>Круг   85 мм - 0,64м(30,2кг) - 1шт</t>
  </si>
  <si>
    <t>Труба  57"-" х 7,5  - 0,58м(5,4кг); 0,72м(6,5кг); 0,79м(7,1кг) по 1шт</t>
  </si>
  <si>
    <t>Труба  55 х 6,5  - 1,04м(8,5кг) - 1шт</t>
  </si>
  <si>
    <t>Труба  32 х 2,5   -  2,12м(3,8кг) - 1шт</t>
  </si>
  <si>
    <t xml:space="preserve">Круг  32 мм - 0,95м(5,9кг) - 1шт   </t>
  </si>
  <si>
    <t>Лист латунный 1,0 мм - 0,6х0,66-0,76м      твердые</t>
  </si>
  <si>
    <r>
      <t xml:space="preserve">Лист  30мм -  0,85х0,63м(130кг) - 1шт                </t>
    </r>
    <r>
      <rPr>
        <b/>
        <sz val="10"/>
        <rFont val="Arial"/>
        <family val="2"/>
        <charset val="204"/>
      </rPr>
      <t>склад 6</t>
    </r>
  </si>
  <si>
    <t xml:space="preserve">Круг  27мм  -  1,2-1,6м     </t>
  </si>
  <si>
    <r>
      <t xml:space="preserve">Труба  76 х 4,5  -  2,59-2,61м - 2шт; 2,09м(16,8кг) - 1шт  </t>
    </r>
    <r>
      <rPr>
        <b/>
        <sz val="10"/>
        <rFont val="Arial"/>
        <family val="2"/>
        <charset val="204"/>
      </rPr>
      <t xml:space="preserve">    </t>
    </r>
  </si>
  <si>
    <t xml:space="preserve">Лист  10 мм -  0,48х0,74м(по 28кг) - 2шт; 0,49х0,75м(28,8кг) - 1шт            </t>
  </si>
  <si>
    <t xml:space="preserve">Круг  120 мм  - 0,35м(31,2кг); 0,17м(15,5кг) по 1шт                  </t>
  </si>
  <si>
    <t>Круг   24 мм  -  1,76; 1,8м по 1шт   клейма</t>
  </si>
  <si>
    <t>Круг   24 мм  -  1,69-1,84м     клейма</t>
  </si>
  <si>
    <t xml:space="preserve">Лист  1,2 мм  -   1х2м(152,3кг) - 8шт </t>
  </si>
  <si>
    <t>Круг  40 мм - 3м(33,5кг); 1,46м(16,1кг) по 1шт</t>
  </si>
  <si>
    <t>Круг  40 мм  - 1,06; 1,07; 1,07; 1,09; 1,19м по 1шт</t>
  </si>
  <si>
    <t xml:space="preserve">Круг  110 мм  -   1,7м(42,9кг клеймо) по 1шт   </t>
  </si>
  <si>
    <t>Труба  60 х 7,0  -  1,44м(13,1кг); 1,54м(14,3кг) по 1шт</t>
  </si>
  <si>
    <t>Труба  57 х 7,5  -  1,9м(17,9кг) - 1шт</t>
  </si>
  <si>
    <t>Труба  42 х 3,5   -  2,48м(8,5кг); 2,24м(7,1кг) по 1шт</t>
  </si>
  <si>
    <t xml:space="preserve">Труба  102 х 5,0  -  2,51м(29,8кг) - 1шт                              </t>
  </si>
  <si>
    <t>Круг  18 мм  -   1,2-1,7м        клеймо</t>
  </si>
  <si>
    <t>Круг   127 мм -  0,14м(14,5кг) - 1шт</t>
  </si>
  <si>
    <t xml:space="preserve">Круг   40(39) мм  -   0,3м(2,8кг); 0,14м(1,3кг); 0,16м(1,5кг) по 1шт </t>
  </si>
  <si>
    <r>
      <t xml:space="preserve">Лист  1,6 мм -  0,71х1,21м(10,8кг) - 1шт  маркировка  </t>
    </r>
    <r>
      <rPr>
        <b/>
        <sz val="10"/>
        <rFont val="Arial"/>
        <family val="2"/>
        <charset val="204"/>
      </rPr>
      <t>ЭП-609</t>
    </r>
  </si>
  <si>
    <t xml:space="preserve">Шестигранник №13  -  0,34м(0,4кг) - 1шт         </t>
  </si>
  <si>
    <r>
      <t xml:space="preserve">Круг  20 мм  -  0,74м(2кг) - 1шт                    </t>
    </r>
    <r>
      <rPr>
        <b/>
        <sz val="10"/>
        <rFont val="Arial"/>
        <family val="2"/>
        <charset val="204"/>
      </rPr>
      <t>ЭИ-435</t>
    </r>
  </si>
  <si>
    <t>Проволока  0,3 мм  -  5,2кг по 1-й катушке пластик</t>
  </si>
  <si>
    <t xml:space="preserve">Труба  60 х 6,5-7   - 4,71м - 3шт; 4,72м - 2шт; 5м; 4,65м; 2м  по 1шт    </t>
  </si>
  <si>
    <t>Лента бронзовая - 0,2х120мм  -  бухта  9,5кг - 1шт мягкая</t>
  </si>
  <si>
    <t>Круг   160 мм - 0,19м(31кг) - 1шт</t>
  </si>
  <si>
    <t xml:space="preserve">Круг   220 мм -  0,16м(49,3кг) - 1шт </t>
  </si>
  <si>
    <t>Труба  76 х 3,0   - 2,71; 2,78; 3,02; 2,68; 2,8; 2,81м; 2,73м(16кг) по 1шт</t>
  </si>
  <si>
    <t>Труба  33,5 х 3,0  -  3,6м - 1шт</t>
  </si>
  <si>
    <r>
      <t xml:space="preserve">Лист латунный 25 мм - 0,55-0,57х0,57м - 1шт  режем нужный размер  </t>
    </r>
    <r>
      <rPr>
        <b/>
        <sz val="12"/>
        <rFont val="Arial"/>
        <family val="2"/>
        <charset val="204"/>
      </rPr>
      <t>склад 2</t>
    </r>
  </si>
  <si>
    <t>Круг  35 мм - 1м(4,3кг); 1,11-1,21м(25,3кг) - 5шт; 2,15+2,39м=20,1кг; 1,51м(6,6кг); 1,97м(8,7кг)  маркированы</t>
  </si>
  <si>
    <t>Лента бронзовая - 0,25х285мм  - 8,3кг - 1 бухта    твердая</t>
  </si>
  <si>
    <t>Проволока   ф 3,7 мм -  39+40,9кг по 1 бухте   бирка</t>
  </si>
  <si>
    <t xml:space="preserve">Круг  114 мм -  0,91м(72кг) - 1шт      </t>
  </si>
  <si>
    <r>
      <t xml:space="preserve">Круг  80 мм  -   0,82м(32,8кг найти!!!!) - 1шт   клеймо  </t>
    </r>
    <r>
      <rPr>
        <b/>
        <sz val="10"/>
        <rFont val="Arial"/>
        <family val="2"/>
        <charset val="204"/>
      </rPr>
      <t xml:space="preserve"> ЭП-638ви</t>
    </r>
    <r>
      <rPr>
        <b/>
        <sz val="8.3000000000000007"/>
        <rFont val="Arial"/>
        <family val="2"/>
        <charset val="204"/>
      </rPr>
      <t xml:space="preserve">  </t>
    </r>
  </si>
  <si>
    <r>
      <t xml:space="preserve">Проволока  5,0 мм  -  3,3кг - 1 бухта           </t>
    </r>
    <r>
      <rPr>
        <b/>
        <sz val="10"/>
        <rFont val="Arial"/>
        <family val="2"/>
        <charset val="204"/>
      </rPr>
      <t>ЭИ-435</t>
    </r>
  </si>
  <si>
    <t xml:space="preserve">Круг   60 мм  - 0,2м(4,7кг); 0,26м(6,6кг); 0,31м(7,7кг); 0,34м(9,1кг); 0,35м(8,9кг); 0,39м(10кг); 0,3м(7,8кг) по 1шт                   </t>
  </si>
  <si>
    <t>Лист медный 2,5 мм - 0,7х1,99м(по 30,2кг) - 2шт; 0,6х0,68м(9кг) - 1шт    мягкие</t>
  </si>
  <si>
    <t>Труба  92 х 11,0  -  1,36м(29,8кг) - 1шт</t>
  </si>
  <si>
    <t>Труба  48 х 3,0   - 2м(6,6кг) - 1шт</t>
  </si>
  <si>
    <t xml:space="preserve">Труба  22 х 2,0   -  3,6-4м(7,7кг от 2шт отрезали по 1м); 2,65-2,75м(6,1кг)  </t>
  </si>
  <si>
    <t xml:space="preserve">Шестигранник №30  -  0,5м(3,3кг) - 1шт </t>
  </si>
  <si>
    <t xml:space="preserve">Круг   6 мм  - 2,9м(95кг) </t>
  </si>
  <si>
    <t xml:space="preserve">Проволока  3,0 мм  -   82,3; 42,3кг по 1-й  бухте  мягкая    </t>
  </si>
  <si>
    <t xml:space="preserve">Шестигранник №14  -  0,7-1,05м </t>
  </si>
  <si>
    <t>Лист латунный 0,8 мм - 0,6х1,5м; 0,6х1м по 1шт      мягкие</t>
  </si>
  <si>
    <t>Труба  180 х 10,0  -  0,5м(21,3кг) - 1шт</t>
  </si>
  <si>
    <t xml:space="preserve">Круг   80 мм - 0,22м(по 10кг) - 2шт </t>
  </si>
  <si>
    <t>Круг   60 мм -   0,62м(13,8кг) - 1шт</t>
  </si>
  <si>
    <t xml:space="preserve">Круг   220 мм -  0,3м(86,3кг) - 1шт </t>
  </si>
  <si>
    <t>Труба  32 х 2,5  -  1,52-1,73м(12,9кг); 1,6м(3кг); 1,82м(3,5кг)  по 1шт</t>
  </si>
  <si>
    <t>Шестигранник №36  -  2,9-3,5м - 3шт   клеймо</t>
  </si>
  <si>
    <t>Труба  45 х 3,5  -  2,35+2,65м=17,8кг</t>
  </si>
  <si>
    <t>Лист медный 1,5 мм - 1х2м - 8шт; 1х0,94м - 1шт      мягкие</t>
  </si>
  <si>
    <t>Проволока   ф 0,5мм  -  13кг - 1  катушка, пластиковая, бирка германия</t>
  </si>
  <si>
    <t>Проволока   ф 0,6мм  -  по 14кг - 3  катушки, пластиковые, бирка германия</t>
  </si>
  <si>
    <t>Труба  18х1,0  -  2,5м(10,9кг, в т.ч. 1шт 1,5м)</t>
  </si>
  <si>
    <t>Круг  8 мм -  0,7-0,73м(69,2кг)   н\о</t>
  </si>
  <si>
    <t xml:space="preserve">Лист 8мм - 0,13х0,4м(21,1кг)  </t>
  </si>
  <si>
    <t>Круг   90 мм -  0,8м(46,1+45,4кг)  по 1шт</t>
  </si>
  <si>
    <t>Круг  22 мм  - 2,7-3м  (23,7кг отрезали куски 0,5-1м)</t>
  </si>
  <si>
    <r>
      <t xml:space="preserve">Круг  24 мм   -   1,5м(5,6кг)  -   1шт                              </t>
    </r>
    <r>
      <rPr>
        <b/>
        <sz val="10"/>
        <rFont val="Arial"/>
        <family val="2"/>
        <charset val="204"/>
      </rPr>
      <t>ЭИ-598</t>
    </r>
  </si>
  <si>
    <t>Круг   22 мм - 2,65-2,79м; 1,2-1,58м(9,3кг); 0,94+1,18+1+1+1+1м=19,6кг 1,31м - 1шт   (0,9-1,8м - 17кг найти!!!!!!!!)</t>
  </si>
  <si>
    <r>
      <t xml:space="preserve">Труба  32 х 2,5 -  1,9-2,1м(71,9кг)               </t>
    </r>
    <r>
      <rPr>
        <b/>
        <sz val="10"/>
        <rFont val="Arial"/>
        <family val="2"/>
        <charset val="204"/>
      </rPr>
      <t>ЭИ-435</t>
    </r>
  </si>
  <si>
    <r>
      <t xml:space="preserve">Труба  32 х 2,5 -  1м(2кг) - 1шт              </t>
    </r>
    <r>
      <rPr>
        <b/>
        <sz val="10"/>
        <rFont val="Arial"/>
        <family val="2"/>
        <charset val="204"/>
      </rPr>
      <t>ЭИ-435</t>
    </r>
  </si>
  <si>
    <r>
      <t xml:space="preserve">Труба  32 х 3,0 -  2,22м(5,2кг) - 1шт              </t>
    </r>
    <r>
      <rPr>
        <b/>
        <sz val="10"/>
        <rFont val="Arial"/>
        <family val="2"/>
        <charset val="204"/>
      </rPr>
      <t>ЭИ-435</t>
    </r>
  </si>
  <si>
    <t xml:space="preserve">Лист медный 2,5 мм - 0,6х1,35м(18кг) - 1шт      мягкий </t>
  </si>
  <si>
    <t xml:space="preserve">Лист медный 6,0 мм - 0,6х0,86м(27,4кг) - 1шт     </t>
  </si>
  <si>
    <t xml:space="preserve">Шестигранник №24  - 1,4-1,95м </t>
  </si>
  <si>
    <t>Шестигранник №24  -  0,91м(3,8кг) - 1шт</t>
  </si>
  <si>
    <t xml:space="preserve">Проволока   1,2мм    -   6,4кг - 1 бухта     </t>
  </si>
  <si>
    <t xml:space="preserve">Труба  45 х 7,0   -  5,13-5,94м(141,9кг резали куски, в т.ч. 4,1м) </t>
  </si>
  <si>
    <t>Труба 80х3,0  -  2,16-2,38м(29кг); 1,38м(2,8кг) - 1шт  клеймо</t>
  </si>
  <si>
    <t>Лист латунный 18"-" мм - 0,61х0,92м(80кг) - 1шт   режем нужный размер</t>
  </si>
  <si>
    <t xml:space="preserve">Лента бронзовая - 0,12х250мм -   бухта 12,3кг - 1шт      твердая             </t>
  </si>
  <si>
    <t>Лист латунный 10 мм - 0,5х1,1м(46,4кг без угла 20х110мм) - 1шт</t>
  </si>
  <si>
    <r>
      <t xml:space="preserve">Проволока  3,0мм  -  14,8кг - 1 бухта  бирка              </t>
    </r>
    <r>
      <rPr>
        <b/>
        <sz val="10"/>
        <rFont val="Arial"/>
        <family val="2"/>
        <charset val="204"/>
      </rPr>
      <t>ЭИ-435</t>
    </r>
  </si>
  <si>
    <t>Лист медный 3,0 мм - 0,99х1,37м(34,6кг); 0,88х1,48м(32,8кг); 1х1м(25,9+25,9кг); 0,6х1,5м(23,7кг); 0,6х1,17м(18,1кг) по 1шт  твердые</t>
  </si>
  <si>
    <t xml:space="preserve">Круг  40 мм  -  1,5м; 0,98м по 1шт  </t>
  </si>
  <si>
    <t>Лента латунная 0,6х300 мм - 44,7кг - 1 рулон   мягкая</t>
  </si>
  <si>
    <t xml:space="preserve">Труба  89 х 6,5-7  -  1,38м(18,9кг) - 1шт                         </t>
  </si>
  <si>
    <t>10Х17Н13М3Т</t>
  </si>
  <si>
    <t xml:space="preserve">Труба  42 х 2,5   -  1,17+1,34м=6кг  </t>
  </si>
  <si>
    <t>Труба  18 х 2,5   -  1,17+1,35м=2,5кг</t>
  </si>
  <si>
    <t xml:space="preserve">Круг  110 мм - 1,37м(106кг) - 1шт </t>
  </si>
  <si>
    <r>
      <t xml:space="preserve">Круг  120 мм  -  1,81м(160кг клеймо) - 1шт                </t>
    </r>
    <r>
      <rPr>
        <b/>
        <sz val="10"/>
        <rFont val="Arial"/>
        <family val="2"/>
        <charset val="204"/>
      </rPr>
      <t>склад 6</t>
    </r>
  </si>
  <si>
    <t xml:space="preserve">Круг  120 мм  -  0,8м(71,3кг клеймо) - 1шт               </t>
  </si>
  <si>
    <t xml:space="preserve">Труба  142 х 7-7,5 -   3,61м(86,5кг) - 1шт                </t>
  </si>
  <si>
    <t xml:space="preserve">Лист  20 мм - 0,47х0,56м(42кг); 0,55х0,55м(47,2кг); 0,55х0,55м(47,2кг)  по 1шт                  </t>
  </si>
  <si>
    <t>Круг   50 мм - 0,35м(5кг в Г3) - 1шт</t>
  </si>
  <si>
    <r>
      <t xml:space="preserve">Круг  18"-" мм -   1,6-1,75м(86,5кг)                </t>
    </r>
    <r>
      <rPr>
        <b/>
        <sz val="10"/>
        <rFont val="Arial"/>
        <family val="2"/>
        <charset val="204"/>
      </rPr>
      <t xml:space="preserve">    ЭП-56   </t>
    </r>
  </si>
  <si>
    <t>Труба  38 х 3,5 -  2,94-3,42м(29кг); 2,18м(6,3кг найти!!!!); 1,9м(5,7кг); 2,8м(8,1кг); 2,7м(8,4кг); 2,74м(7,8кг); 1,89м(5,9кг); 2,81м(8,5кг); 2,42м(7,4кг)</t>
  </si>
  <si>
    <t>Труба  38 х 3,5 - 3,08м; 2,7м(7,8кг); 2,66м(8,2кг) по 1шт</t>
  </si>
  <si>
    <t xml:space="preserve">Лист 7мм - 0,32х1м(9,7кг без угла 70х100мм) - 1шт   </t>
  </si>
  <si>
    <t>Круг  36 мм -  0,93м - 1шт</t>
  </si>
  <si>
    <t xml:space="preserve">Круг  50 мм  - 1,5; 2,45; 3,3; 2,26м по 1шт   </t>
  </si>
  <si>
    <t>Шестигранник №14  -  0,99-1м</t>
  </si>
  <si>
    <t>Круг   32 мм -  0,99м(6,7кг) - 1шт</t>
  </si>
  <si>
    <t>Труба  16 х 1,5  - 3м(1,6кг); 1,77м(0,9кг) по 1шт</t>
  </si>
  <si>
    <t>Круг   32 мм  -  0,16-0,18м - 6шт</t>
  </si>
  <si>
    <t>Труба 25х3,0 - 1,49-1,51м        поискать 3 трубы!!!!!                0,6м(найти!!!)</t>
  </si>
  <si>
    <r>
      <t xml:space="preserve">Труба  79 х 9,0 -  1,59м(24кг) - 1шт     точеная         </t>
    </r>
    <r>
      <rPr>
        <b/>
        <sz val="10"/>
        <rFont val="Arial"/>
        <family val="2"/>
        <charset val="204"/>
      </rPr>
      <t xml:space="preserve"> </t>
    </r>
    <r>
      <rPr>
        <b/>
        <sz val="8.3000000000000007"/>
        <rFont val="Arial"/>
        <family val="2"/>
        <charset val="204"/>
      </rPr>
      <t xml:space="preserve">  </t>
    </r>
  </si>
  <si>
    <t xml:space="preserve">Круг  42 мм -  4,2м - 5шт; 4,65м - 1шт   н\о   клеймо </t>
  </si>
  <si>
    <r>
      <t xml:space="preserve">Круг  36 мм -  3,02м(23,5кг) - 1шт      </t>
    </r>
    <r>
      <rPr>
        <b/>
        <sz val="10"/>
        <rFont val="Arial"/>
        <family val="2"/>
        <charset val="204"/>
      </rPr>
      <t>ЭИ-268</t>
    </r>
  </si>
  <si>
    <t>Труба  219(218) х 26-29  -  0,2м(по 25,7кг) - 7шт    клеймо</t>
  </si>
  <si>
    <r>
      <t xml:space="preserve">Труба  33,5 х 2,0  -  2,13+2,25м=7кг         </t>
    </r>
    <r>
      <rPr>
        <b/>
        <sz val="10"/>
        <rFont val="Arial"/>
        <family val="2"/>
        <charset val="204"/>
      </rPr>
      <t xml:space="preserve">  316-Ti</t>
    </r>
  </si>
  <si>
    <t>Шестигранник №50 -  1,58м(28,8кг); 1,43м(26,2кг) по 1шт</t>
  </si>
  <si>
    <t>Шестигранник №30 -  1,41м(9,2кг) - 1шт</t>
  </si>
  <si>
    <t>Круг   45 мм  -  0,89м(10,6кг) - 1шт</t>
  </si>
  <si>
    <t>Круг   40 мм - 0,65+0,74м=14,7кг; 0,3м(3,2кг) по 1шт</t>
  </si>
  <si>
    <t>Круг   35 мм -  0,99м(8кг); 0,3м(2,6кг) по 1шт</t>
  </si>
  <si>
    <t xml:space="preserve">Лист латунный 4,0 мм - 0,56х1,48м(26,7кг) - 1шт    </t>
  </si>
  <si>
    <t xml:space="preserve">Лист латунный 2,5 мм - 0,5х1,06м - 1шт </t>
  </si>
  <si>
    <t>Круг   9 мм  -  0,85-0,9м(1,9кг)</t>
  </si>
  <si>
    <r>
      <t xml:space="preserve">Труба  20 х 1,5 -  2,5-3,4м(8,3кг от 1шт резали 1м)            </t>
    </r>
    <r>
      <rPr>
        <b/>
        <sz val="10"/>
        <rFont val="Arial"/>
        <family val="2"/>
        <charset val="204"/>
      </rPr>
      <t>316-L</t>
    </r>
  </si>
  <si>
    <t xml:space="preserve">Круг   80(79) мм - 0,2м(7,4кг клеймо); 80мм(3,8кг) по 1шт                                              (0,81м найти!!!!!)   </t>
  </si>
  <si>
    <t xml:space="preserve">Круг  32 мм  - 1,78-2,3м(73,7кг клеймо); 0,61м(1,3кг) - 1шт </t>
  </si>
  <si>
    <t>Круг  18 мм - 2,5-3,7м(103,8кг); 1,85м(3,1кг)          (найти 18,5кг!!!!)</t>
  </si>
  <si>
    <t xml:space="preserve">Труба 58х8,0 - 1,5; 1,58; 1,64; 2,23м по 1шт </t>
  </si>
  <si>
    <t xml:space="preserve">Круг  35 мм - 0,75-1,08м(24,3кг); 0,27м(2,1кг); 0,76м(5,7кг); 0,37м(2,8кг)    </t>
  </si>
  <si>
    <t>Круг  200 мм -   0,48м(42,3кг) - 1шт</t>
  </si>
  <si>
    <t>Труба  48 х 5,5  -  1,86м(11,4кг) - 1шт</t>
  </si>
  <si>
    <t>Труба  65 х 1,5  -  2,04м(2,7кг) - 1шт</t>
  </si>
  <si>
    <t>Труба  16 х 1,5  - 5,8-6,8м</t>
  </si>
  <si>
    <r>
      <t xml:space="preserve">Лист  50 мм - 0,37х1,51м(225кг) - 1шт        </t>
    </r>
    <r>
      <rPr>
        <b/>
        <sz val="10"/>
        <rFont val="Arial"/>
        <family val="2"/>
        <charset val="204"/>
      </rPr>
      <t>склад  6</t>
    </r>
  </si>
  <si>
    <t>Е4</t>
  </si>
  <si>
    <t>г2</t>
  </si>
  <si>
    <t>Проволока   0,9мм   -  5,6; 5кг по 1-й  бухте</t>
  </si>
  <si>
    <t>Шестигранник №19 - 0,4-0,6м(18,6кг основная масса 0,55-0,59м)</t>
  </si>
  <si>
    <t>Лист медный 6,0 мм - 0,295х0,7м(66,5кг) - 6шт; 0,25х0,7м(9,5кг) по 1шт   мягкие</t>
  </si>
  <si>
    <t>С3</t>
  </si>
  <si>
    <t>С4</t>
  </si>
  <si>
    <t>Труба  42 х 2,0   - 0,99+1,01м=4кг</t>
  </si>
  <si>
    <r>
      <t xml:space="preserve">Труба  30 х 1,5  -   3-3,2м        </t>
    </r>
    <r>
      <rPr>
        <b/>
        <sz val="10"/>
        <rFont val="Arial"/>
        <family val="2"/>
        <charset val="204"/>
      </rPr>
      <t>316-L</t>
    </r>
  </si>
  <si>
    <t xml:space="preserve">Круг   40(39) мм  -  0,19; 0,24; 0,27м по 1шт </t>
  </si>
  <si>
    <t xml:space="preserve">Круг  250 мм  -  0,15м(19,7кг) - 1шт   </t>
  </si>
  <si>
    <t>Круг 8-9мм  -  0,58; 0,59; 0,59; 0,67м по 1шт   н\о</t>
  </si>
  <si>
    <t>Никель лист 1 мм -  300х850мм(2,1кг) - 1шт</t>
  </si>
  <si>
    <t>Проволока  2,5 мм  -  40,3кг - 1 бухта</t>
  </si>
  <si>
    <t xml:space="preserve">Шестигранник №41  -  0,27м(3,3кг) - 1шт </t>
  </si>
  <si>
    <t xml:space="preserve">Лист бронзовый 23мм - 140х170м(4,3кг) - 1шт </t>
  </si>
  <si>
    <t xml:space="preserve">Круг   40(39) мм  -   0,2м(2кг) - 1шт </t>
  </si>
  <si>
    <t>Круг   18 мм  -  1,4-2,3м(66,4кг, в т.ч. 1шт по 1м)</t>
  </si>
  <si>
    <t>с3</t>
  </si>
  <si>
    <t xml:space="preserve">Круг  25 мм -  0,32м(0,7кг) - 1шт  </t>
  </si>
  <si>
    <t>К</t>
  </si>
  <si>
    <t>Труба   60х13 мм -   0,12м(2кг) - 1шт</t>
  </si>
  <si>
    <t xml:space="preserve">Лист  5 мм -  1,17х3м(128кг без полоски 110х1100мм по длинной стороне) - 1шт                          </t>
  </si>
  <si>
    <t>Круг  80 мм  - 0,35м(13,9кг); 0,34м(13,9+13,9+13,8кг); 0,28м(11,1кг)  по 1шт</t>
  </si>
  <si>
    <t xml:space="preserve">Лента бронзовая - 0,5х250мм  -  7,3+11,7кг по 1-й бухте  мягкая </t>
  </si>
  <si>
    <t>Труба  70 х 6,0  -   2,05; 3,13; 2,64; 3,15; 3,17; 3,72м по 1шт</t>
  </si>
  <si>
    <t xml:space="preserve">Труба  19 х 2,0  -  3,2-6,5м </t>
  </si>
  <si>
    <t>Проволока   1,8мм   -  27кг - 1  бухта</t>
  </si>
  <si>
    <t>Труба  192 х 14-15  -  0,71м(47,3кг) - 1шт</t>
  </si>
  <si>
    <t>Проволока   1,2мм  -  14,3; 7,3кг по 1-й бухте</t>
  </si>
  <si>
    <t>Труба  60 х 4,0  - 2,43м - 1шт</t>
  </si>
  <si>
    <t xml:space="preserve">Труба  89 х 6,0  -   2,61м(32кг) - 1шт   </t>
  </si>
  <si>
    <t>Круг  55 мм  - 1,76м(18,6кг) - 1шт</t>
  </si>
  <si>
    <t xml:space="preserve">Труба 55х4,0  -  6м - 2шт; 4,1м; 2,5м по 1шт </t>
  </si>
  <si>
    <t>Круг  55 мм  - 1,15; 1,15; 1,19м по 1шт</t>
  </si>
  <si>
    <t>с1</t>
  </si>
  <si>
    <t>Лента бронзовая - 0,4х250мм  -  1 бухта  45кг   твердая</t>
  </si>
  <si>
    <t xml:space="preserve">Круг  60 мм - 0,65м(14,7кг); 0,57+0,62м=26,4кг; 0,51м(11,6кг); 0,71м(15,5кг); 0,75м(16,5кг); 0,7м(15,3кг); 0,24м(5,4кг) по 1шт    </t>
  </si>
  <si>
    <r>
      <t>Круг  60 мм - 1,22м(26,4кг клеймо); 2,36м(51кг клеймо)  по 1шт  все н\о</t>
    </r>
    <r>
      <rPr>
        <b/>
        <sz val="10"/>
        <rFont val="Arial"/>
        <family val="2"/>
        <charset val="204"/>
      </rPr>
      <t xml:space="preserve">  ЭИ-283</t>
    </r>
  </si>
  <si>
    <t xml:space="preserve">Круг  120 мм - 100мм(8,9; 8,9кг); 110мм(10кг); 90мм(8кг) по 1шт  </t>
  </si>
  <si>
    <r>
      <t xml:space="preserve">Круг  75 мм  -  1,65м(59,7кг) - 1шт              </t>
    </r>
    <r>
      <rPr>
        <b/>
        <sz val="10"/>
        <rFont val="Arial"/>
        <family val="2"/>
        <charset val="204"/>
      </rPr>
      <t>316-Ti</t>
    </r>
  </si>
  <si>
    <r>
      <t xml:space="preserve">Труба  162 х 21,0  - 1,44м(110кг) - 1шт       </t>
    </r>
    <r>
      <rPr>
        <b/>
        <sz val="10"/>
        <rFont val="Arial"/>
        <family val="2"/>
        <charset val="204"/>
      </rPr>
      <t xml:space="preserve">  316-L         склад 6  </t>
    </r>
  </si>
  <si>
    <t>Лента медная рулон  0,3х250мм - 32,5; 30,9кг по 1шт    твердая</t>
  </si>
  <si>
    <t xml:space="preserve">Круг   65 мм - 0,95м(23,8кг); 0,88м(21,8кг); 0,89м(22,2кг); 0,98м(24,6кг) по 1шт  </t>
  </si>
  <si>
    <t>Лист медный 20(19,5) мм -  0,15х0,32м(8,6кг) - 1шт</t>
  </si>
  <si>
    <r>
      <t xml:space="preserve">Лист  30 мм - 0,92х1,09м(85кг) - 1шт     </t>
    </r>
    <r>
      <rPr>
        <b/>
        <sz val="12"/>
        <rFont val="Arial"/>
        <family val="2"/>
        <charset val="204"/>
      </rPr>
      <t xml:space="preserve"> </t>
    </r>
  </si>
  <si>
    <t xml:space="preserve">Шестигранник №32  -  3,62м(24,7кг); 3м(41,7кг) - 2шт; 0,79+0,99м=12,4кг </t>
  </si>
  <si>
    <t>Круг  30 мм - 0,41м(2,4кг); 0,44м</t>
  </si>
  <si>
    <t xml:space="preserve">Круг  50 мм -  2,04+2,04+2,02м=95кг; 1,14м(18кг) - 1шт  </t>
  </si>
  <si>
    <r>
      <t xml:space="preserve">Труба  140 х 7,0 -  3,60м(84,5кг) - 1шт                             </t>
    </r>
    <r>
      <rPr>
        <b/>
        <sz val="10"/>
        <rFont val="Arial"/>
        <family val="2"/>
        <charset val="204"/>
      </rPr>
      <t xml:space="preserve">316-Ti  </t>
    </r>
  </si>
  <si>
    <r>
      <t xml:space="preserve">Труба  159 х 6,0  -  2,22м(52,5кг н\о); 1,64м(37,7кг н\о); 2,04м(45,5кг) по 1шт              </t>
    </r>
    <r>
      <rPr>
        <b/>
        <sz val="10"/>
        <rFont val="Arial"/>
        <family val="2"/>
        <charset val="204"/>
      </rPr>
      <t xml:space="preserve">   </t>
    </r>
    <r>
      <rPr>
        <b/>
        <sz val="8.3000000000000007"/>
        <rFont val="Arial"/>
        <family val="2"/>
        <charset val="204"/>
      </rPr>
      <t xml:space="preserve">              </t>
    </r>
  </si>
  <si>
    <t>Труба  70 х 5,0  -  2,55м(20,6кг); 2,07м(16,9кг) по 1шт</t>
  </si>
  <si>
    <t>Круг   21 мм  -   0,42м(1,1кг); 0,36м(0,9кг)  по 1шт</t>
  </si>
  <si>
    <t>Труба  53 х 1,5  -  4,68; 4,98; 4,1; 3,1м по 1шт</t>
  </si>
  <si>
    <t>Лента медная рулон  0,05х100мм - 17,4кг - 1шт</t>
  </si>
  <si>
    <t xml:space="preserve">Припой   ф2мм  - проволока бухта - 8,2кг </t>
  </si>
  <si>
    <t>Лист латунный 3,0 мм - 0,36-0,37х0,6м - 10шт; 0,37х0,48м(4,4кг) - 1шт</t>
  </si>
  <si>
    <r>
      <t xml:space="preserve">Труба  12 х 2,0  -   4,5-6,2м(23,5кг); 2,1м(0,9кг найти!!!!) - 1шт           </t>
    </r>
    <r>
      <rPr>
        <b/>
        <sz val="10"/>
        <rFont val="Arial"/>
        <family val="2"/>
        <charset val="204"/>
      </rPr>
      <t>316-Ti</t>
    </r>
  </si>
  <si>
    <t>Труба  24х1,5  -  1,8м(9,3кг)</t>
  </si>
  <si>
    <r>
      <t xml:space="preserve">Круг  80 мм  -  1,17м(45,2кг); 1,65м(64,5кг) по 1шт </t>
    </r>
    <r>
      <rPr>
        <b/>
        <sz val="10"/>
        <rFont val="Arial"/>
        <family val="2"/>
        <charset val="204"/>
      </rPr>
      <t xml:space="preserve"> клеймо   ЭП-56ш      </t>
    </r>
  </si>
  <si>
    <t xml:space="preserve">Лист  32 мм -  0,49х0,53м(22,7кг); 0,38х0,74м; 0,34х0,86м - 4шт  </t>
  </si>
  <si>
    <t>Труба  108 х 4,5-5,5  -  3,29м(43,2кг); 1,39м(18,4кг); 2,92м(35,2кг); 3,17м(41,9кг); 1,1м(13,8кг); 2,9м(36,5кг) по 1шт</t>
  </si>
  <si>
    <t>г1</t>
  </si>
  <si>
    <t>Труба  57 х 14,0  - 2,82м(43,1кг); 2,95м(45кг); 0,99м(15,4кг)  по 1шт</t>
  </si>
  <si>
    <t xml:space="preserve">Труба  102 х 7-8 -  2,9м(51,4кг) - 1шт  </t>
  </si>
  <si>
    <t>Труба  65х7-7,5  - 0,9; 1,12; 1,11м по 1шт</t>
  </si>
  <si>
    <t xml:space="preserve">Круг   40 мм  -   0,23-0,28м(18,8кг); 0,14м(1,6кг)   </t>
  </si>
  <si>
    <t xml:space="preserve">Круг   42 мм  -   0,18м(2,4кг) - 1шт                  </t>
  </si>
  <si>
    <t xml:space="preserve">Круг   45 мм  -   0,39м(5,6кг) - 1шт                  </t>
  </si>
  <si>
    <t>Круг   48 мм -  1,6м - 4шт    заводская маркировка</t>
  </si>
  <si>
    <t xml:space="preserve">Круг  40мм - 1,96м(20,6кг клеймо); 1,35м(клеймо); 0,88м(клеймо); 1,35; 0,81м  по 1шт; 0,99м(по 9,7кг) - 2шт </t>
  </si>
  <si>
    <t>Круг  45мм  -   0,54м(6,9кг) - 1шт</t>
  </si>
  <si>
    <t>Труба  73 х 2,0    -  1,2+1,24+1,65м=8,7кг</t>
  </si>
  <si>
    <t xml:space="preserve">Лента бронзовая - 0,5х270мм  -  8,2кг - 1 бухта    мягкая  </t>
  </si>
  <si>
    <r>
      <t xml:space="preserve">Труба  22 х 2,0   -  6-6,4м(60кг); 2,5-3,3м(5кг от 1шт резали 1м)              </t>
    </r>
    <r>
      <rPr>
        <b/>
        <sz val="10"/>
        <rFont val="Arial"/>
        <family val="2"/>
        <charset val="204"/>
      </rPr>
      <t>316-L</t>
    </r>
  </si>
  <si>
    <r>
      <t xml:space="preserve">Круг  27 мм  -  0,22-0,26м(14,8кг н\о)             </t>
    </r>
    <r>
      <rPr>
        <b/>
        <sz val="10"/>
        <rFont val="Arial"/>
        <family val="2"/>
        <charset val="204"/>
      </rPr>
      <t>316-L</t>
    </r>
  </si>
  <si>
    <t xml:space="preserve">Лента бронзовая - 0,2х260мм  -  1,4кг - 1 бухта    мягкая  </t>
  </si>
  <si>
    <r>
      <t xml:space="preserve">Труба  38 х 5,0 -  3,53-3,63м(54,4кг от 1шт резали 0,63м) - 3шт              </t>
    </r>
    <r>
      <rPr>
        <b/>
        <sz val="10"/>
        <rFont val="Arial"/>
        <family val="2"/>
        <charset val="204"/>
      </rPr>
      <t>316-L</t>
    </r>
  </si>
  <si>
    <t xml:space="preserve">Лист 8мм - 0,45х0,7м(11,5кг) - 1шт  </t>
  </si>
  <si>
    <t xml:space="preserve">Лист 8мм - 0,26х0,35м(3,3кг); 0,36х0,68м(9кг)  по 1шт  </t>
  </si>
  <si>
    <r>
      <t xml:space="preserve">Труба  131 х 12-13 -  1,26м(48кг) - 1шт        </t>
    </r>
    <r>
      <rPr>
        <b/>
        <sz val="10"/>
        <rFont val="Arial"/>
        <family val="2"/>
        <charset val="204"/>
      </rPr>
      <t xml:space="preserve"> 316-L</t>
    </r>
    <r>
      <rPr>
        <b/>
        <sz val="8.5"/>
        <rFont val="Arial"/>
        <family val="2"/>
        <charset val="204"/>
      </rPr>
      <t xml:space="preserve">            </t>
    </r>
  </si>
  <si>
    <t xml:space="preserve">Круг   95 мм - 0,7м(44,2кг) - 1шт   </t>
  </si>
  <si>
    <t xml:space="preserve">Круг  95 мм  -  1м(56,5кг клеймо) - 1шт    </t>
  </si>
  <si>
    <t>Проволока   0,15мм  - 1,8кг; 1,2кг  по 1шт   пластиковые черные катушки</t>
  </si>
  <si>
    <t xml:space="preserve">Круг   84 мм - 0,17м(8,5кг клеймо) - 1шт   </t>
  </si>
  <si>
    <t>Круг   14 мм  -  0,25-0,43м</t>
  </si>
  <si>
    <r>
      <t xml:space="preserve">Труба  219 х 6-6,5   -  6,57; 6,57; 3,88; 2,44м по 1шт                    </t>
    </r>
    <r>
      <rPr>
        <b/>
        <sz val="10"/>
        <rFont val="Arial"/>
        <family val="2"/>
        <charset val="204"/>
      </rPr>
      <t>склад 6</t>
    </r>
  </si>
  <si>
    <t>Лента  0,15х395 мм  -  рулон 58,8кг - 1 шт       мягкая</t>
  </si>
  <si>
    <t xml:space="preserve">Лист 8мм - 0,45х0,84м(13,7кг); 0,35х0,98м(12,4кг); 0,45х0,82м(13,4кг); 0,45х0,85м(13,8кг)  по 1шт  </t>
  </si>
  <si>
    <t>Проволока   1,8мм   -  26,8кг - 1  бухта</t>
  </si>
  <si>
    <r>
      <t xml:space="preserve">Круг  160 мм - 2,19м(120кг); 1,68м(93кг)  по 1шт все клеймо  </t>
    </r>
    <r>
      <rPr>
        <b/>
        <sz val="12"/>
        <rFont val="Arial"/>
        <family val="2"/>
        <charset val="204"/>
      </rPr>
      <t>склад 2</t>
    </r>
  </si>
  <si>
    <t xml:space="preserve">Круг  45 мм  - 1,97м(24,7кг); 0,39м(4,9кг); 0,6м(7,3кг)   по 1шт  </t>
  </si>
  <si>
    <t>Лист медный 1,5 мм - 1х1,66м(22,6кг) - 1шт    птв</t>
  </si>
  <si>
    <t xml:space="preserve">Круг   80(79) мм -  0,37м(14кг) - 1шт  </t>
  </si>
  <si>
    <t xml:space="preserve">Круг   20 мм -  0,23 (найти!!!!)  </t>
  </si>
  <si>
    <t xml:space="preserve">Круг  22 мм  - 5+4м=26,3кг                                            </t>
  </si>
  <si>
    <r>
      <t xml:space="preserve">Круг  38 мм - 2,98+2,98+2,98м=75кг; 1,5м(13кг)  </t>
    </r>
    <r>
      <rPr>
        <b/>
        <sz val="10"/>
        <rFont val="Arial"/>
        <family val="2"/>
        <charset val="204"/>
      </rPr>
      <t xml:space="preserve">ЭИ-961ш      </t>
    </r>
  </si>
  <si>
    <t>с4</t>
  </si>
  <si>
    <t>Труба  70 х 5-5,5  -  1,22м(30,3кг) - 3шт; 1,24м(10,1кг) - 1шт</t>
  </si>
  <si>
    <t>Труба  95 х 5,0 - 0,98м(10,8кг) - 1шт</t>
  </si>
  <si>
    <t>Труба  60 х 5-5,5  -  1,77м(12,8кг) - 1шт</t>
  </si>
  <si>
    <t>Труба  30 х 3,0 - 0,5; 0,82; 0,82; 0,9м по 1шт</t>
  </si>
  <si>
    <t>Труба  70 х 6,0  -  5,92м(56,9кг) - 1шт</t>
  </si>
  <si>
    <t>Труба  70 х 6,0  -  1,92м(18,5кг) - 1шт</t>
  </si>
  <si>
    <t>К5</t>
  </si>
  <si>
    <t>Труба  51 х 8,5-9  -  5,05; 6,52; 6,6; 7,05; 4,75; 6,8; 6,33м по 1шт</t>
  </si>
  <si>
    <t>Круг  40 мм - 2,16; 4,11; 3,76; 3,52м  по 1шт; 4,3м - 3шт  н\о   клеймо</t>
  </si>
  <si>
    <t>Шина медная - 6х50мм - 8,9кг бухта,  ориентировочная длина 3,3м</t>
  </si>
  <si>
    <t>Круг   60 мм  - 0,19м(4,8кг); 0,21м(5,3кг)  по 1шт</t>
  </si>
  <si>
    <t>Труба  57 х 5-5,5 -  1,16м(7,6кг); 1,95м(12,7кг) по 1шт</t>
  </si>
  <si>
    <t xml:space="preserve">Труба  32 х 7-7,5 -  1,74м(7,7кг) - 1шт               </t>
  </si>
  <si>
    <t>Круг  18 мм  -  1,53; 3,5; 3,5кг по 1шт</t>
  </si>
  <si>
    <t xml:space="preserve">07Х19Н12Б </t>
  </si>
  <si>
    <t xml:space="preserve">08Х18Н12Б </t>
  </si>
  <si>
    <t>Круг   19 мм - 1,65; 2,86; 3,4м по 1шт</t>
  </si>
  <si>
    <t>Лента латунная 0,2х200 мм - 52,3кг - 1 рулон   птв</t>
  </si>
  <si>
    <t>Круг   50 мм  - 0,4м(7,4кг); 0,39м(6,7кг); 0,27; 0,36м; 0,18м(3,4+3,5кг); 0,12м(2,2кг); 0,1м(1,9кг); 0,24м(4,5кг, зарез на 5мм на 110мм от края); 0,37м(7кг); 0,28м(4,8кг) по 1шт</t>
  </si>
  <si>
    <t>с6</t>
  </si>
  <si>
    <t>Г2</t>
  </si>
  <si>
    <t xml:space="preserve">Труба  95 х 6,0 -  3,48м(46,7кг); 2,42м(33,2кг)  по 1шт </t>
  </si>
  <si>
    <t>Труба  19 х 1,0  -  3-3,7м(41,3кг)</t>
  </si>
  <si>
    <t xml:space="preserve">Труба  53 х 2,0  -   1,44м(4кг); 1,15+1,39+1,5+1,6м=14,1кг </t>
  </si>
  <si>
    <t xml:space="preserve">Круг  22 мм  -  0,72м(2,1кг) - 1шт </t>
  </si>
  <si>
    <t xml:space="preserve">Лента  0,15х195 мм  -  рулоны  4,2кг - 1шт     жесткая </t>
  </si>
  <si>
    <r>
      <t xml:space="preserve">Круг  60 мм  -  1,48; 1,5; 1,53; 1,48м по 1шт    клейма      </t>
    </r>
    <r>
      <rPr>
        <b/>
        <sz val="10"/>
        <rFont val="Arial"/>
        <family val="2"/>
        <charset val="204"/>
      </rPr>
      <t>ЭП-56ш</t>
    </r>
  </si>
  <si>
    <t>Труба  28 х 2,0  -  1,78м(1,3кг) - 1шт</t>
  </si>
  <si>
    <t>Шина медная - 8х65мм - 2,12+1,56м=17,1кг</t>
  </si>
  <si>
    <t>с5</t>
  </si>
  <si>
    <t>Труба 65х8,0 - 2,8м - 1шт</t>
  </si>
  <si>
    <t>Круг  22"-" мм  - 0,39; 0,39; 0,42м по 1шт</t>
  </si>
  <si>
    <t xml:space="preserve">Круг  25 мм - 3,04м(13,2кг); 1,3-1,7м(34,2кг) </t>
  </si>
  <si>
    <t>Шестигранник №45   -   1,2м(17,4кг) - 1шт</t>
  </si>
  <si>
    <r>
      <t xml:space="preserve">Труба  141 х 9-9,5 -  6,02м; 4,03м(125кг) по 1шт   </t>
    </r>
    <r>
      <rPr>
        <b/>
        <sz val="10"/>
        <rFont val="Arial"/>
        <family val="2"/>
        <charset val="204"/>
      </rPr>
      <t xml:space="preserve">  склад 6</t>
    </r>
  </si>
  <si>
    <r>
      <t xml:space="preserve">Труба  141 х 9-9,5 - 2,17м(66,5кг) - 1шт   </t>
    </r>
    <r>
      <rPr>
        <b/>
        <sz val="10"/>
        <rFont val="Arial"/>
        <family val="2"/>
        <charset val="204"/>
      </rPr>
      <t xml:space="preserve"> </t>
    </r>
  </si>
  <si>
    <t>к2</t>
  </si>
  <si>
    <t xml:space="preserve">Труба  141 х 10,0  -  2,85м(89,8кг) - 1шт                                         </t>
  </si>
  <si>
    <r>
      <t xml:space="preserve">Труба  108(107) х 22 -  3,54м - 1шт  </t>
    </r>
    <r>
      <rPr>
        <b/>
        <sz val="10"/>
        <rFont val="Arial"/>
        <family val="2"/>
        <charset val="204"/>
      </rPr>
      <t xml:space="preserve">   </t>
    </r>
    <r>
      <rPr>
        <b/>
        <sz val="8.3000000000000007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 xml:space="preserve"> 316-L </t>
    </r>
    <r>
      <rPr>
        <b/>
        <sz val="8.3000000000000007"/>
        <rFont val="Arial"/>
        <family val="2"/>
        <charset val="204"/>
      </rPr>
      <t xml:space="preserve">       </t>
    </r>
    <r>
      <rPr>
        <b/>
        <sz val="10"/>
        <rFont val="Arial"/>
        <family val="2"/>
        <charset val="204"/>
      </rPr>
      <t>склад 6</t>
    </r>
  </si>
  <si>
    <t>к4</t>
  </si>
  <si>
    <r>
      <t xml:space="preserve">Труба  108(107) х 22 -  1,48м - 1шт  </t>
    </r>
    <r>
      <rPr>
        <b/>
        <sz val="10"/>
        <rFont val="Arial"/>
        <family val="2"/>
        <charset val="204"/>
      </rPr>
      <t xml:space="preserve">   </t>
    </r>
    <r>
      <rPr>
        <b/>
        <sz val="8.3000000000000007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 xml:space="preserve"> 316-L </t>
    </r>
    <r>
      <rPr>
        <b/>
        <sz val="8.3000000000000007"/>
        <rFont val="Arial"/>
        <family val="2"/>
        <charset val="204"/>
      </rPr>
      <t xml:space="preserve">       </t>
    </r>
  </si>
  <si>
    <r>
      <t xml:space="preserve">Труба  76 х 4,5  -  2,58-2,62м - 10шт         </t>
    </r>
    <r>
      <rPr>
        <b/>
        <sz val="10"/>
        <rFont val="Arial"/>
        <family val="2"/>
        <charset val="204"/>
      </rPr>
      <t xml:space="preserve">   склад 6</t>
    </r>
  </si>
  <si>
    <t>к6</t>
  </si>
  <si>
    <t xml:space="preserve">Труба  76 х 4,5  -  2,58-2,62м - 6шт         </t>
  </si>
  <si>
    <t xml:space="preserve">Квадрат  45х45мм -  3,1-3,35м - 12шт                  </t>
  </si>
  <si>
    <t>Круг   50 мм - 0,17м(2,9кг точеный) - 1шт</t>
  </si>
  <si>
    <t>Труба  48 х 7,0   -  1,65м(11,5кг на С4) - 1шт; 0,99+0,99+1,15м=22кг</t>
  </si>
  <si>
    <t xml:space="preserve">Труба  18 х 2,5  -  2,39+2,39+2,54м=4кг; 1,88+1,98м=1,9кг  </t>
  </si>
  <si>
    <t>Листы нейзильбер 3мм - 0,5х1,49м - 7шт; 0,5х0,98м - 1шт</t>
  </si>
  <si>
    <t>Круг   74 мм - 0,4+0,37м=27,8кг</t>
  </si>
  <si>
    <t>Круг   35 мм -  0,68м(5,4кг) - 1шт</t>
  </si>
  <si>
    <t>Круг   20 мм - 3м(15,8кг) - 2шт; 0,85-1,45м(21,9кг); 1,46+0,6м=5,4кг; 0,93+0,93м=4,9кг; 0,5м(1,3кг); 0,49м(1,3кг); 0,68м(1,8кг на г2)</t>
  </si>
  <si>
    <t>Круг   50(49) мм -  0,22+0,21м=7кг</t>
  </si>
  <si>
    <t>олово</t>
  </si>
  <si>
    <t>Чушка олово  (пруток) чушка; литье    О1</t>
  </si>
  <si>
    <t>Круг  12,45 мм -  2,65-2,8м(5,9кг) калиброваный</t>
  </si>
  <si>
    <t xml:space="preserve">Круг   14 мм - 2,9м(3,8кг); 1,63-3,25м(136,9кг); 0,85-1,1м(40,7кг); 1м(70,2кг); 0,68+1,11м=2,3кг; 0,42-0,56м(3,2кг)  </t>
  </si>
  <si>
    <t>Труба  40 х 2,5  - 2,61м - 1шт</t>
  </si>
  <si>
    <r>
      <t xml:space="preserve">Труба  108(107) х 18 -  2,92м - 1шт                      </t>
    </r>
    <r>
      <rPr>
        <b/>
        <sz val="10"/>
        <rFont val="Arial"/>
        <family val="2"/>
        <charset val="204"/>
      </rPr>
      <t xml:space="preserve">   </t>
    </r>
    <r>
      <rPr>
        <b/>
        <sz val="8.3000000000000007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склад 6</t>
    </r>
  </si>
  <si>
    <t>Круг   50 мм -  1,65м(24кг); 1,6м(23кг); 0,99м(14,5кг); 0,33м(4,9кг) по 1шт</t>
  </si>
  <si>
    <t>Лента - 0,4х120мм -  28,3кг - 1 бухта    твердая</t>
  </si>
  <si>
    <t xml:space="preserve">Труба  57 х 7,0   -  1,79м - 4шт </t>
  </si>
  <si>
    <r>
      <t xml:space="preserve">Труба  127 х 10-11   -  2,37м(70,4кг) - 1шт       клеймо         </t>
    </r>
    <r>
      <rPr>
        <b/>
        <sz val="10"/>
        <rFont val="Arial"/>
        <family val="2"/>
        <charset val="204"/>
      </rPr>
      <t xml:space="preserve"> </t>
    </r>
  </si>
  <si>
    <t>Лист  1,5 мм -  0,49х1,25м(42,2кг) - 6шт; 0,55-0,59х1,25м(34,1кг)  шлифованый в пленке</t>
  </si>
  <si>
    <t>Лист  1,5 мм -  1,25х2,5м(по 36,5кг) - 4шт</t>
  </si>
  <si>
    <t>Круг   12 мм  -  2,9-3м</t>
  </si>
  <si>
    <t>Труба  56"+" х 8-9  -  2,69м(27,2кг) - 1шт</t>
  </si>
  <si>
    <r>
      <t xml:space="preserve">Круг  65 мм  -  1,09-1,14м - 5шт; 0,91м - 1шт      </t>
    </r>
    <r>
      <rPr>
        <b/>
        <sz val="10"/>
        <rFont val="Arial"/>
        <family val="2"/>
        <charset val="204"/>
      </rPr>
      <t xml:space="preserve"> ЭП-288мш</t>
    </r>
  </si>
  <si>
    <t xml:space="preserve">Труба  60 х 5,5-6  -  2,69; 3,1; 2,92; 3,75; 4,57; 5,14м по 1шт    </t>
  </si>
  <si>
    <r>
      <t xml:space="preserve">Круг  270 мм  -  1,02м(465кг) - 1шт                </t>
    </r>
    <r>
      <rPr>
        <b/>
        <sz val="10"/>
        <rFont val="Arial"/>
        <family val="2"/>
        <charset val="204"/>
      </rPr>
      <t xml:space="preserve"> 316-Тi     склад  6</t>
    </r>
  </si>
  <si>
    <t>Труба  18 х 2,5   -  1,94м(1,1кг) - 1шт</t>
  </si>
  <si>
    <t>Труба  18 х 1,0   -  2,01м(7,4кг) - 14шт</t>
  </si>
  <si>
    <t>Труба  25 х 1,5  -  3,7м(73,7кг)</t>
  </si>
  <si>
    <t>Труба  33,5 х 2,0  -  3-3,5м</t>
  </si>
  <si>
    <t>Труба  21 х 3,5  -  2,8м(4кг) - 1шт</t>
  </si>
  <si>
    <r>
      <t xml:space="preserve">Труба  16 х 1,2  -  3,17м(2,9кг) - 2шт               </t>
    </r>
    <r>
      <rPr>
        <b/>
        <sz val="10"/>
        <rFont val="Arial"/>
        <family val="2"/>
        <charset val="204"/>
      </rPr>
      <t>316-L</t>
    </r>
  </si>
  <si>
    <t>Круг  18 мм - 0,85-1м(41,4кг)</t>
  </si>
  <si>
    <t>Лист  9 мм -  0,16-0,17х0,84м(3,4кг); 0,16-0,18х0,9м(4,3кг)- 1шт</t>
  </si>
  <si>
    <r>
      <t xml:space="preserve">Круг  180 мм  -  100мм(21,5кг) - 1шт           </t>
    </r>
    <r>
      <rPr>
        <b/>
        <sz val="10"/>
        <rFont val="Arial"/>
        <family val="2"/>
        <charset val="204"/>
      </rPr>
      <t xml:space="preserve"> 316-Ti</t>
    </r>
  </si>
  <si>
    <t>Круг   50 мм  - 0,22м(4кг) - 1шт</t>
  </si>
  <si>
    <t>ПОС-45</t>
  </si>
  <si>
    <r>
      <t xml:space="preserve">Труба  93 х 9,5    по   1,75м - 2шт                             </t>
    </r>
    <r>
      <rPr>
        <b/>
        <sz val="10"/>
        <rFont val="Arial"/>
        <family val="2"/>
        <charset val="204"/>
      </rPr>
      <t>ЭИ-435</t>
    </r>
  </si>
  <si>
    <t>Шина медная - 6х100мм - 22кг  бухта,  ориентировочная длина 4м</t>
  </si>
  <si>
    <t>Шина медная - 6х100мм - 21,8; 21,6кг по 1-й бухте,  ориентировочная длина 4м</t>
  </si>
  <si>
    <t>Шина медная - 8х100мм - 28,7; 28,7кг по 1-й бухте,  ориентировочная длина 4м</t>
  </si>
  <si>
    <r>
      <t xml:space="preserve">Труба  21 х 3,5   -  1,18м(1,9кг) - 1шт      </t>
    </r>
    <r>
      <rPr>
        <b/>
        <sz val="10"/>
        <rFont val="Arial"/>
        <family val="2"/>
        <charset val="204"/>
      </rPr>
      <t xml:space="preserve"> 316-L</t>
    </r>
  </si>
  <si>
    <t>Труба  34 х 1,0  - 1,64м(1,4кг) - 1шт</t>
  </si>
  <si>
    <t>Труба  34 х 3,5  - 1,03+1,08м=5,6кг</t>
  </si>
  <si>
    <t>Труба  22 х 4-4,5   - 1,18; 1,61; 2,09; 2,12м по 1шт</t>
  </si>
  <si>
    <r>
      <t xml:space="preserve">Труба  35 х 2,0 -   1,02-1,06м(6,9кг) - 4шт         </t>
    </r>
    <r>
      <rPr>
        <b/>
        <sz val="10"/>
        <rFont val="Arial"/>
        <family val="2"/>
        <charset val="204"/>
      </rPr>
      <t xml:space="preserve">   316-Ti</t>
    </r>
  </si>
  <si>
    <t xml:space="preserve">Труба  38 х 5-5,5  -  0,9м(3,8кг) - 1шт </t>
  </si>
  <si>
    <t>Круг  40  мм  - 0,16м(1,6кг не нашли!!!); 0,37м(3,7кг); 0,3-0,33м(18,8кг); 0,39-0,4м+0,27м=76,7кг; 0,39м; 0,35-0,5м(16,1кг); 0,29м - 3шт; 0,41м - 2шт; 0,43м(4,3кг); 0,42м(4,2кг)  (найти 80кг!!!!!!)</t>
  </si>
  <si>
    <t>Круг  130 мм  -  60мм(по 6,5кг) - 3шт; 60мм(6,6; 6,7; 6,3кг); 70мм(7,3кг) по 1шт</t>
  </si>
  <si>
    <t xml:space="preserve">Круг  160 мм -  80мм(12,9кг + 12,9кг); 90мм(15кг)  по 1шт  </t>
  </si>
  <si>
    <t xml:space="preserve">Круг  190 мм - 80мм(18кг); 75мм(17,8кг)  по 1шт  </t>
  </si>
  <si>
    <t>Лист латунный 3,0 мм - 0,6х1,5м(22+21,9кг); 0,6х0,76м(11,3кг) по 1шт     твердые</t>
  </si>
  <si>
    <t xml:space="preserve">Лист латунный 3,0 мм -  0,6х58м(8,5кг)  - 1шт  </t>
  </si>
  <si>
    <t>Круг   80 мм - 1,64м(68,9кг); 1,1м(45,2кг) по 1шт</t>
  </si>
  <si>
    <t xml:space="preserve">Лист  27 мм - 0,52х1,74м(65кг); 0,54х1,74м(67кг); 0,58х1,74м(71,9+71,9кг); 0,55х1,06м(42кг)  по 1шт  </t>
  </si>
  <si>
    <t>Труба  32х3"+"  -  1,4-1,6м(212,7кг, в т.ч. 1шт 1,09м)</t>
  </si>
  <si>
    <t xml:space="preserve">Труба  53 х 2,0   - 2,6-3,3м(313кг);  2,12м(5,5кг) - 1шт </t>
  </si>
  <si>
    <r>
      <t xml:space="preserve">Круг  60 мм  -  1,37; 1,36; 1,52; 1,49; 1,32; 1,34; 1,33; 1,51; 1,45м по 1шт    клейма      </t>
    </r>
    <r>
      <rPr>
        <b/>
        <sz val="10"/>
        <rFont val="Arial"/>
        <family val="2"/>
        <charset val="204"/>
      </rPr>
      <t xml:space="preserve">ЭП-56 </t>
    </r>
  </si>
  <si>
    <r>
      <t xml:space="preserve">Круг  24"-" мм -    2,87-3,03м(31,8кг)         </t>
    </r>
    <r>
      <rPr>
        <b/>
        <sz val="10"/>
        <rFont val="Arial"/>
        <family val="2"/>
        <charset val="204"/>
      </rPr>
      <t xml:space="preserve"> ЭП-56   </t>
    </r>
  </si>
  <si>
    <t>Круг   25 мм  -  1,57-2,1м(21,7кг)    мягкий, клейма</t>
  </si>
  <si>
    <r>
      <t xml:space="preserve">Труба  45 х 3,5   -  1,17м(15,5кг) - 4шт              </t>
    </r>
    <r>
      <rPr>
        <b/>
        <sz val="10"/>
        <rFont val="Arial"/>
        <family val="2"/>
        <charset val="204"/>
      </rPr>
      <t>316-Ti</t>
    </r>
  </si>
  <si>
    <r>
      <t xml:space="preserve">Круг  180 мм -   0,12м(26,1кг); 0,26м(54,4кг); 0,115м(23,7кг); 100мм(21кг); 85мм(17,6кг) по 1шт        </t>
    </r>
    <r>
      <rPr>
        <b/>
        <sz val="10"/>
        <rFont val="Arial"/>
        <family val="2"/>
        <charset val="204"/>
      </rPr>
      <t xml:space="preserve"> 316-L</t>
    </r>
  </si>
  <si>
    <t xml:space="preserve">Труба  131 х 9,5-10   -  1,23м(33кг н\о) - 1шт       </t>
  </si>
  <si>
    <t xml:space="preserve">Круг   2,5 мм  -  1,05м(0,5кг)  </t>
  </si>
  <si>
    <t xml:space="preserve">Круг   8 мм  -  2,5-2,7м  </t>
  </si>
  <si>
    <t>Круг  70 мм -  0,49м(15,4кг) - 1шт</t>
  </si>
  <si>
    <t xml:space="preserve">Круг  18 мм -  4,45м(17,6кг н\о); 1,3-1,9м(151,4кг н\о); 1,25-2,9м(57,2кг) </t>
  </si>
  <si>
    <t xml:space="preserve">Никель лента - 1х270мм -  1 бухта 43,9кг    </t>
  </si>
  <si>
    <t>Труба  29х8,0  -  2,48-2,9м +1,4м; 1,31м(5,7кг)</t>
  </si>
  <si>
    <t>Шестигранник №27  -  0,36м(5,3кг) - 3шт; 0,5м(2,5кг); 0,51м(2,5кг)</t>
  </si>
  <si>
    <t>Проволока   2,0мм  -  24,2кг - 1 бухта</t>
  </si>
  <si>
    <r>
      <t>Труба  325 х 12-12,5 - 2,76-3,02м - 9шт; 2,46м - 1шт  клеймо</t>
    </r>
    <r>
      <rPr>
        <b/>
        <sz val="10"/>
        <rFont val="Arial"/>
        <family val="2"/>
        <charset val="204"/>
      </rPr>
      <t xml:space="preserve">          склад 6</t>
    </r>
  </si>
  <si>
    <t>Круг  18 мм  -  3,4-3,5м(52,8кг н\о); 2-3,5м(343,9кг н\о есть клейма)</t>
  </si>
  <si>
    <t>Труба  14 х 1,0   -   2,2-2,8м(26кг, в т.ч. 1,65м и несколько шт по 3,1м)</t>
  </si>
  <si>
    <t>Круг  45 мм  -   1,39-1,55м(51кг в т.ч. 1шт 0,91м, 1,28м(16,6кг)); 1,6+1,84м=47,5кг клеймо</t>
  </si>
  <si>
    <t xml:space="preserve">Круг  50 мм -  0,46м(7,2кг) - 1шт           </t>
  </si>
  <si>
    <r>
      <t xml:space="preserve">Труба  28 х 1,5  -   6,44м(13,4кг) - 2шт; 2,87-4,7м(58,2кг); 2-3,2м(21,5кг)   </t>
    </r>
    <r>
      <rPr>
        <b/>
        <sz val="10"/>
        <rFont val="Arial"/>
        <family val="2"/>
        <charset val="204"/>
      </rPr>
      <t>316-Ti</t>
    </r>
  </si>
  <si>
    <r>
      <t xml:space="preserve">Труба  32 х 3,0  -  2м(3,9кг); 2,5+2,85м=11кг        </t>
    </r>
    <r>
      <rPr>
        <b/>
        <sz val="10"/>
        <rFont val="Arial"/>
        <family val="2"/>
        <charset val="204"/>
      </rPr>
      <t xml:space="preserve">  316-Ti</t>
    </r>
  </si>
  <si>
    <t>Проволока ф2мм    -  12,8; 12,8кг по 1-й бухте</t>
  </si>
  <si>
    <t xml:space="preserve">Круг  50 мм  - 1,1м(17,1кг); 0,84м(12,9кг); 1,66м(25,6кг); 1,08м(16,6кг н\о клеймо); 1,14м(21,7кг н\о); 0,94м(15кг)  по 1шт               </t>
  </si>
  <si>
    <r>
      <t xml:space="preserve">Круг  95 мм  -  2,84м(160кг)  -  1шт           </t>
    </r>
    <r>
      <rPr>
        <b/>
        <sz val="10"/>
        <rFont val="Arial"/>
        <family val="2"/>
        <charset val="204"/>
      </rPr>
      <t>склад 6</t>
    </r>
  </si>
  <si>
    <t>Круг   38 мм - 0,57м(5,4кг); 0,68м(6,4кг) по 1шт</t>
  </si>
  <si>
    <t xml:space="preserve">Круг  130(120) мм  -  0,54м(55,9кг клеймо) - 1шт          </t>
  </si>
  <si>
    <t>Лента бронзовая - 0,8х250мм  -  1 бухта  11,8кг   твердая</t>
  </si>
  <si>
    <r>
      <t xml:space="preserve">Труба  20 х 3,0 -   1,67м(2кг) - 1шт           </t>
    </r>
    <r>
      <rPr>
        <b/>
        <sz val="10"/>
        <rFont val="Arial"/>
        <family val="2"/>
        <charset val="204"/>
      </rPr>
      <t xml:space="preserve"> 316-Ti</t>
    </r>
  </si>
  <si>
    <t xml:space="preserve">Труба  38 х 6,5  -  2,13м(11кг) - 1шт  </t>
  </si>
  <si>
    <r>
      <t xml:space="preserve">Проволока  1,0 мм  -  21,2кг; 6,5кг; 16,8кг   по 1-й бухте             </t>
    </r>
    <r>
      <rPr>
        <b/>
        <sz val="10"/>
        <rFont val="Arial"/>
        <family val="2"/>
        <charset val="204"/>
      </rPr>
      <t>ЭИ-435</t>
    </r>
  </si>
  <si>
    <t xml:space="preserve">Лист бронзовый 3мм - 0,25х0,29-0,77м(43,2кг) </t>
  </si>
  <si>
    <t>Труба  45 х 13,0  -  0,73; 0,94; 1,02м по 1шт</t>
  </si>
  <si>
    <t>Труба  45"-" х 7,0  -  1,21м(7,9кг) - 1шт</t>
  </si>
  <si>
    <t>Труба  22"-" х 3,8  -  0,93-1,2м(5,5кг)</t>
  </si>
  <si>
    <t>Труба  21,3 х 3,8  -  1,17-1,21м(16,9кг)</t>
  </si>
  <si>
    <t>Круг   64 мм -   0,26м(6,4кг) - 1шт</t>
  </si>
  <si>
    <t>Круг   40(39) мм  -  1,24м(11,4кг); 1,06м(9,8кг) по 1шт</t>
  </si>
  <si>
    <t>Труба  36 х 3,0  - 1,41м(3,7кг) - 1шт</t>
  </si>
  <si>
    <t>Труба  35 х 2,5  -  1,25м(2,8кг) - 1шт</t>
  </si>
  <si>
    <t>Круг  165 мм -  0,39м(75кг) - 1шт       кованый</t>
  </si>
  <si>
    <r>
      <t xml:space="preserve">Круг  35 мм   -  1,08м(9кг клеймо) - 1шт         </t>
    </r>
    <r>
      <rPr>
        <b/>
        <sz val="10"/>
        <rFont val="Arial"/>
        <family val="2"/>
        <charset val="204"/>
      </rPr>
      <t xml:space="preserve">ЭИ-437 </t>
    </r>
  </si>
  <si>
    <t>Лист  0,4мм - 150х300-310мм(13,9кг, есть несколько шт короче)</t>
  </si>
  <si>
    <t>Труба  35 х 4-4,5  -   2,45м - 1шт</t>
  </si>
  <si>
    <t>Лист  9 мм - режем куски 600х670мм и другие меньшие размеры!!!! И 1шт   клеймо</t>
  </si>
  <si>
    <t>Круг  45 мм  -  0,28м(4кг) - 1шт</t>
  </si>
  <si>
    <r>
      <t xml:space="preserve">Круг  18 мм  -  1,95-2,7м(23,8кг)        </t>
    </r>
    <r>
      <rPr>
        <b/>
        <sz val="10"/>
        <rFont val="Arial"/>
        <family val="2"/>
        <charset val="204"/>
      </rPr>
      <t>ЭИ-474</t>
    </r>
  </si>
  <si>
    <t>Круг  56(55) мм -  3,05м(57,5кг клеймо); 1,3м(24,3кг клеймо) по 1шт  н\о</t>
  </si>
  <si>
    <r>
      <t xml:space="preserve">Круг  60 мм  -   1,67м(36,7кг) - 1шт   клеймо       </t>
    </r>
    <r>
      <rPr>
        <b/>
        <sz val="10"/>
        <rFont val="Arial"/>
        <family val="2"/>
        <charset val="204"/>
      </rPr>
      <t>ЭИ-474</t>
    </r>
  </si>
  <si>
    <t>Лента латунная 0,2х300 мм - 3,1кг - 1 рулон   тв</t>
  </si>
  <si>
    <r>
      <t xml:space="preserve">Труба  38 х 3,0  -   6,35-6,4м(66,4кг в т.ч. 4,6м; 5,96м;  от 3шт резал 0,85; 1; 2м)         </t>
    </r>
    <r>
      <rPr>
        <b/>
        <sz val="10"/>
        <rFont val="Arial"/>
        <family val="2"/>
        <charset val="204"/>
      </rPr>
      <t>316-L</t>
    </r>
  </si>
  <si>
    <t>Круг   50 мм -  0,57м(9,6кг) - 1шт</t>
  </si>
  <si>
    <t>Круг 65 мм -  0,39м(12кг) - 1шт</t>
  </si>
  <si>
    <t>Труба  22 х 4,5   - 1,27м(2,5кг) - 1шт</t>
  </si>
  <si>
    <t>Труба  22 х 3,5  -  1,07-1,48м(13,2кг); 0,72-1,02м(11,4кг)</t>
  </si>
  <si>
    <t>Труба  22 х 3,5  -  1,41+1,7м=3,8кг</t>
  </si>
  <si>
    <t>Труба  21 х 2,5  - 1,4м(4,8кг) - 3шт; 1,3м(1,3кг) - 1шт</t>
  </si>
  <si>
    <t xml:space="preserve">Лента бронзовая - 0,5х250мм  -  19,6; 17,2; 12,1; 5,5кг по 1-й бухте    мягкая  </t>
  </si>
  <si>
    <t>Проволока   ф 0,25мм   - 4,7кг по 1-й пластиковой катушке</t>
  </si>
  <si>
    <t>Проволока   ф 0,8мм  - 7кг - 1  бухта   птв</t>
  </si>
  <si>
    <t>Труба  71 х 3,5 -  2,54м(14,9кг) - 1шт</t>
  </si>
  <si>
    <t xml:space="preserve">Труба  48 х 3,5 -  2,11+3м=20,2кг  </t>
  </si>
  <si>
    <t>Труба  48 х 7,5 -  3м - 3шт; 2,24м - 1шт</t>
  </si>
  <si>
    <t>Труба  20 х 3,0  -  0,74-1,24м(14,3кг)</t>
  </si>
  <si>
    <t>Труба  20 х 3,0  -  1,29-1,94м(19,7кг)</t>
  </si>
  <si>
    <t>Труба  20 х 2,5  -  1-1,8м(7,8кг)</t>
  </si>
  <si>
    <t xml:space="preserve">Лист латунный 29 мм - 0,31х0,5м(39кг - 1 отв ф30мм) - 1шт  </t>
  </si>
  <si>
    <t>Проволока  1,0 мм  -  56кг - 1  бухта</t>
  </si>
  <si>
    <t xml:space="preserve">Лист  1,5 мм  -  0,5х0,5м(12кг без углов 2х2см) - 3шт </t>
  </si>
  <si>
    <t>Труба  32 х 3,0   -  1,07+1,03м=4,7кг</t>
  </si>
  <si>
    <t xml:space="preserve">Круг  200мм  -  125мм(31,3кг); 80мм(19,6; 20,2; 20,2; 20,2; 20,2; 21,6кг); 90мм(23,6; 22,4; 23кг); 120мм(31кг н\о) по 1шт                           </t>
  </si>
  <si>
    <t>Лента медная рулон  0,05х560мм - 27кг - 1шт с одной стороны диэлектрическое покрытие</t>
  </si>
  <si>
    <t xml:space="preserve">Труба  42 х 4,0  -   3,4-3,5м - 18шт(от 1шт резали 1м; 0,25м, в т.ч. 1,79м(6,6кг))                 </t>
  </si>
  <si>
    <t>Труба 18х1,0 -  2,88м(5,6кг)</t>
  </si>
  <si>
    <t>Круг   100 мм - 0,11м(7,5кг) - 1шт</t>
  </si>
  <si>
    <r>
      <t xml:space="preserve">Труба  25 х 2,5   -  3,95-4м(231кг); 2,9-3,1м(119кг); 2,9-3,6м(114кг); 2,44м(3,3кг); 1,88+1,96м=4,5кг; 2,56+3,05м=7,8кг; 1,63м(2,2кг)               </t>
    </r>
    <r>
      <rPr>
        <b/>
        <sz val="10"/>
        <rFont val="Arial"/>
        <family val="2"/>
        <charset val="204"/>
      </rPr>
      <t>316-Ti</t>
    </r>
  </si>
  <si>
    <t xml:space="preserve">Круг  180 мм  -   75мм(15,3кг) - 1шт    </t>
  </si>
  <si>
    <t>Проволока ф4мм    -   17,5; 6; 10,9; 18,7кг по  1-й  бухте</t>
  </si>
  <si>
    <t>Круг  42"+"мм  -  0,95-1,02м(73,7кг); 0,33+0,67+0,74м=6,9кг</t>
  </si>
  <si>
    <r>
      <t xml:space="preserve">Труба  32 х 3,0  -  1,19м(2,4кг) - 1шт            </t>
    </r>
    <r>
      <rPr>
        <b/>
        <sz val="10"/>
        <rFont val="Arial"/>
        <family val="2"/>
        <charset val="204"/>
      </rPr>
      <t xml:space="preserve">  316-L</t>
    </r>
  </si>
  <si>
    <t xml:space="preserve">Лента бронзовая - 0,2х250мм  -  1,9кг - 1 бухта    мягкая  </t>
  </si>
  <si>
    <t xml:space="preserve">Круг  24 мм  - 1,23-1,8м(24,2кг клеймо)  </t>
  </si>
  <si>
    <t>Труба  45 х 6,5-7  - 6,39м(40,9кг); 2,38м(14,9кг) по 1шт</t>
  </si>
  <si>
    <r>
      <t xml:space="preserve">Лента - 0,3х250мм - 6,6кг - 1 рулон       твердая  </t>
    </r>
    <r>
      <rPr>
        <b/>
        <sz val="10"/>
        <rFont val="Arial"/>
        <family val="2"/>
        <charset val="204"/>
      </rPr>
      <t xml:space="preserve"> </t>
    </r>
  </si>
  <si>
    <t>Круг  8,5 мм  - 1,45м(0,4кг) - 1шт    калиброваный</t>
  </si>
  <si>
    <t>с2</t>
  </si>
  <si>
    <t>Шестигранник №41  -  0,8м(9,1кг) - 1шт</t>
  </si>
  <si>
    <t>Труба  12х1,0  -  14,6кг  - 1  бухта</t>
  </si>
  <si>
    <t>Труба  42 х 1,5   -  2,34м - 1шт</t>
  </si>
  <si>
    <t>Круг   60 мм  - 0,95м - 1шт</t>
  </si>
  <si>
    <t>Круг  200 мм  -  0,25м(21,6кг) - 1шт</t>
  </si>
  <si>
    <t xml:space="preserve">Шестигранник №41  -  0,36м(4,4кг) - 1шт </t>
  </si>
  <si>
    <t>Круг   60 мм - 0,51м(12,2кг) - 1шт</t>
  </si>
  <si>
    <t>Проволока  6,0 мм   -  6; 12,3; 3,1; 11; 9; 10,3кг  по 1-й бухте   жесткая</t>
  </si>
  <si>
    <t>Труба  51 х 1,5  -  2,82м(5,2кг) - 1шт</t>
  </si>
  <si>
    <t>Труба  51 х 2,0  -  2,48; 2,67; 3,1; 3,27м по 1шт; 2,4+4,38=12,6кг</t>
  </si>
  <si>
    <t>Труба  51 х 3,0  -  3,96м(12,9кг) - 1шт</t>
  </si>
  <si>
    <t xml:space="preserve">Круг  160 мм -  0,31м(50,4кг) - 1шт  </t>
  </si>
  <si>
    <t xml:space="preserve">Круг  230 мм  -  70мм(25,7кг)  - 1шт    н\о                        </t>
  </si>
  <si>
    <t>Круг   20 мм - 0,66-0,68м</t>
  </si>
  <si>
    <t>Труба  48 х 7,5 -  3; 2,33; 2,33м по 1шт</t>
  </si>
  <si>
    <t>Круг   148 мм  -  0,79м(101,5кг) - 1шт</t>
  </si>
  <si>
    <t>Круг   148 мм  -  0,41м(52,9кг клеймо) - 1шт</t>
  </si>
  <si>
    <t xml:space="preserve">Лист  25 мм  -   0,28х0,34м(19,7; 19,1; 19,4кг) по 1шт </t>
  </si>
  <si>
    <t xml:space="preserve">Круг  50 мм - 3,02+0,56м=62,5кг; 1,69м(29,8кг) </t>
  </si>
  <si>
    <r>
      <t xml:space="preserve">Труба  33,5 х 6,5 - 1,1-1,2м(44,6кг)             </t>
    </r>
    <r>
      <rPr>
        <b/>
        <sz val="10"/>
        <rFont val="Arial"/>
        <family val="2"/>
        <charset val="204"/>
      </rPr>
      <t xml:space="preserve"> 316-Ti</t>
    </r>
  </si>
  <si>
    <t>Лист медный 6,0 мм - 0,6х0,96м(29,5кг) - 1шт мягкий</t>
  </si>
  <si>
    <t>Проволока   2,0мм  -  59кг; 1,7; 4,7кг по 1-й бухте</t>
  </si>
  <si>
    <t>Труба 40х10 -  2,83; 2,92м по 1шт        цветовая маркировка</t>
  </si>
  <si>
    <t xml:space="preserve">Труба 7х1,5 -  2,2-2,3м(51кг); 1,3-1,35м(4,9кг)  </t>
  </si>
  <si>
    <t>Лист  2,0 мм - 1х2м(по 30,6кг)  - 25шт   маркированы   1.4541  режем нужный размер!!!</t>
  </si>
  <si>
    <t>Лист  2,0 мм -  1х2м(156кг) - 5шт   зеркало в пленке     режем нужный размер!!!</t>
  </si>
  <si>
    <r>
      <t xml:space="preserve">Лист  3,0 мм -   1,05х2,6м(62-65кг) - 2шт   холоднокатаные!!!!!     режем нужный размер!!!       </t>
    </r>
    <r>
      <rPr>
        <b/>
        <sz val="10"/>
        <rFont val="Arial"/>
        <family val="2"/>
        <charset val="204"/>
      </rPr>
      <t>склад 6</t>
    </r>
  </si>
  <si>
    <r>
      <t xml:space="preserve">Лист  3,0 мм -   1,05х2,6м(62-66кг) - 10шт   холоднокатаные!!!!!     режем нужный размер!!!        </t>
    </r>
    <r>
      <rPr>
        <b/>
        <sz val="10"/>
        <rFont val="Arial"/>
        <family val="2"/>
        <charset val="204"/>
      </rPr>
      <t>склад 6</t>
    </r>
  </si>
  <si>
    <t>Лист  3 мм - 1,5х2,5м(88,4кг); 1,2х1,33м(35,8кг); 1,5х2,3м(73,3кг без угла 600х160мм по короткой стороне) по 1шт     режем нужный размер!!!</t>
  </si>
  <si>
    <r>
      <t xml:space="preserve">Лист  5 мм - 2х2м(157кг) - 1шт         режем нужный размер!!!       </t>
    </r>
    <r>
      <rPr>
        <b/>
        <sz val="10"/>
        <rFont val="Arial"/>
        <family val="2"/>
        <charset val="204"/>
      </rPr>
      <t>склад 6</t>
    </r>
  </si>
  <si>
    <r>
      <t xml:space="preserve">Лист  6 мм -   1,5х3м - 2шт маркированы   </t>
    </r>
    <r>
      <rPr>
        <b/>
        <sz val="10"/>
        <rFont val="Arial"/>
        <family val="2"/>
        <charset val="204"/>
      </rPr>
      <t xml:space="preserve">310S  </t>
    </r>
    <r>
      <rPr>
        <b/>
        <sz val="8.3000000000000007"/>
        <rFont val="Arial"/>
        <family val="2"/>
        <charset val="204"/>
      </rPr>
      <t xml:space="preserve">  </t>
    </r>
    <r>
      <rPr>
        <b/>
        <sz val="10"/>
        <rFont val="Arial"/>
        <family val="2"/>
        <charset val="204"/>
      </rPr>
      <t>склад 6   режем нужный размер!!!</t>
    </r>
  </si>
  <si>
    <r>
      <t xml:space="preserve">Лист  8 мм  -  1,5х4,51м(410кг) - 1шт   </t>
    </r>
    <r>
      <rPr>
        <b/>
        <sz val="10"/>
        <rFont val="Arial"/>
        <family val="2"/>
        <charset val="204"/>
      </rPr>
      <t xml:space="preserve">  склад 6    режем нужный размер!!!</t>
    </r>
  </si>
  <si>
    <r>
      <t xml:space="preserve">Лист  8 мм  -  1,5х2,54м(240кг) - 1шт      маркир   </t>
    </r>
    <r>
      <rPr>
        <b/>
        <sz val="10"/>
        <rFont val="Arial"/>
        <family val="2"/>
        <charset val="204"/>
      </rPr>
      <t>склад 6   режем нужный размер!!!</t>
    </r>
  </si>
  <si>
    <r>
      <t xml:space="preserve">Лист  8 мм  -  1,5х3м(290кг) - 1шт            </t>
    </r>
    <r>
      <rPr>
        <b/>
        <sz val="10"/>
        <rFont val="Arial"/>
        <family val="2"/>
        <charset val="204"/>
      </rPr>
      <t>склад 2</t>
    </r>
    <r>
      <rPr>
        <b/>
        <sz val="8.3000000000000007"/>
        <rFont val="Arial"/>
        <family val="2"/>
        <charset val="204"/>
      </rPr>
      <t xml:space="preserve">      режем нужный размер!!!</t>
    </r>
  </si>
  <si>
    <r>
      <t xml:space="preserve">Лист  8,0 мм  - 1,5х6м(550кг); 1,5х4,24м(388кг) по 1шт      </t>
    </r>
    <r>
      <rPr>
        <b/>
        <sz val="10"/>
        <rFont val="Arial"/>
        <family val="2"/>
        <charset val="204"/>
      </rPr>
      <t>маркировка 410-я   склад 6</t>
    </r>
    <r>
      <rPr>
        <b/>
        <sz val="8"/>
        <rFont val="Arial"/>
        <family val="2"/>
        <charset val="204"/>
      </rPr>
      <t xml:space="preserve">   режем нужный размер!!!</t>
    </r>
  </si>
  <si>
    <r>
      <t xml:space="preserve">Лист  10 мм  -  1,5х6м(700кг) - 1шт        режем нужный размер!!!          </t>
    </r>
    <r>
      <rPr>
        <b/>
        <sz val="10"/>
        <rFont val="Arial"/>
        <family val="2"/>
        <charset val="204"/>
      </rPr>
      <t xml:space="preserve">  склад 6</t>
    </r>
  </si>
  <si>
    <r>
      <t xml:space="preserve">Лист  10 мм - 1,23х1,5м(150кг); 0,5х3м(240кг) - 2шт       </t>
    </r>
    <r>
      <rPr>
        <b/>
        <sz val="10"/>
        <rFont val="Arial"/>
        <family val="2"/>
        <charset val="204"/>
      </rPr>
      <t>склад 6</t>
    </r>
    <r>
      <rPr>
        <b/>
        <sz val="8.5"/>
        <rFont val="Arial"/>
        <family val="2"/>
        <charset val="204"/>
      </rPr>
      <t xml:space="preserve">      режем нужный размер!!!</t>
    </r>
  </si>
  <si>
    <r>
      <t xml:space="preserve">Лист  10 мм -  1,5х2,39м(280кг) - 1шт      </t>
    </r>
    <r>
      <rPr>
        <b/>
        <sz val="10"/>
        <rFont val="Arial"/>
        <family val="2"/>
        <charset val="204"/>
      </rPr>
      <t>склад 6</t>
    </r>
    <r>
      <rPr>
        <b/>
        <sz val="8.5"/>
        <rFont val="Arial"/>
        <family val="2"/>
        <charset val="204"/>
      </rPr>
      <t xml:space="preserve">     режем нужный размер!!!</t>
    </r>
  </si>
  <si>
    <r>
      <t xml:space="preserve">Лист  10 мм - 1,25х2,5м(245кг) - 1шт               </t>
    </r>
    <r>
      <rPr>
        <b/>
        <sz val="10"/>
        <rFont val="Arial"/>
        <family val="2"/>
        <charset val="204"/>
      </rPr>
      <t>склад 6</t>
    </r>
    <r>
      <rPr>
        <b/>
        <sz val="8.5"/>
        <rFont val="Arial"/>
        <family val="2"/>
        <charset val="204"/>
      </rPr>
      <t xml:space="preserve">     режем нужный размер!!!</t>
    </r>
  </si>
  <si>
    <r>
      <t xml:space="preserve">Лист  10 мм  -  1,5х2,17м(255кг); 1,34х1м(105кг) по 1шт      </t>
    </r>
    <r>
      <rPr>
        <b/>
        <sz val="10"/>
        <rFont val="Arial"/>
        <family val="2"/>
        <charset val="204"/>
      </rPr>
      <t xml:space="preserve">316-Ti </t>
    </r>
    <r>
      <rPr>
        <b/>
        <sz val="8.5"/>
        <rFont val="Arial"/>
        <family val="2"/>
        <charset val="204"/>
      </rPr>
      <t xml:space="preserve">       </t>
    </r>
    <r>
      <rPr>
        <b/>
        <sz val="10"/>
        <rFont val="Arial"/>
        <family val="2"/>
        <charset val="204"/>
      </rPr>
      <t>склад 6</t>
    </r>
    <r>
      <rPr>
        <b/>
        <sz val="8.5"/>
        <rFont val="Arial"/>
        <family val="2"/>
        <charset val="204"/>
      </rPr>
      <t xml:space="preserve">    режем нужный размер!!!</t>
    </r>
  </si>
  <si>
    <r>
      <t xml:space="preserve">Лист  12 мм  -  0,64х1,88м(110кг) - 1шт         </t>
    </r>
    <r>
      <rPr>
        <b/>
        <sz val="10"/>
        <rFont val="Arial"/>
        <family val="2"/>
        <charset val="204"/>
      </rPr>
      <t>склад 6</t>
    </r>
    <r>
      <rPr>
        <b/>
        <sz val="8.3000000000000007"/>
        <rFont val="Arial"/>
        <family val="2"/>
        <charset val="204"/>
      </rPr>
      <t xml:space="preserve">    режем нужный размер!!!</t>
    </r>
  </si>
  <si>
    <r>
      <t xml:space="preserve">Лист  14 мм   -  1,35х1,95м(295кг маркирован) - 1шт     </t>
    </r>
    <r>
      <rPr>
        <b/>
        <sz val="10"/>
        <rFont val="Arial"/>
        <family val="2"/>
        <charset val="204"/>
      </rPr>
      <t>склад 6</t>
    </r>
  </si>
  <si>
    <r>
      <t xml:space="preserve">Лист  16 мм  -  1,5х5,95м(1090кг без угла 300х300мм) - 1шт  </t>
    </r>
    <r>
      <rPr>
        <b/>
        <sz val="10"/>
        <rFont val="Arial"/>
        <family val="2"/>
        <charset val="204"/>
      </rPr>
      <t xml:space="preserve">  склад 6    режем нужный размер!!!</t>
    </r>
  </si>
  <si>
    <r>
      <t xml:space="preserve">Лист  16 мм   -  1,5х1,92м(370кг) - 1шт       </t>
    </r>
    <r>
      <rPr>
        <b/>
        <sz val="10"/>
        <rFont val="Arial"/>
        <family val="2"/>
        <charset val="204"/>
      </rPr>
      <t>склад 6    режем нужный размер!!!</t>
    </r>
  </si>
  <si>
    <r>
      <t xml:space="preserve">Лист  16 мм  -  1,5х1,53м(292кг) -  1шт       </t>
    </r>
    <r>
      <rPr>
        <b/>
        <sz val="10"/>
        <rFont val="Arial"/>
        <family val="2"/>
        <charset val="204"/>
      </rPr>
      <t>склад 2</t>
    </r>
    <r>
      <rPr>
        <b/>
        <sz val="8"/>
        <rFont val="Arial"/>
        <family val="2"/>
        <charset val="204"/>
      </rPr>
      <t xml:space="preserve">     режем нужный размер!!!</t>
    </r>
  </si>
  <si>
    <r>
      <t xml:space="preserve">Лист  16 мм  -  1х1,9м(239кг) - 1шт                 </t>
    </r>
    <r>
      <rPr>
        <b/>
        <sz val="10"/>
        <rFont val="Arial"/>
        <family val="2"/>
        <charset val="204"/>
      </rPr>
      <t xml:space="preserve">  склад 6</t>
    </r>
    <r>
      <rPr>
        <b/>
        <sz val="8"/>
        <rFont val="Arial"/>
        <family val="2"/>
        <charset val="204"/>
      </rPr>
      <t xml:space="preserve">     режем нужный размер!!!</t>
    </r>
  </si>
  <si>
    <r>
      <t xml:space="preserve">Лист  16 мм  -  0,8х1,6м(165кг) - 1шт                 </t>
    </r>
    <r>
      <rPr>
        <b/>
        <sz val="10"/>
        <rFont val="Arial"/>
        <family val="2"/>
        <charset val="204"/>
      </rPr>
      <t xml:space="preserve">  склад 6</t>
    </r>
    <r>
      <rPr>
        <b/>
        <sz val="8"/>
        <rFont val="Arial"/>
        <family val="2"/>
        <charset val="204"/>
      </rPr>
      <t xml:space="preserve">     режем нужный размер!!!</t>
    </r>
  </si>
  <si>
    <r>
      <t xml:space="preserve">Лист  18 мм  -  1х3м(423кг н\о) - 1шт    </t>
    </r>
    <r>
      <rPr>
        <b/>
        <sz val="10"/>
        <rFont val="Arial"/>
        <family val="2"/>
        <charset val="204"/>
      </rPr>
      <t xml:space="preserve">  склад 6</t>
    </r>
    <r>
      <rPr>
        <b/>
        <sz val="8"/>
        <rFont val="Arial"/>
        <family val="2"/>
        <charset val="204"/>
      </rPr>
      <t xml:space="preserve">     режем нужный размер!!!</t>
    </r>
  </si>
  <si>
    <r>
      <t xml:space="preserve">Лист  20 мм  -  1,55х1,8м(450кг); 0,8-0,84х1,62м(220кг) по 1шт    </t>
    </r>
    <r>
      <rPr>
        <b/>
        <sz val="10"/>
        <rFont val="Arial"/>
        <family val="2"/>
        <charset val="204"/>
      </rPr>
      <t>склад 6</t>
    </r>
    <r>
      <rPr>
        <b/>
        <sz val="8.3000000000000007"/>
        <rFont val="Arial"/>
        <family val="2"/>
        <charset val="204"/>
      </rPr>
      <t xml:space="preserve">     режем нужный размер!!!</t>
    </r>
  </si>
  <si>
    <r>
      <t xml:space="preserve">Лист  30мм  -   0,69х2,13м(358кг) - 1шт     </t>
    </r>
    <r>
      <rPr>
        <b/>
        <sz val="10"/>
        <rFont val="Arial"/>
        <family val="2"/>
        <charset val="204"/>
      </rPr>
      <t>склад 2</t>
    </r>
    <r>
      <rPr>
        <b/>
        <sz val="8.3000000000000007"/>
        <rFont val="Arial"/>
        <family val="2"/>
        <charset val="204"/>
      </rPr>
      <t xml:space="preserve">     режем нужный размер!!!</t>
    </r>
  </si>
  <si>
    <r>
      <t xml:space="preserve">Лист  30 мм  -  1,5х2м(708кг) - 1шт                      </t>
    </r>
    <r>
      <rPr>
        <b/>
        <sz val="10"/>
        <rFont val="Arial"/>
        <family val="2"/>
        <charset val="204"/>
      </rPr>
      <t xml:space="preserve">  склад 2</t>
    </r>
    <r>
      <rPr>
        <b/>
        <sz val="8"/>
        <rFont val="Arial"/>
        <family val="2"/>
        <charset val="204"/>
      </rPr>
      <t xml:space="preserve">     режем нужный размер!!!</t>
    </r>
  </si>
  <si>
    <r>
      <t xml:space="preserve">Лист  30 мм  -  1,51х3,02м(1105кг) -  1шт       </t>
    </r>
    <r>
      <rPr>
        <b/>
        <sz val="10"/>
        <rFont val="Arial"/>
        <family val="2"/>
        <charset val="204"/>
      </rPr>
      <t>склад 2</t>
    </r>
    <r>
      <rPr>
        <b/>
        <sz val="8"/>
        <rFont val="Arial"/>
        <family val="2"/>
        <charset val="204"/>
      </rPr>
      <t xml:space="preserve">      режем нужный размер!!!</t>
    </r>
  </si>
  <si>
    <r>
      <t xml:space="preserve">Лист  35 мм  - 1х1,57м(445кг); 0,42х0,58м(70кг) - 1шт   </t>
    </r>
    <r>
      <rPr>
        <b/>
        <sz val="10"/>
        <rFont val="Arial"/>
        <family val="2"/>
        <charset val="204"/>
      </rPr>
      <t>склад 2   режем нужный размер!!!</t>
    </r>
  </si>
  <si>
    <r>
      <t xml:space="preserve">Лист  32 мм  -  0,8х0,89м(365кг) - 2шт         </t>
    </r>
    <r>
      <rPr>
        <b/>
        <sz val="10"/>
        <rFont val="Arial"/>
        <family val="2"/>
        <charset val="204"/>
      </rPr>
      <t xml:space="preserve">склад  6 </t>
    </r>
    <r>
      <rPr>
        <b/>
        <sz val="8.3000000000000007"/>
        <rFont val="Arial"/>
        <family val="2"/>
        <charset val="204"/>
      </rPr>
      <t xml:space="preserve">    режем нужный размер!!!                       </t>
    </r>
  </si>
  <si>
    <r>
      <t xml:space="preserve">Лист  4,0 мм - 0,47х0,98м(15,3кг); 0,47х0,98м(15,8кг)  по 1шт   </t>
    </r>
    <r>
      <rPr>
        <b/>
        <sz val="10"/>
        <rFont val="Arial"/>
        <family val="2"/>
        <charset val="204"/>
      </rPr>
      <t xml:space="preserve"> ЭИ-435</t>
    </r>
  </si>
  <si>
    <t>Лист  80 мм -  0,19х0,43м - 4шт</t>
  </si>
  <si>
    <t>Круг   41 мм -  0,15м(1,5кг) - 1шт</t>
  </si>
  <si>
    <t xml:space="preserve">Круг   40 мм  -   0,36-0,4м(73кг, в т.ч 0,21м); 0,21м(2,7кг); 0,2м(2,3кг) по 1шт                  </t>
  </si>
  <si>
    <t xml:space="preserve">Труба  53 х 7,0   - 1,84м(14,8кг) - 1шт </t>
  </si>
  <si>
    <t xml:space="preserve">Труба  51 х 2,5   - 2,84+2,84м=17,5кг </t>
  </si>
  <si>
    <t xml:space="preserve">Труба  51 х 3,0   - 2,12+2,74м=16,4кг </t>
  </si>
  <si>
    <t xml:space="preserve">Труба  50 х 1,5   - 2,09м(4,3кг) - 1шт </t>
  </si>
  <si>
    <t>Труба  54 х 1,5    -  2,54+3м=6,6кг; 2,64м(2,8кг) - 1шт</t>
  </si>
  <si>
    <r>
      <t xml:space="preserve">Лист латунный 20 мм - 0,99х1,08м(177кг) -  1шт     </t>
    </r>
    <r>
      <rPr>
        <b/>
        <sz val="12"/>
        <rFont val="Arial"/>
        <family val="2"/>
        <charset val="204"/>
      </rPr>
      <t>склад 2</t>
    </r>
    <r>
      <rPr>
        <b/>
        <sz val="10"/>
        <rFont val="Arial"/>
        <family val="2"/>
        <charset val="204"/>
      </rPr>
      <t xml:space="preserve"> режем   нужный размер</t>
    </r>
  </si>
  <si>
    <t xml:space="preserve">Круг  32 мм  - 0,75м(4,7кг); 0,53м(3,4кг); 0,27-0,28м(20,2кг н\о) </t>
  </si>
  <si>
    <t>Проволока   ф 2,5 мм  - 12,8кг; 35,4кг по 1-й бухте     птв</t>
  </si>
  <si>
    <t>Лист латунный 4,0 мм - 0,6х0,8м(15,7кг) - 1шт    твердый</t>
  </si>
  <si>
    <t xml:space="preserve">Круг  20 мм  -  0,77м(4,5кг) - 4шт  </t>
  </si>
  <si>
    <t>Труба  22 х 5,0  -  1,15-1,22м(65,1кг, в т.ч. 2шт по 0,89м)</t>
  </si>
  <si>
    <t xml:space="preserve">Лист 2,0мм -  0,8х2м(43,9кг маркированы) - 3шт </t>
  </si>
  <si>
    <t xml:space="preserve">Проволока  2,0 мм    -  68кг - 1 бухта   </t>
  </si>
  <si>
    <t xml:space="preserve">Проволока  2,0 мм    -  30,4кг - 1 бухта </t>
  </si>
  <si>
    <r>
      <t xml:space="preserve">Проволока  2,0 мм    -   40кг - 1  бухта, бирка      </t>
    </r>
    <r>
      <rPr>
        <b/>
        <sz val="10"/>
        <rFont val="Arial"/>
        <family val="2"/>
        <charset val="204"/>
      </rPr>
      <t>ЭП-647</t>
    </r>
  </si>
  <si>
    <r>
      <t xml:space="preserve">Проволока  2,0 мм    -  39кг  -  1 бухта     </t>
    </r>
    <r>
      <rPr>
        <b/>
        <sz val="10"/>
        <rFont val="Arial"/>
        <family val="2"/>
        <charset val="204"/>
      </rPr>
      <t xml:space="preserve">   ЭИ-395</t>
    </r>
  </si>
  <si>
    <t xml:space="preserve">Проволока  1,6 мм    -  5,3; 4кг по 1-й бухте   </t>
  </si>
  <si>
    <r>
      <t xml:space="preserve">Проволока  1,5 мм    -  13,6кг - 1  бухта     </t>
    </r>
    <r>
      <rPr>
        <b/>
        <sz val="10"/>
        <rFont val="Arial"/>
        <family val="2"/>
        <charset val="204"/>
      </rPr>
      <t xml:space="preserve">   ЭИ-395</t>
    </r>
  </si>
  <si>
    <t>Проволока  1,2 мм    -   23,4кг  - 1  бухта  для сварки!!!!!</t>
  </si>
  <si>
    <t xml:space="preserve">Проволока  1,2 мм    -   10,9кг  - 1  бухта    </t>
  </si>
  <si>
    <t>Проволока  2,5 мм    -  9,6кг - 1 бухта,    мягкая</t>
  </si>
  <si>
    <t>Труба  80 х 9-10 -  5,44м(87,5кг) - 1шт</t>
  </si>
  <si>
    <t>Труба  80 х 9,0 -  4м(66кг) - 1шт</t>
  </si>
  <si>
    <t>Труба  54 х 14,5-15 -  4,34м(61,5кг) - 1шт</t>
  </si>
  <si>
    <t>Лента медная рулон  0,1х300мм - 18,1кг - 1шт   птв</t>
  </si>
  <si>
    <t xml:space="preserve">Лист  4,0 мм  - 0,81х1,15м(29,1кг) - 1шт  холоднокатаный; 1 сторона в пленке                     </t>
  </si>
  <si>
    <t xml:space="preserve">Круг  43 мм -  0,33м(3,9кг) - 1шт   </t>
  </si>
  <si>
    <t xml:space="preserve">Круг  200 мм -  0,24м(33,8кг маркировка); 0,21м(29,8кг) по 1шт        </t>
  </si>
  <si>
    <t xml:space="preserve">Круг  250 мм -  0,14м(31,5кг); 0,145м(32кг) по 1шт        </t>
  </si>
  <si>
    <t>Лента бронзовая - 0,35х200мм  -  1 бухта  24,1кг   твердая</t>
  </si>
  <si>
    <r>
      <t xml:space="preserve">Труба  28 х 2,5  -   2,93+3м=9,4кг; 2,91м(4,8кг)        </t>
    </r>
    <r>
      <rPr>
        <b/>
        <sz val="10"/>
        <rFont val="Arial"/>
        <family val="2"/>
        <charset val="204"/>
      </rPr>
      <t>316-Ti</t>
    </r>
  </si>
  <si>
    <t>Лист латунный 2,5 мм - 0,6х1,5м(17,8+18кг мягкие); 0,7х1,4м(20,2кг); 0,6х0,79м(9,6кг мягкий) по 1шт</t>
  </si>
  <si>
    <t>Проволока   1,4мм  -  10,1кг - 1 бухта</t>
  </si>
  <si>
    <t>Проволока   2,5мм  -  0,6; 0,9кг  по 1-й  бухте</t>
  </si>
  <si>
    <t xml:space="preserve">Полоса        0,5х10мм    бухты 2,2; 1,8; 1,6; 1,6кг по 1шт   </t>
  </si>
  <si>
    <t xml:space="preserve">Полоса        1,5х10мм    бухта  5,2кг - 1шт   </t>
  </si>
  <si>
    <t>Полоса        1,5х20мм   -  24,2кг; 12,2кг; 24,5; 11,2кг; 24,5кг; 14,6кг; 19,7кг по 1 бухте</t>
  </si>
  <si>
    <t>Проволока   1,6мм   -  7,8; 8кг; 1,1кг; 3,1кг  по 1-й бухте</t>
  </si>
  <si>
    <t>Проволока   3,5мм    -   3,5кг; 2кг; 4,8кг  по 1-й бухте</t>
  </si>
  <si>
    <t>Проволока   5,0 мм  -  13кг; 1,4кг по 1 бухте</t>
  </si>
  <si>
    <r>
      <rPr>
        <b/>
        <sz val="8"/>
        <rFont val="Arial"/>
        <family val="2"/>
        <charset val="204"/>
      </rPr>
      <t xml:space="preserve">Шестигранник №12 - 2,15-2,5м(23,3кг); 0,8-1,7м(53,5кг)       </t>
    </r>
    <r>
      <rPr>
        <b/>
        <sz val="10"/>
        <rFont val="Arial"/>
        <family val="2"/>
        <charset val="204"/>
      </rPr>
      <t>ЭП-33вд</t>
    </r>
  </si>
  <si>
    <t xml:space="preserve">Труба  16 х 2,0 - 4,8-5,9м(отрезали куски 1; 2 и 2,5м) </t>
  </si>
  <si>
    <t>Труба  19 х 1,7  -  5,5-5,77м(6,2кг отрезали 1 и 2м)</t>
  </si>
  <si>
    <t xml:space="preserve">Квадрат  70х70мм -  0,75м(27,9кг) - 1шт   </t>
  </si>
  <si>
    <t>Труба  18 х 3,5  -  2,96м(3,5кг) - 1шт</t>
  </si>
  <si>
    <t>Круг  25 мм -  2,2м(4,8кг) - 1шт</t>
  </si>
  <si>
    <t>Круг  24,5-25 мм  -    1,53м(3,2кг) - 1шт                       маркирован</t>
  </si>
  <si>
    <t>Лента латунная 0,5х300 мм - 5,2кг - 1 рулон   птв</t>
  </si>
  <si>
    <t>Полоса        1,2х15мм   - 9,8кг; 12,1кг по 1-й  бухте</t>
  </si>
  <si>
    <r>
      <t xml:space="preserve">Круг  2 мм  -  1,53м      калиброваный     </t>
    </r>
    <r>
      <rPr>
        <b/>
        <sz val="10"/>
        <rFont val="Arial"/>
        <family val="2"/>
        <charset val="204"/>
      </rPr>
      <t>ЭИ-474</t>
    </r>
  </si>
  <si>
    <t xml:space="preserve">Квадрат  90х90мм -  1,51м(95,5кг н\о); 1,6м(101кг н\о) по 1шт   </t>
  </si>
  <si>
    <t xml:space="preserve">12Х18Н10  </t>
  </si>
  <si>
    <t>Лист магний 1,5мм - 1х2м - 1шт, маркировка</t>
  </si>
  <si>
    <t>Проволока   ф 3 мм  - 4,4кг - 1 бухта     птв</t>
  </si>
  <si>
    <t>Круг  12 мм - 3,15м(9,5кг) - 3шт; 0,75м(0,8кг) - 1шт; 1,22м(1,2кг в г2)</t>
  </si>
  <si>
    <t>Лист латунный 2,0 мм - 0,6х1,5м(14,7кг) - 1шт    твердый</t>
  </si>
  <si>
    <t>Круг   45 мм -   0,125м(1,5кг) - 1шт</t>
  </si>
  <si>
    <t>Круг   44 мм -   0,28м(3,7кг) - 1шт</t>
  </si>
  <si>
    <t>Круг   40 мм - 0,19+0,21+0,32м=7,7кг; 0,22м(2,3кг); 0,16м(1,8кг)  по 1шт</t>
  </si>
  <si>
    <t>Круг   38 мм - 0,23м(2,4кг); 0,16м(1,7кг) по 1шт</t>
  </si>
  <si>
    <t>Труба  28 х 1,5  -  6м(5,8кг) - 1шт</t>
  </si>
  <si>
    <t xml:space="preserve">Труба  28 х 2,0 - 2,41; 2,46; 3,4; 3,41м по 1шт </t>
  </si>
  <si>
    <t xml:space="preserve">Труба  28 х 2,0 -  2,11+2,47м=5,9кг                                                  15,6кг - найти!!!! </t>
  </si>
  <si>
    <t>Лист латунный 4,0 мм - 0,59х1,48м(28,6кг); 0,59х1,5м(29,5+29,5) по 1шт    твердые</t>
  </si>
  <si>
    <t>Круг  110 мм -  0,19м(14,9+14,8кг); 0,2м(15+14,6кг); 0,18м(13,4кг) по 1шт</t>
  </si>
  <si>
    <t xml:space="preserve">Круг  16 мм -  2,3-2,9м(52,7кг, в т.ч. 1шт 1,68м)            </t>
  </si>
  <si>
    <t xml:space="preserve">Шина медная - 2,5х52мм  -  2,35м - 1шт  </t>
  </si>
  <si>
    <t xml:space="preserve">Лента бронзовая - 0,1х200мм  -  1 бухта   21,8кг    </t>
  </si>
  <si>
    <t>Лента бронзовая - 0,25х250мм  -  1 бухта  18,6кг   твердая</t>
  </si>
  <si>
    <t>Лента бронзовая - 0,75х200мм  -  1 бухта  42,7кг   твердая</t>
  </si>
  <si>
    <t>Лист бронзовый 8мм - 100х480-490мм  -  11шт</t>
  </si>
  <si>
    <r>
      <t xml:space="preserve">Труба  25 х 3,5 - 3,7-4,1м(116,6кг отрезали куски  1; 1; 1,3м); 3,3-3,5м(55,4кг); 6,34м(11,3кг); 3,21+3,24+3,31м=19,5кг; 2,57+3,3м(4шт)=29кг     </t>
    </r>
    <r>
      <rPr>
        <b/>
        <sz val="10"/>
        <rFont val="Arial"/>
        <family val="2"/>
        <charset val="204"/>
      </rPr>
      <t>316L</t>
    </r>
  </si>
  <si>
    <t>Круг  5"+" мм -  2,2м(6,8кг) н\о</t>
  </si>
  <si>
    <t>Труба  52 х 3,0   - 2,35+2,74м=16,4кг; 2,44+3,42м=19,4кг;  2м(6,6кг) - 1шт</t>
  </si>
  <si>
    <t>Труба  51 х 3,0  -  1,7; 2,75; 2,65; 2,86; 2,84; 3,43; 2,85; 4,16м по 1шт</t>
  </si>
  <si>
    <t xml:space="preserve">Круг  62(60) мм - 0,64м(14,8кг) - 1шт    </t>
  </si>
  <si>
    <t>Труба  50 х 3,0  - 1,44м(4,9кг) - 1шт</t>
  </si>
  <si>
    <t xml:space="preserve">Полоса  8х140мм  - 2,5м(21,5кг маркирована) - 1шт                    </t>
  </si>
  <si>
    <t xml:space="preserve">Круг  85 мм -   80мм(по 3,6кг н\о) - 2шт </t>
  </si>
  <si>
    <t xml:space="preserve">Круг  28мм  -  1,73м(8,4кг); 1,27м(6,2кг, н\о) по 1шт                      1,45-1,85м(7кг найти!!!!!)                           </t>
  </si>
  <si>
    <r>
      <t xml:space="preserve">Лист  100 мм -  0,19х0,19м(по 10,8кг) - 5шт    </t>
    </r>
    <r>
      <rPr>
        <b/>
        <sz val="12"/>
        <rFont val="Arial"/>
        <family val="2"/>
        <charset val="204"/>
      </rPr>
      <t xml:space="preserve"> </t>
    </r>
  </si>
  <si>
    <t>Проволока   ф 0,5мм  - 10,2; 8,8кг  по 1-й бухте</t>
  </si>
  <si>
    <t>Труба  45 х 3,0  -  4,47м(14кг) - 1шт</t>
  </si>
  <si>
    <t>Труба  28 х 2,5  -   3,05+2,9м=8,8кг; 2,86+1,66м=6,7кг</t>
  </si>
  <si>
    <t>Труба  34 х 3,0  -   1,01м(2,3кг) - 1шт</t>
  </si>
  <si>
    <t xml:space="preserve">Круг   15 мм  -  3,63-3,7м(19,6кг, от 1шт отрезали 1,35м) </t>
  </si>
  <si>
    <t xml:space="preserve">Лента бронзовая - 0,2х230мм -   бухты 50,2кг; 12,3кг; 30,4кг  по 1шт    </t>
  </si>
  <si>
    <t xml:space="preserve">Круг   28 мм  -  0,29+0,3м=2,7кг </t>
  </si>
  <si>
    <t>Лист бронзовый 3мм - 0,3м(0,33)х0,99м - 1шт</t>
  </si>
  <si>
    <t xml:space="preserve">Лист  20 мм - 0,45х0,5м(36,6кг); 0,47х0,5м(37,7кг) по 1шт                  </t>
  </si>
  <si>
    <t>Труба  16 х 1,5  -  2,44+2,89+2,82м=2,4кг</t>
  </si>
  <si>
    <t>Труба  16 х 1,0  -  4,37м(0,8кг) - 1шт</t>
  </si>
  <si>
    <t xml:space="preserve">Круг  51 мм  -  2,28м(36,1кг клеймо) - 1шт   </t>
  </si>
  <si>
    <t>Труба  42 х 2,5   -  2,83м(6,9кг) - 1шт</t>
  </si>
  <si>
    <t>Труба  34 х 3,5   - 2,95+3,25м=15,9кг     316-L</t>
  </si>
  <si>
    <t>Круг  50 мм - 2,56м(22,3кг) - 1шт</t>
  </si>
  <si>
    <t>Труба  17 х 2,0   - 2,09м(1,5кг) - 1шт</t>
  </si>
  <si>
    <t>Труба  32 х 5,0  -  1,41+1,41м=9,3кг</t>
  </si>
  <si>
    <t>Труба  38 х 5,5  -  1,94+2,43м=18,3кг</t>
  </si>
  <si>
    <t>Труба  70 х 5,0  -  1,58м(12,9кг) - 1шт</t>
  </si>
  <si>
    <t>Труба  95 х 14-14,5  -  1,21м(33,6кг) - 1шт</t>
  </si>
  <si>
    <t>Лист  3 мм  -   0,3х1,5м(10,8кг) - 1шт</t>
  </si>
  <si>
    <t xml:space="preserve">Лист  25 мм  -   0,4х0,5м(39,7кг); 0,4х0,59м(47,4кг) по 1шт  </t>
  </si>
  <si>
    <t>Лист  30мм -  0,28х0,44м(31кг) - 1шт</t>
  </si>
  <si>
    <t xml:space="preserve">Круг   110(109) мм - 0,35м(по 25кг) - 2шт; 0,17м(12кг); 70мм(4,2кг) </t>
  </si>
  <si>
    <r>
      <t xml:space="preserve">Втулка ф140мм стенка 45мм - 0,35м(36,1кг) - 1шт    </t>
    </r>
    <r>
      <rPr>
        <b/>
        <sz val="12"/>
        <rFont val="Arial"/>
        <family val="2"/>
        <charset val="204"/>
      </rPr>
      <t xml:space="preserve"> </t>
    </r>
  </si>
  <si>
    <t>Труба  76 х 3,0  - 0,76м(4,3кг) - 1шт</t>
  </si>
  <si>
    <t xml:space="preserve">Проволока  3,0  мм    -  6кг - 1 бухта   </t>
  </si>
  <si>
    <t>Лента медная рулон  0,08х240мм - 15,9кг - 1шт   птв</t>
  </si>
  <si>
    <t xml:space="preserve">Круг   60 мм  - 0,26м(6,2кг) - 1шт </t>
  </si>
  <si>
    <t>Круг   22 мм  -  0,76м(7,1кг) - 3шт</t>
  </si>
  <si>
    <t>Лента бронзовая - 0,3х250мм  -  2,7кг - 1 бухта    твердая</t>
  </si>
  <si>
    <t xml:space="preserve">Круг   140 мм -   40мм(6,3кг); 45мм(6,9кг) по 1шт  </t>
  </si>
  <si>
    <t xml:space="preserve">Лист бронзовый 1,5мм - 300х750мм(2,4кг) - 1шт      </t>
  </si>
  <si>
    <t>Проволока   ф 2 мм  - 1,2; 4,3; 4,5кг по 1-й бухте     птв</t>
  </si>
  <si>
    <t>Лента латунная 0,03х80 мм - 3кг - 1 катушка</t>
  </si>
  <si>
    <t>Шестигранник №41  - 0,87м(10кг) - 1шт</t>
  </si>
  <si>
    <t xml:space="preserve">Круг  45 мм  -  1,04+0,84м=23,6кг  </t>
  </si>
  <si>
    <t xml:space="preserve">Лист латунный 4,0 мм - 0,59х1,49м(28,6+28,9кг) по 1шт  </t>
  </si>
  <si>
    <t>Круг   50"-" мм -  0,74м(12кг) - 1шт</t>
  </si>
  <si>
    <t>Круг   42 мм -  1,1м(13,3кг) - 1шт</t>
  </si>
  <si>
    <t xml:space="preserve">Круг  30 мм  - 1,29+1,29м=8,1кг </t>
  </si>
  <si>
    <t>Круг  20 мм  - 1,69м(2,5кг) - 1шт</t>
  </si>
  <si>
    <t>Круг  19 мм  - 0,99м(1,2кг) - 1шт</t>
  </si>
  <si>
    <t>Труба  14 х 2,5  -  3,2+3,4=2,8кг</t>
  </si>
  <si>
    <t>Труба  61 х 3,5  -  1,3м(3,4кг н\о) - 1шт</t>
  </si>
  <si>
    <t>Труба  56 х 3,5  -  1,13м(2,9кг н\о) - 1шт</t>
  </si>
  <si>
    <t>Круг  10 мм  - 1,06-1,9м(2,7кг)</t>
  </si>
  <si>
    <t>Проволока  3,0  мм    -  25,3кг - 1 бухта   ближе к твердой</t>
  </si>
  <si>
    <r>
      <t xml:space="preserve">Круг  70мм  -   80мм(по 2,5кг) - 7шт  </t>
    </r>
    <r>
      <rPr>
        <b/>
        <sz val="10"/>
        <rFont val="Arial"/>
        <family val="2"/>
        <charset val="204"/>
      </rPr>
      <t xml:space="preserve"> </t>
    </r>
  </si>
  <si>
    <t>Труба 48х4,0 -  2,62м(4кг) - 1шт       цветовая маркировка</t>
  </si>
  <si>
    <t>Лист медный 5,0 мм - 0,77х1,15м(38,2; 38,2; 38,9кг) по 1шт   мягкие</t>
  </si>
  <si>
    <t xml:space="preserve">Круг  300 мм  -  24мм(14,3кг) - 1шт                           </t>
  </si>
  <si>
    <t xml:space="preserve">Лист латунный 4,0 мм - 0,59х1,48м(29,1; 29,6; 29,3кг); 0,59х1,5м(29,5) по 1шт </t>
  </si>
  <si>
    <t xml:space="preserve">Круг   40"+" мм  -   0,36-0,42м(124,3кг) </t>
  </si>
  <si>
    <r>
      <t xml:space="preserve">Круг  70 мм  -  1,13м(34,7кг) - 1шт              </t>
    </r>
    <r>
      <rPr>
        <b/>
        <sz val="10"/>
        <rFont val="Arial"/>
        <family val="2"/>
        <charset val="204"/>
      </rPr>
      <t>316-L</t>
    </r>
  </si>
  <si>
    <t>Лента латунная 0,4х180 мм - 3,7кг - 1 рулон   птв</t>
  </si>
  <si>
    <t xml:space="preserve">Круг  36 мм -  0,22м(7кг) - 4шт </t>
  </si>
  <si>
    <t>Круг   16 мм  -  0,38-0,4м(31,4кг)</t>
  </si>
  <si>
    <r>
      <t xml:space="preserve">Труба  159 х 17-18   -  2,9м - 1шт          </t>
    </r>
    <r>
      <rPr>
        <b/>
        <sz val="10"/>
        <rFont val="Arial"/>
        <family val="2"/>
        <charset val="204"/>
      </rPr>
      <t>склад 6</t>
    </r>
  </si>
  <si>
    <r>
      <t xml:space="preserve">Труба  133 х 14-15   -  2,39м - 1шт          </t>
    </r>
    <r>
      <rPr>
        <b/>
        <sz val="10"/>
        <rFont val="Arial"/>
        <family val="2"/>
        <charset val="204"/>
      </rPr>
      <t>склад 6</t>
    </r>
  </si>
  <si>
    <t>Круг   45 мм  -  0,34+0,45+3,1м=16,1кг</t>
  </si>
  <si>
    <t>Круг  45 мм  -  0,58м(8,1кг) - 1шт</t>
  </si>
  <si>
    <t>Круг магний ф90мм - 1,1м(12,4кг) - 1шт,  клеймо</t>
  </si>
  <si>
    <t>МА-2</t>
  </si>
  <si>
    <t xml:space="preserve">Круг   30 мм -  0,81м(4,8кг) - 1шт  </t>
  </si>
  <si>
    <t>Труба  126 х 27-29  -  0,17м(12,3кг) - 1шт        316-L</t>
  </si>
  <si>
    <t>Труба  56 х 3,0  -  2,5-4м(90кг); 2,47м(10кг)</t>
  </si>
  <si>
    <t>Труба  50 х 7-7,5 -  0,44-0,67м</t>
  </si>
  <si>
    <t>Труба  50 х 9-9,5 -  0,43-0,53м</t>
  </si>
  <si>
    <t>Труба  48 х 7,0 -  0,84м(6кг) - 1шт</t>
  </si>
  <si>
    <t>к3</t>
  </si>
  <si>
    <t>Труба  28 х 3,5   - 3,81м(7,9кг); 3,1+3,17=13,3кг</t>
  </si>
  <si>
    <t>Труба  36 х 3,0 - 3м(7,3кг) - 1шт</t>
  </si>
  <si>
    <t>Труба  108 х 6-6,5  -  1,06м(15,9кг клеймо) - 1шт</t>
  </si>
  <si>
    <r>
      <t xml:space="preserve">Труба  95 х 10-10,5  -  1,37м(28кг) - 1шт        </t>
    </r>
    <r>
      <rPr>
        <b/>
        <sz val="10"/>
        <rFont val="Arial"/>
        <family val="2"/>
        <charset val="204"/>
      </rPr>
      <t>ЭИ-702</t>
    </r>
  </si>
  <si>
    <r>
      <t xml:space="preserve">Труба  25 х 1,5   -  1,59+1,71м=2,9кг       </t>
    </r>
    <r>
      <rPr>
        <b/>
        <sz val="10"/>
        <rFont val="Arial"/>
        <family val="2"/>
        <charset val="204"/>
      </rPr>
      <t>ЭИ-702</t>
    </r>
  </si>
  <si>
    <t>Труба  95 х 10-10,5  -  1,37м(28кг) - 1шт        ЭИ-702</t>
  </si>
  <si>
    <t>Труба  25 х 1,5   -  1,59+1,71м=2,9кг          ЭИ-702</t>
  </si>
  <si>
    <t xml:space="preserve">Круг  130 мм  -  0,52м(55кг) - 1шт </t>
  </si>
  <si>
    <t>Труба  56 х 4,5   -  2,06-2,1м(42,1кг) - 6шт    маркированы</t>
  </si>
  <si>
    <t>Труба  56 х 2,0   -  2,44+1,9+1,98м=10,2кг   маркированы</t>
  </si>
  <si>
    <t>к1</t>
  </si>
  <si>
    <t xml:space="preserve">Труба  89 х 8,0  -   2,31м(37кг) - 1шт </t>
  </si>
  <si>
    <t xml:space="preserve">Труба  245 х 19-20   -  0,51м(57,1кг); 0,72м(79,5кг) по 1шт        </t>
  </si>
  <si>
    <t>Круг   90(89) мм - 0,65м(34кг) - 1шт</t>
  </si>
  <si>
    <t xml:space="preserve">Лента бронзовая - 0,8х250мм  -  1 бухта    16,6кг   твердая </t>
  </si>
  <si>
    <t>Лента бронзовая - 0,8х270мм  -  1 бухта    6,4кг    мягкая</t>
  </si>
  <si>
    <t>Труба  45 х 5,0  - 1,81м(9кг); 1,28м(6,3кг на С4)  по 1шт</t>
  </si>
  <si>
    <t>Лист латунный 5,0 мм - 0,6х1,5м(35; 35; 34,8; 36,2кг); 0,59х1,53м(35,6кг); 0,36х1,23м(17,8кг); 0,6х1м(24,1кг) по 1шт</t>
  </si>
  <si>
    <t xml:space="preserve">Труба  38 х 2,0   -  2,95-3,3м (62,3кг от 1шт отрезали 1м) </t>
  </si>
  <si>
    <r>
      <t xml:space="preserve">Труба  25 х 3,0   -  6,96м - 1шт           </t>
    </r>
    <r>
      <rPr>
        <b/>
        <sz val="10"/>
        <rFont val="Arial"/>
        <family val="2"/>
        <charset val="204"/>
      </rPr>
      <t xml:space="preserve"> 316-Ti</t>
    </r>
  </si>
  <si>
    <t xml:space="preserve">Труба  32 х 3"+"  -  1,85м(2,5кг) - 1шт  </t>
  </si>
  <si>
    <r>
      <t xml:space="preserve">Труба  30 х 5,0  -  0,66м(2кг) - 1шт               </t>
    </r>
    <r>
      <rPr>
        <b/>
        <sz val="10"/>
        <rFont val="Arial"/>
        <family val="2"/>
        <charset val="204"/>
      </rPr>
      <t>316-Ti</t>
    </r>
  </si>
  <si>
    <t xml:space="preserve">Труба 35х6,0 - 2,6-2,63м - 3шт </t>
  </si>
  <si>
    <r>
      <t xml:space="preserve">Лист  11,5 мм  - 1,41х3,47м(447кг); 1,42х3,73м(468кг) по  1шт            </t>
    </r>
    <r>
      <rPr>
        <b/>
        <sz val="10"/>
        <rFont val="Arial"/>
        <family val="2"/>
        <charset val="204"/>
      </rPr>
      <t>склад 6</t>
    </r>
    <r>
      <rPr>
        <b/>
        <sz val="8.3000000000000007"/>
        <rFont val="Arial"/>
        <family val="2"/>
        <charset val="204"/>
      </rPr>
      <t xml:space="preserve">    режем нужный размер!!!</t>
    </r>
  </si>
  <si>
    <t>Труба  35 х 1,5  - 2,25м(3кг) - 1шт</t>
  </si>
  <si>
    <r>
      <t xml:space="preserve">Круг  22(21) мм   -  2,22м(26,7кг н\о) - 4шт                        </t>
    </r>
    <r>
      <rPr>
        <b/>
        <sz val="10"/>
        <rFont val="Arial"/>
        <family val="2"/>
        <charset val="204"/>
      </rPr>
      <t xml:space="preserve">ЭИ-437 </t>
    </r>
    <r>
      <rPr>
        <b/>
        <sz val="8.3000000000000007"/>
        <rFont val="Arial"/>
        <family val="2"/>
        <charset val="204"/>
      </rPr>
      <t xml:space="preserve">                        </t>
    </r>
  </si>
  <si>
    <t>Круг  10 мм  - 3,6-3,63м(15,5кг)</t>
  </si>
  <si>
    <t>Круг  70 мм  - 1,48м(26кг клеймо) - 1шт</t>
  </si>
  <si>
    <r>
      <t xml:space="preserve">Круг  105 мм   -  0,325м(25кг) - 1шт                        </t>
    </r>
    <r>
      <rPr>
        <b/>
        <sz val="10"/>
        <rFont val="Arial"/>
        <family val="2"/>
        <charset val="204"/>
      </rPr>
      <t>ЭИ-868</t>
    </r>
    <r>
      <rPr>
        <b/>
        <sz val="8.3000000000000007"/>
        <rFont val="Arial"/>
        <family val="2"/>
        <charset val="204"/>
      </rPr>
      <t xml:space="preserve">                        </t>
    </r>
  </si>
  <si>
    <t xml:space="preserve">Круг  75 мм  -  0,5м(10кг) - 1шт  </t>
  </si>
  <si>
    <t xml:space="preserve">Круг  80 мм  -  0,35м(8,4кг клеймо) - 1шт  </t>
  </si>
  <si>
    <t>Круг  80(79) мм  - 0,65м(15кг точеный) - 1шт</t>
  </si>
  <si>
    <t>Круг  80 мм  - 0,51м(12,2кг) - 1шт</t>
  </si>
  <si>
    <t xml:space="preserve">Круг  33 мм  по  275мм(26,3кг)  </t>
  </si>
  <si>
    <t xml:space="preserve">Круг  20 мм  -  0,4-0,5м(3,9кг)  </t>
  </si>
  <si>
    <t xml:space="preserve">Труба  160(159) х 9-11  -  0,69м(14,7кг) - 1шт   </t>
  </si>
  <si>
    <r>
      <t xml:space="preserve">Лист  19 мм  -   1,1х1,1м(183кг) - 1шт     </t>
    </r>
    <r>
      <rPr>
        <b/>
        <sz val="10"/>
        <rFont val="Arial"/>
        <family val="2"/>
        <charset val="204"/>
      </rPr>
      <t xml:space="preserve">  склад 6</t>
    </r>
    <r>
      <rPr>
        <b/>
        <sz val="8"/>
        <rFont val="Arial"/>
        <family val="2"/>
        <charset val="204"/>
      </rPr>
      <t xml:space="preserve">     режем нужный размер!!!</t>
    </r>
  </si>
  <si>
    <t xml:space="preserve">Труба  22 х 3,5   -  0,94-1,28м </t>
  </si>
  <si>
    <t>Труба  108 х 14-14,5  -  2,3м(74,3кг); 1,96м(63,9кг) - 1шт</t>
  </si>
  <si>
    <t xml:space="preserve">Круг  80 мм    -  0,3м(7кг клеймо) - 1шт   </t>
  </si>
  <si>
    <t xml:space="preserve">Круг  80 мм    -  0,9м(20,6кг клеймо) - 1шт   </t>
  </si>
  <si>
    <t xml:space="preserve">Круг  50 мм    -  0,68м(6кг) - 1шт   </t>
  </si>
  <si>
    <t>Круг  55 мм    -  0,91м(10,9+10,2кг) по 1шт   кованый, указан минимальный размер!!!!</t>
  </si>
  <si>
    <t>Круг  57 мм    -  0,5м(6,6кг) - 1шт   кованый, указан минимальный размер!!!!</t>
  </si>
  <si>
    <t xml:space="preserve">Труба  76 х 8,0  - 0,93м(6,8кг н\о) -  1шт   </t>
  </si>
  <si>
    <r>
      <t xml:space="preserve">Проволока  2,5 мм  -  14,2кг; 9,2кг по 1-й  бухте            </t>
    </r>
    <r>
      <rPr>
        <b/>
        <sz val="10"/>
        <rFont val="Arial"/>
        <family val="2"/>
        <charset val="204"/>
      </rPr>
      <t>ЭИ-435</t>
    </r>
  </si>
  <si>
    <t>Проволока   2,5мм  -  2,3кг; 9,6кг по 1-й бухте</t>
  </si>
  <si>
    <r>
      <t xml:space="preserve">Проволока  3,0  мм    -  4,3кг - 1 бухта    </t>
    </r>
    <r>
      <rPr>
        <b/>
        <sz val="10"/>
        <rFont val="Arial"/>
        <family val="2"/>
        <charset val="204"/>
      </rPr>
      <t>эп-56</t>
    </r>
  </si>
  <si>
    <t>Проволока  1,6 мм    -  6,2кг - 1 бухте   твердая</t>
  </si>
  <si>
    <t>Проволока   1,35мм    -   1,6кг  -  1 бухта</t>
  </si>
  <si>
    <r>
      <t xml:space="preserve">Круг  16 мм -  1,32-1,9м                             </t>
    </r>
    <r>
      <rPr>
        <b/>
        <sz val="10"/>
        <rFont val="Arial"/>
        <family val="2"/>
        <charset val="204"/>
      </rPr>
      <t xml:space="preserve">     ЭП-56   </t>
    </r>
  </si>
  <si>
    <r>
      <t xml:space="preserve">Круг  23"-" мм -  1,3-2м(97,5кг клеймо)     </t>
    </r>
    <r>
      <rPr>
        <b/>
        <sz val="10"/>
        <rFont val="Arial"/>
        <family val="2"/>
        <charset val="204"/>
      </rPr>
      <t xml:space="preserve"> ЭП-56   </t>
    </r>
  </si>
  <si>
    <t xml:space="preserve">Шина медная - 10х40мм - 3,02-3,04м(62,8кг, от 1шт отрезали 0,5м) - 6шт    </t>
  </si>
  <si>
    <t xml:space="preserve">Круг  35 мм  -  0,8+0,9м=14,1кг </t>
  </si>
  <si>
    <t>Лист медный 18 мм -  0,46-0,48х0,66м(50,6кг) - 1шт</t>
  </si>
  <si>
    <t>Шина медная - 10х80мм - 1,88м(13,2кг) - 1шт   мягкая</t>
  </si>
  <si>
    <t>Труба  12х2"-"  -  49,7кг  - 1  бухта</t>
  </si>
  <si>
    <r>
      <t xml:space="preserve">Круг  35 мм  -  0,97м(7кг) - 1шт                                   </t>
    </r>
    <r>
      <rPr>
        <b/>
        <sz val="10"/>
        <rFont val="Arial"/>
        <family val="2"/>
        <charset val="204"/>
      </rPr>
      <t xml:space="preserve"> ЭИ-654</t>
    </r>
  </si>
  <si>
    <r>
      <t xml:space="preserve">Круг  35 мм -  1,98; 1,95; 1,62м; 2,21м(16,6кг)  по 1шт                   </t>
    </r>
    <r>
      <rPr>
        <b/>
        <sz val="10"/>
        <rFont val="Arial"/>
        <family val="2"/>
        <charset val="204"/>
      </rPr>
      <t xml:space="preserve">  ЭИ-961ш</t>
    </r>
  </si>
  <si>
    <t>Круг  40 мм  -  1,5м(8,5кг); 1,88м(10,8кг) по 1шт</t>
  </si>
  <si>
    <t>Круг  24 мм - 1-4,04м(65,3кг); 0,65-1,07м(64,3кг)    н\о и светлые</t>
  </si>
  <si>
    <t xml:space="preserve">Круг   8 мм - 3-3,1м(89,9кг); 2-3,2м(28кг); 1м(3,4кг) </t>
  </si>
  <si>
    <t>Круг   10 мм - 2,1-3,1м(124,5кг); 1,2-1,65м(9,4кг)                          (найти 4кг!!!!!!)</t>
  </si>
  <si>
    <t xml:space="preserve">Лист 4мм -  0,48х0,7м(6,4кг) - 1шт    </t>
  </si>
  <si>
    <t>Круг  32 мм - 0,28м - 6шт; 0,41м; 0,52м(3,4кг н\о) по 1шт</t>
  </si>
  <si>
    <t>Круг  50 мм -  2,13; 1,98; 2м по 1шт</t>
  </si>
  <si>
    <t xml:space="preserve">Круг  80 мм -  0,76м(30,5кг); 0,59м(23,3кг); 0,29м(11,8кг); 0,27м(10,7кг)  по 1шт    </t>
  </si>
  <si>
    <t>Круг  40 мм -  1,01м(10кг); 1,1м(10,9кг) по 1шт                              0,74м(7,6кг найти!!!)</t>
  </si>
  <si>
    <t>Труба  83 х 4,5-5  -  2,36+2,54м=46,3кг</t>
  </si>
  <si>
    <t>к5</t>
  </si>
  <si>
    <t>Труба  51 х 3,0   - 1,69; 2,78; 2,35; 4,6м по 1шт</t>
  </si>
  <si>
    <t xml:space="preserve">Труба  52 х 3,0   - 1,56; 2,8; 2,8м по 1шт </t>
  </si>
  <si>
    <t>Круг  18 мм  - 1,54м(1кг) - 1шт</t>
  </si>
  <si>
    <t>Лист  4,5 мм  -  0,3х1м  - 2шт</t>
  </si>
  <si>
    <t>Круг  35 мм  -  1,12-1,36м     маркированы</t>
  </si>
  <si>
    <t xml:space="preserve">Лист латунный 6,0 мм - 0,6х1,5м(44кг); 0,37х1,13м(21,3кг) по 1шт  </t>
  </si>
  <si>
    <t>Проволока   ф 4,0 мм -  30,4; 30,1кг; 7,8; 20,2кг; 24,3; 29,8кг по 1-й бухте   бирки</t>
  </si>
  <si>
    <t>Труба 42х2,0 -  3,3м - 6шт; 2,9м - 1шт   клеймо</t>
  </si>
  <si>
    <t>Труба  57 х 4,0  - 3,4м(17,9кг); 3,09м(16кг) по 1шт</t>
  </si>
  <si>
    <r>
      <t xml:space="preserve">Круг  5 мм   -  1,8-2м(58,5кг)         </t>
    </r>
    <r>
      <rPr>
        <b/>
        <sz val="10"/>
        <rFont val="Arial"/>
        <family val="2"/>
        <charset val="204"/>
      </rPr>
      <t xml:space="preserve">   ЭИ-395</t>
    </r>
  </si>
  <si>
    <r>
      <t>Труба  76 х 4,5-5  -  1,99м(16,1кг) - 1шт</t>
    </r>
    <r>
      <rPr>
        <b/>
        <sz val="10"/>
        <rFont val="Arial"/>
        <family val="2"/>
        <charset val="204"/>
      </rPr>
      <t xml:space="preserve">  </t>
    </r>
  </si>
  <si>
    <t>Труба  57 х 2,5  -  2,79м(9,8кг) - 1шт</t>
  </si>
  <si>
    <t xml:space="preserve">Труба  45 х 12-15 -  0,4-0,54м </t>
  </si>
  <si>
    <t xml:space="preserve">Труба  57 х 6,0 -  1,26м(9,6кг) </t>
  </si>
  <si>
    <t>Труба  42 х 4,5  -  2,96м(12,5кг) - 1шт</t>
  </si>
  <si>
    <t>Труба  38 х 2,0  -  2,57м(4,7кг) - 1шт</t>
  </si>
  <si>
    <t>Труба  40 х 4,0  -  1,65м(5,5кг) - 1шт</t>
  </si>
  <si>
    <t>Труба  30 х 2,5  -  0,99м(1,5кг) - 1шт</t>
  </si>
  <si>
    <t>Труба  20 х 3,5  -  1,05м(1,4кг) - 1шт</t>
  </si>
  <si>
    <t>Лист  14"+" мм   -  0,4х0,7м(32,6кг) - 1шт</t>
  </si>
  <si>
    <t>Круг  55 мм -   1,62м(30,2кг клеймо) - 1шт</t>
  </si>
  <si>
    <t>Лист  14 мм   -  0,59х0,8м(53,9кг) - 1шт</t>
  </si>
  <si>
    <t>Проволока  4,0  мм    -  7,4кг  - 1  бухта    жесткая</t>
  </si>
  <si>
    <t>Труба  54 х 4-4,5  -  1,9м(5,5кг) - 1шт</t>
  </si>
  <si>
    <t>Труба  70 х 9,0  -  1,14м(9кг) - 1шт</t>
  </si>
  <si>
    <t>Труба  27 х 5,0  -  1,89м(2,7кг) - 1шт</t>
  </si>
  <si>
    <t xml:space="preserve">Труба  38 х 3,0  -  5,07м(12,1кг); 2,95-3,25м(29кг от 1шт резали 1м); 2,4-2,95м(11,1кг); 1,77м(4,6кг); 1,34-1,74м(14,1кг); 1,68м(4,3кг); 1,9м(5,2кг); 2,41м(6+6,6кг); 1,95м(5,1кг) </t>
  </si>
  <si>
    <r>
      <t xml:space="preserve">Труба  38 х 3,0  -  2,44м(6,6кг) - 1шт               </t>
    </r>
    <r>
      <rPr>
        <b/>
        <sz val="10"/>
        <rFont val="Arial"/>
        <family val="2"/>
        <charset val="204"/>
      </rPr>
      <t>316-Ti</t>
    </r>
  </si>
  <si>
    <t>Труба  22 х 3,5  -  2-3м(130кг, в т.ч. 1шт 3,15м)</t>
  </si>
  <si>
    <t xml:space="preserve">Труба  21 х 3,0 - 2,87-3,58м </t>
  </si>
  <si>
    <t>Проволока  4,0  мм    -  112кг; 16кг; 28,6кг  по  1-й бухте</t>
  </si>
  <si>
    <t>Проволока  5,0 мм - 28,7+14,6кг по 1-й бухте</t>
  </si>
  <si>
    <t>Х18Н18М4Г9</t>
  </si>
  <si>
    <t>Проволока   2,5мм    -  1,3кг - 1  бухта</t>
  </si>
  <si>
    <t>Проволока  8 мм  - 2,4; 2,3кг по 1 бухте н\о</t>
  </si>
  <si>
    <t xml:space="preserve">Проволока  0,9 мм    -  20; 16,5кг по 1-й  бухте  н\о   </t>
  </si>
  <si>
    <t>Круг  120 мм -  1м(32,5кг) - 1шт</t>
  </si>
  <si>
    <t xml:space="preserve">Труба 145х25  -  2,6м(68,6кг клеймо); 1,09м(29кг клеймо в Г3) по 1шт  </t>
  </si>
  <si>
    <t xml:space="preserve">Круг   54 мм  - 0,21м(4,5кг) - 1шт </t>
  </si>
  <si>
    <t xml:space="preserve">Круг   58 мм  - 0,37м(8,1кг) - 1шт </t>
  </si>
  <si>
    <t xml:space="preserve">Круг   59 мм  - 0,16м(3,6кг) - 1шт </t>
  </si>
  <si>
    <t>Проволока   ф 6мм   -  11,9кг - 1  бухта   твердая</t>
  </si>
  <si>
    <t>Проволока   ф 6мм   -  30,4кг - 1  бухта   мягкая</t>
  </si>
  <si>
    <t>Труба  14 х 3,0  -  1,18-1,24м</t>
  </si>
  <si>
    <t>Лист  80 мм -  0,41х0,41м(по 36кг) - 5шт</t>
  </si>
  <si>
    <t xml:space="preserve">Шестигранник №22 - 4,35м(14,2кг); 2,02-2,3м(74,2кг); 1,2м(3,9кг); 1,12+1,16м=7,4кг </t>
  </si>
  <si>
    <t>Труба  60 х 3,0  -  0,92м(2кг) - 1шт</t>
  </si>
  <si>
    <t>Труба  32 х 5,0  -  1,14м(2,1кг) - 1шт</t>
  </si>
  <si>
    <t xml:space="preserve">Труба  19 х 2,5  -  1,1-1,66м </t>
  </si>
  <si>
    <t xml:space="preserve">Труба  9 х 1,0  -  1,1-1,7м </t>
  </si>
  <si>
    <t>Проволока  1,0 мм  -  7,7кг - 1 бухта    птв</t>
  </si>
  <si>
    <t xml:space="preserve">Лист 34мм - 0,19х0,25м(7,3кг) - 1шт </t>
  </si>
  <si>
    <t xml:space="preserve">Лист 18мм - 0,2х0,31м(5,1кг) - 1шт </t>
  </si>
  <si>
    <t xml:space="preserve">Лист 32мм - 0,18х0,3м(8кг) - 1шт </t>
  </si>
  <si>
    <t xml:space="preserve">Лист 40мм - 0,16х0,38м(11,3кг) - 1шт </t>
  </si>
  <si>
    <t xml:space="preserve">Лист 25мм - 0,19х0,4м(6,8кг) - 1шт </t>
  </si>
  <si>
    <r>
      <t xml:space="preserve">Шестигранник №19 -  1,26м - 3шт; 1,3м - 1шт                 </t>
    </r>
    <r>
      <rPr>
        <b/>
        <sz val="10"/>
        <rFont val="Arial"/>
        <family val="2"/>
        <charset val="204"/>
      </rPr>
      <t>ЭИ-268</t>
    </r>
  </si>
  <si>
    <t>Проволока  6,0 мм   -  69,3кг - 1 бухта  мягкая</t>
  </si>
  <si>
    <t>Круг  55 мм  -   1,19м(13кг) - 1шт     цвет маркировка</t>
  </si>
  <si>
    <t>Круг  70 мм  -  0,69м(12,3кг); 0,19м(3,4кг) по 1шт клеймо</t>
  </si>
  <si>
    <t>Труба  48 х 5,0  -  0,82м(4,3кг) - 1шт</t>
  </si>
  <si>
    <t>Круг   5 мм  -  2,49+2,56+2,76м=1,2кг</t>
  </si>
  <si>
    <t xml:space="preserve">Припой   ф3мм  - проволока бухта 2,7кг  </t>
  </si>
  <si>
    <t>Шестигранник №24  -  0,67; 0,69м по 1шт</t>
  </si>
  <si>
    <t>Круг  45 мм -  1,09м(13,8кг); 0,73м(9,2кг); 0,9м(11,3кг); 1,06м(13,2кг н\о) по 1шт</t>
  </si>
  <si>
    <t>Круг  42 мм -  1,1м(11,8кг н\о) - 1шт    найти!!!!!</t>
  </si>
  <si>
    <t>Труба  56 х 4,0  -  1,45м(4,4кг н\о) - 1шт</t>
  </si>
  <si>
    <t>Труба  57 х 3,5 - 3,73м(17,9кг); 2,39м(11,2кг); 2,63м(12,7кг) по 1шт</t>
  </si>
  <si>
    <t xml:space="preserve">Труба  38 х 4,5  -  2,25м(8,6кг); 1,61+1,56м=12кг; 2,01м(7,4кг); 1,59+2,34м=14,6кг </t>
  </si>
  <si>
    <t>Труба  38 х 5,0  -  1,95м(8,3кг); 1,94м(8,2кг) по 1шт</t>
  </si>
  <si>
    <t>Труба  32 х 3,5   - 2,76+3,02м=14,6кг; 2,71+3,04м=14,5кг     316-Тi</t>
  </si>
  <si>
    <t>Проволока   0,5мм  - 13,5кг - 1 катушка железная</t>
  </si>
  <si>
    <t>Труба 50х0,8  -  0,81-1,45м(2,3кг)  клеймо</t>
  </si>
  <si>
    <t xml:space="preserve">Круг   28 мм - 2,2м; 1,68; 1,71м; 0,4м(2кг); 0,69м(2,8кг) по 1шт   </t>
  </si>
  <si>
    <t xml:space="preserve">Труба  89 х 3,0  -  2,95-3м - 6шт </t>
  </si>
  <si>
    <t>Проволока   3,2мм    -    2,4; 5,4кг по 1-й  бухте</t>
  </si>
  <si>
    <t>Круг  60 мм  - 0,71; 0,97; 0,99м по 1шт   клеймо   1933Т3</t>
  </si>
  <si>
    <t xml:space="preserve">Труба  32 х 3,5 - 1,14-1,44м(15,4кг); 0,9-1,06м(6,8кг); 0,88м(2,1кг); 0,88м </t>
  </si>
  <si>
    <t xml:space="preserve">Круг  20 мм  -  0,8-0,97м(8,7кг) </t>
  </si>
  <si>
    <t>Труба  70 х 7-7,5  - 2,35; 2,11; 2,28; 2,25; 2,01; 1,58м по 1шт</t>
  </si>
  <si>
    <t>Лист латунный 5,0 мм - 0,28х0,39м(4,7кг) - 1шт</t>
  </si>
  <si>
    <t>Круг   50 мм  - 0,55м(10,1кг) - 1шт</t>
  </si>
  <si>
    <t>Труба  28 х 3,5  -   2,59м(5,3кг); 0,95м(2,2кг); 1,32м(2,6кг); 1,3м(2,8кг); 1,72м(3,7кг)</t>
  </si>
  <si>
    <t>Труба  22 х 2,0   -  2-2,3м(23,2кг от 1шт резали 1м); 2,56м(2,6кг) - 1шт</t>
  </si>
  <si>
    <t>Труба  20 х 3,0   -  1,98+1,98м=5кг; 1,97м(2,5кг) - 1шт</t>
  </si>
  <si>
    <r>
      <t xml:space="preserve">Круг  34 мм   -  2,2м(17,3кг)  -   1шт                           клеймо  </t>
    </r>
    <r>
      <rPr>
        <b/>
        <sz val="10"/>
        <rFont val="Arial"/>
        <family val="2"/>
        <charset val="204"/>
      </rPr>
      <t xml:space="preserve">        ЭИ-827</t>
    </r>
  </si>
  <si>
    <t xml:space="preserve">Круг  30 мм  -  0,5м(2,7кг найти!!!); 1,5м(8,4кг найти!!!!!) </t>
  </si>
  <si>
    <t>Шестигранник №24  -  0,9м(3,7кг) - 1шт</t>
  </si>
  <si>
    <t>Круг   45 мм -  1,13м(15,2кг); 0,19м(5,1кг) - 2шт; 0,5м(6,7кг) - 1шт</t>
  </si>
  <si>
    <t xml:space="preserve">Квадрат  50х50мм - 0,8; 0,86; 0,8; 1,04; 1,15; 1,05м; 0,62м(12,5кг) по 1шт   </t>
  </si>
  <si>
    <r>
      <t xml:space="preserve">Труба  76 х 4,5    -   4,25м(36кг) - 1шт                     </t>
    </r>
    <r>
      <rPr>
        <b/>
        <sz val="10"/>
        <rFont val="Arial"/>
        <family val="2"/>
        <charset val="204"/>
      </rPr>
      <t>ЭИ-943</t>
    </r>
  </si>
  <si>
    <t>Труба  38 х 2,0 - 4,35м(8,3кг) - 1шт</t>
  </si>
  <si>
    <r>
      <t xml:space="preserve">Труба  25 х 2,5  -  3,78м(5кг) - 1шт; 2,12-4,12м(34кг); 3,5м(5кг)      </t>
    </r>
    <r>
      <rPr>
        <b/>
        <sz val="10"/>
        <rFont val="Arial"/>
        <family val="2"/>
        <charset val="204"/>
      </rPr>
      <t>ЭИ-943</t>
    </r>
  </si>
  <si>
    <t>Труба  16 х 1,0 -  2,16м(0,8кг) - 1шт</t>
  </si>
  <si>
    <t>Труба  14 х 1,5   -  3м(0,8кг) - 1шт</t>
  </si>
  <si>
    <t>Труба  10 х 1,5   -  3м(1,1кг) - 2шт</t>
  </si>
  <si>
    <t>Проволока   3,0мм  -  10; 2,5кг; 2; 3кг  по  1-й  бухте</t>
  </si>
  <si>
    <t>Проволока  3,0 мм    -  7,1; 7,6кг; 4,1кг; 23,2кг  по 1-й бухте   твердая</t>
  </si>
  <si>
    <t>Проволока   2,5мм    -  9,3кг - 1  бухта</t>
  </si>
  <si>
    <t>Квадрат  20х20мм -  1,1-1,27м - 6шт</t>
  </si>
  <si>
    <r>
      <rPr>
        <b/>
        <sz val="8"/>
        <rFont val="Arial"/>
        <family val="2"/>
        <charset val="204"/>
      </rPr>
      <t xml:space="preserve">Круг  22 мм - 1,4-1,7м       </t>
    </r>
    <r>
      <rPr>
        <b/>
        <sz val="10"/>
        <rFont val="Arial"/>
        <family val="2"/>
        <charset val="204"/>
      </rPr>
      <t>ЭП-33вд</t>
    </r>
  </si>
  <si>
    <t>Проволока   ф 4,0 мм -  31,2; 31,4; 32,2кг по 1-й бухте   бирки</t>
  </si>
  <si>
    <t xml:space="preserve">Проволока   ф 5,0 мм  -  23,5кг - 1 бухта бирка </t>
  </si>
  <si>
    <t xml:space="preserve">АМГ-6н </t>
  </si>
  <si>
    <t>Лента латунная 0,5х200 мм - 58,5кг; 56кг по 1 рулону   птв</t>
  </si>
  <si>
    <t>Труба  35 х 3,5  -  1,82м(4,7кг) - 1шт</t>
  </si>
  <si>
    <t xml:space="preserve">Круг   40 мм  -  0,21+0,29+0,2м=7,6кг; 0,31м(2,9кг в Г2)  по 1шт   </t>
  </si>
  <si>
    <t>Круг   75 мм -  80мм(3,2кг) - 1шт</t>
  </si>
  <si>
    <r>
      <t xml:space="preserve">Лист  21 мм  -   1,5х0,86м(206кг) - 1шт     </t>
    </r>
    <r>
      <rPr>
        <b/>
        <sz val="10"/>
        <rFont val="Arial"/>
        <family val="2"/>
        <charset val="204"/>
      </rPr>
      <t xml:space="preserve">  склад 6</t>
    </r>
    <r>
      <rPr>
        <b/>
        <sz val="8"/>
        <rFont val="Arial"/>
        <family val="2"/>
        <charset val="204"/>
      </rPr>
      <t xml:space="preserve">       режем нужный размер!!!</t>
    </r>
  </si>
  <si>
    <t>Круг   20 мм  -  2,18м(5,6кг клеймо, твердый) - 1шт</t>
  </si>
  <si>
    <t>Труба  28 х 4,0   - 0,87м(2кг) - 1шт; 0,9-1,03м - 3шт</t>
  </si>
  <si>
    <t>Лист латунный 14,0 мм -  0,59х1,47м(102кг) - 1шт</t>
  </si>
  <si>
    <r>
      <t xml:space="preserve">Лист  0,8 мм  - 1х2м(по 12,8кг) - 6шт    маркированы       </t>
    </r>
    <r>
      <rPr>
        <b/>
        <sz val="10"/>
        <rFont val="Arial"/>
        <family val="2"/>
        <charset val="204"/>
      </rPr>
      <t xml:space="preserve">316-я, </t>
    </r>
    <r>
      <rPr>
        <b/>
        <sz val="8.3000000000000007"/>
        <rFont val="Arial"/>
        <family val="2"/>
        <charset val="204"/>
      </rPr>
      <t>матовый   2В</t>
    </r>
  </si>
  <si>
    <t>Труба 63х1,5  -  3м(16,9кг клеймо, в т.ч. 2шт по 2м) - 8шт        цветовая маркировка</t>
  </si>
  <si>
    <t>Труба  17 х 1,0   - 2,49м(1кг) - 1шт</t>
  </si>
  <si>
    <t>20Х17Н2</t>
  </si>
  <si>
    <r>
      <t xml:space="preserve">Труба  273 х 19-21 - 1,07м  - 1шт          </t>
    </r>
    <r>
      <rPr>
        <b/>
        <sz val="10"/>
        <rFont val="Arial"/>
        <family val="2"/>
        <charset val="204"/>
      </rPr>
      <t xml:space="preserve">склад 2 </t>
    </r>
  </si>
  <si>
    <r>
      <t xml:space="preserve">Труба  273 х 11-12 - 2,05м(152кг); 1,87м(139кг клеймо); 1,94м(141кг) по 1шт      </t>
    </r>
    <r>
      <rPr>
        <b/>
        <sz val="10"/>
        <rFont val="Arial"/>
        <family val="2"/>
        <charset val="204"/>
      </rPr>
      <t xml:space="preserve">склад 2 </t>
    </r>
  </si>
  <si>
    <r>
      <t xml:space="preserve">Лист  40 мм - 1,51х5,7м  - 1шт        </t>
    </r>
    <r>
      <rPr>
        <b/>
        <sz val="10"/>
        <rFont val="Arial"/>
        <family val="2"/>
        <charset val="204"/>
      </rPr>
      <t xml:space="preserve"> склад 2 </t>
    </r>
  </si>
  <si>
    <t xml:space="preserve">Труба  133 х 6-7   -  1,91м - 1шт      </t>
  </si>
  <si>
    <t xml:space="preserve">Труба  159 х 13-14   -  0,79м - 1шт      </t>
  </si>
  <si>
    <t xml:space="preserve">Труба  159 х 6,0  -  2м(26,1кг  сварная, маркирована) - 1шт   </t>
  </si>
  <si>
    <t xml:space="preserve">Труба  245 х 20 - 0,68м(75,3кг)  - 1шт          </t>
  </si>
  <si>
    <t xml:space="preserve">Труба  245(247) х 21-23 - 0,66м(81,6кг)  - 1шт          </t>
  </si>
  <si>
    <t xml:space="preserve">Труба  159 х 13,0   -  1,02м - 1шт      </t>
  </si>
  <si>
    <t xml:space="preserve">Труба 19х2,0 -   2+3м=4,8кг   твердая  </t>
  </si>
  <si>
    <t xml:space="preserve">Труба 20х3,0 -   3м  - 7шт </t>
  </si>
  <si>
    <t>Труба 35х4,0 -   5,64+6м=40,1кг</t>
  </si>
  <si>
    <t>Труба 35х4,0 -   2,3-3,68м</t>
  </si>
  <si>
    <t>Труба 35х4,0 -   0,32м(1,1кг) - 1шт</t>
  </si>
  <si>
    <t>Труба  114 х 8-8,5 - 3,42м(73,2кг); 3,32м(69,8кг) по 1шт</t>
  </si>
  <si>
    <t xml:space="preserve">Круг  82 мм  - 1,79м(42,6кг клеймо) - 1шт   </t>
  </si>
  <si>
    <r>
      <t xml:space="preserve">Труба  95(94) х 9,0   -  1,86м(34,8+35кг) по 1шт        </t>
    </r>
    <r>
      <rPr>
        <b/>
        <sz val="10"/>
        <rFont val="Arial"/>
        <family val="2"/>
        <charset val="204"/>
      </rPr>
      <t>ЭП-350</t>
    </r>
  </si>
  <si>
    <t>Труба  57 х 5,0  -  1,98м(12,7кг) - 1шт</t>
  </si>
  <si>
    <r>
      <t xml:space="preserve">Круг  90 мм -  1м(52,9кг клеймо) - 1шт     </t>
    </r>
    <r>
      <rPr>
        <b/>
        <sz val="10"/>
        <rFont val="Arial"/>
        <family val="2"/>
        <charset val="204"/>
      </rPr>
      <t xml:space="preserve">     ЭП-810 УВД</t>
    </r>
  </si>
  <si>
    <t>03Х12Н10МТР</t>
  </si>
  <si>
    <r>
      <t xml:space="preserve">Круг  103 мм -  1м(65,2кг) - 1шт     </t>
    </r>
    <r>
      <rPr>
        <b/>
        <sz val="10"/>
        <rFont val="Arial"/>
        <family val="2"/>
        <charset val="204"/>
      </rPr>
      <t xml:space="preserve">     ЭП-310</t>
    </r>
    <r>
      <rPr>
        <b/>
        <sz val="8.3000000000000007"/>
        <rFont val="Arial"/>
        <family val="2"/>
        <charset val="204"/>
      </rPr>
      <t>ш</t>
    </r>
  </si>
  <si>
    <t>Круг  70 мм  - 2,48м(43,4кг); 2,28м(39,8кг); 2,28м(40кг); 2,33м(40,9кг) по 1шт    клеймо</t>
  </si>
  <si>
    <t xml:space="preserve">Проволока   ф 5,0 мм  -  24,3кг - 1 бухта бирка </t>
  </si>
  <si>
    <t xml:space="preserve">Проволока   ф 4,0 мм  -  34,5кг - 1 бухта бирка </t>
  </si>
  <si>
    <t>Лента бронзовая - 1,35х56мм -   бухта  16,1кг     твердая</t>
  </si>
  <si>
    <t>Лента мельхиор 1х300мм - 25,2кг  - 1 бухта  мягкая</t>
  </si>
  <si>
    <t>Лента нейзильбер 0,6х300мм - 51,5+52,2кг по 1-й бухте    птв</t>
  </si>
  <si>
    <t>Круг   25 мм -  1,32+1,87м=13,2кг</t>
  </si>
  <si>
    <t xml:space="preserve">Труба  22х2,0  -  2,2-2,35м </t>
  </si>
  <si>
    <r>
      <t xml:space="preserve">Круг   10 мм  -  1,25-1,43м    </t>
    </r>
    <r>
      <rPr>
        <b/>
        <sz val="10"/>
        <rFont val="Arial"/>
        <family val="2"/>
        <charset val="204"/>
      </rPr>
      <t xml:space="preserve">        ЭП-33вд</t>
    </r>
  </si>
  <si>
    <t xml:space="preserve">Круг   10 мм - 3м(28,5кг); 1,37-3м(30,2кг); 2,93м(7,5кг; резал 1+1м); 0,9-1,8м(1,6кг); 1-1,18м(2,8кг) </t>
  </si>
  <si>
    <t>Круг  8,0 мм  -  2,68м - 2шт  калиброваный</t>
  </si>
  <si>
    <t>Шестигранник №10   - 1,65м - 1шт</t>
  </si>
  <si>
    <r>
      <t xml:space="preserve">Круг  21 мм  -  0,34-0,4м(3,7кг) - 3шт             </t>
    </r>
    <r>
      <rPr>
        <b/>
        <sz val="10"/>
        <rFont val="Arial"/>
        <family val="2"/>
        <charset val="204"/>
      </rPr>
      <t>ЭИ-435</t>
    </r>
  </si>
  <si>
    <t xml:space="preserve">Круг  215 мм  -  70мм(20,2кг); 110мм(32,4кг) по 1шт                           </t>
  </si>
  <si>
    <t>Круг  45 мм  -  0,56м(8кг) - 1шт</t>
  </si>
  <si>
    <t xml:space="preserve">Круг   50 мм  -  0,78м(12кг); 0,25м(3,9кг) по 1шт  </t>
  </si>
  <si>
    <t xml:space="preserve">Круг   80 мм  по  0,24м - 3шт </t>
  </si>
  <si>
    <t>Труба  30 х 3,0  -  1,46м(2,9кг) - 1шт</t>
  </si>
  <si>
    <t xml:space="preserve">Труба  21 х 3,0 - 2,4-3,5м </t>
  </si>
  <si>
    <t xml:space="preserve">Круг  140 мм  -  0,5м(61,5кг); 0,33м(42кг) по 1шт                      </t>
  </si>
  <si>
    <t xml:space="preserve">Круг  140 мм -  80мм(10,6+9,7+9,7кг); 108мм(13,3кг); 49мм(5,9кг) по 1шт  </t>
  </si>
  <si>
    <t xml:space="preserve">Круг  140 мм -  145мм(18кг); 80мм(9,7+9,7+9,7+9,5+9,5+9,9+8,9+8,9+8,9+9,8+9,8кг); 110мм(13,9+14кг н\о)  по 1шт  </t>
  </si>
  <si>
    <t xml:space="preserve">Круг  180 мм -  0,6м(120кг) по 1шт; 0,15м(по 30,2кг н\о) - 2шт; 0,17м(35,4кг) </t>
  </si>
  <si>
    <t xml:space="preserve">Круг  180 мм -  0,145м(32,2кг) - 1шт  </t>
  </si>
  <si>
    <t xml:space="preserve">Круг  180 мм -  80мм(16кг); 150мм(30,8кг) по 1шт </t>
  </si>
  <si>
    <t>Труба  18 х 2,5  - 2,87м(2,6кг) - 1шт</t>
  </si>
  <si>
    <t>Труба  75х12,5  -  1,31м - 1шт</t>
  </si>
  <si>
    <t xml:space="preserve">Труба  27 х 3,0  - 1,4-1,47м(181,3кг) </t>
  </si>
  <si>
    <t xml:space="preserve">Труба  28 х 3,5  - 2,86м(24,4кг); 1,94-2м(17,7кг на Е2) </t>
  </si>
  <si>
    <t xml:space="preserve">Труба  214 х 41-42  -  140мм(28,3кг) - 1шт </t>
  </si>
  <si>
    <t xml:space="preserve">Круг  56 мм  -  1,45м(27,2кг) - 1шт   </t>
  </si>
  <si>
    <t>Круг  40 мм  -  1,48-1,5м - 2шт; 0,99+1,13м=20,8кг</t>
  </si>
  <si>
    <t>Труба  28 х 3,5  -  1,82+1,91м=4,3кг; 1,56м(1,9кг)</t>
  </si>
  <si>
    <t xml:space="preserve">Труба  21 х 2,7-3   -  2,68-3,26м(70,5кг) </t>
  </si>
  <si>
    <t>Труба  21 х 2,5  -  2,06; 3,4; 5,15м по 1шт; 3,47м(4,4кг); 1,86-3,2м(19,1кг)</t>
  </si>
  <si>
    <t>Труба  22 х 2,5  -  1,33-2,5м(3,5кг); 1,97м(2,1кг); 2,88м(3,6кг) по 1шт</t>
  </si>
  <si>
    <t>Труба  22 х 3,5   -  2,82м(4,7кг) - 1шт</t>
  </si>
  <si>
    <r>
      <t>Труба  76 х 4,0  -  3,74м(27,8кг) - 1шт</t>
    </r>
    <r>
      <rPr>
        <b/>
        <sz val="10"/>
        <rFont val="Arial"/>
        <family val="2"/>
        <charset val="204"/>
      </rPr>
      <t xml:space="preserve">  </t>
    </r>
  </si>
  <si>
    <t>Труба  30 х 3,0  -  3м(6кг) - 1шт</t>
  </si>
  <si>
    <r>
      <t xml:space="preserve">Труба  42 х 3,0   -   3,51м(9,7кг) - 1шт                                                          </t>
    </r>
    <r>
      <rPr>
        <b/>
        <sz val="10"/>
        <rFont val="Arial"/>
        <family val="2"/>
        <charset val="204"/>
      </rPr>
      <t>ЭИ-943</t>
    </r>
  </si>
  <si>
    <t>Труба  36 х 2,5"+"  - 2,13+2,13+2,3м=14,1кг; 4,13м(8,5кг) - 1шт</t>
  </si>
  <si>
    <t>Шестигранник №14 - 3,95м(5,2кг)</t>
  </si>
  <si>
    <t xml:space="preserve">Труба  22 х 1,0  -  3,72-6,2м </t>
  </si>
  <si>
    <t xml:space="preserve">Труба  20 х 1,5  -  5,15-6,4м </t>
  </si>
  <si>
    <t xml:space="preserve">Труба  22 х 3,5   -  1,99+1,99м=6,4кг </t>
  </si>
  <si>
    <t xml:space="preserve">Круг   36 мм -  0,99м - 2шт; 0,87м; 0,89м; 1,25м(10,3кг) по 1шт  </t>
  </si>
  <si>
    <t>Лента бронзовая - 0,5х200мм - 1 бухта  48,5кг       твердая</t>
  </si>
  <si>
    <t>Лента - 0,22х250мм -  3,9кг - 1 рулон   твердая (по факту меряется 0,21мм)</t>
  </si>
  <si>
    <t>Труба  89 х 7,0  -   2,29м(32,4кг) - 1шт</t>
  </si>
  <si>
    <t>Лента медная рулон  0,4х160мм - 27,4кг - 1шт   птв</t>
  </si>
  <si>
    <t xml:space="preserve">Труба  18 х 2,0  -  4,28м(3,5кг); 2,56+2,9м=4,2кг на Е2; 2м(3кг) - 2шт; 1,18м(1кг) - 1шт </t>
  </si>
  <si>
    <r>
      <t xml:space="preserve">Проволока  1,6 мм  -  12,3кг; 19,9кг по 1-й бухте  бирки              </t>
    </r>
    <r>
      <rPr>
        <b/>
        <sz val="10"/>
        <rFont val="Arial"/>
        <family val="2"/>
        <charset val="204"/>
      </rPr>
      <t>ЭИ-435</t>
    </r>
  </si>
  <si>
    <t>Круг   40 мм - 1,03м(10,7кг); 1,3м(13,6кг)  по 1шт</t>
  </si>
  <si>
    <t>Труба  20 х 3,0   -  2,78; 3,28; 3,44м; 3,91м(4,9кг) по 1шт</t>
  </si>
  <si>
    <t>Труба  21 х 2,5  -  3,43+3,5+3,5м=13кг; 3,02м(3,8кг); 3,53+3,53м=8,8кг  по 1шт</t>
  </si>
  <si>
    <r>
      <t xml:space="preserve">Проволока  3,0 мм  -   5,5; 13,9; 3,5кг по 1-й  бухте   </t>
    </r>
    <r>
      <rPr>
        <b/>
        <sz val="10"/>
        <rFont val="Arial"/>
        <family val="2"/>
        <charset val="204"/>
      </rPr>
      <t>316</t>
    </r>
    <r>
      <rPr>
        <b/>
        <sz val="8.3000000000000007"/>
        <rFont val="Arial"/>
        <family val="2"/>
        <charset val="204"/>
      </rPr>
      <t>-я</t>
    </r>
  </si>
  <si>
    <r>
      <t xml:space="preserve">Проволока  3,0 мм  -   46кг - 1  бухта  мягкая    </t>
    </r>
    <r>
      <rPr>
        <b/>
        <sz val="10"/>
        <rFont val="Arial"/>
        <family val="2"/>
        <charset val="204"/>
      </rPr>
      <t>316</t>
    </r>
    <r>
      <rPr>
        <b/>
        <sz val="8.3000000000000007"/>
        <rFont val="Arial"/>
        <family val="2"/>
        <charset val="204"/>
      </rPr>
      <t>-я</t>
    </r>
  </si>
  <si>
    <r>
      <t xml:space="preserve">Проволока  3,0 мм  -   23,6кг  - 1  бухта   </t>
    </r>
    <r>
      <rPr>
        <b/>
        <sz val="10"/>
        <rFont val="Arial"/>
        <family val="2"/>
        <charset val="204"/>
      </rPr>
      <t>316</t>
    </r>
    <r>
      <rPr>
        <b/>
        <sz val="8.3000000000000007"/>
        <rFont val="Arial"/>
        <family val="2"/>
        <charset val="204"/>
      </rPr>
      <t>-я</t>
    </r>
  </si>
  <si>
    <t>Проволока   1,0мм    -   0,2кг - 1  бухта</t>
  </si>
  <si>
    <t>Проволока   1,0мм  -  0,6; 0,7; 0,7кг; 2кг; 0,5; 0,5кг по  1-й  бухте</t>
  </si>
  <si>
    <r>
      <t xml:space="preserve">Круг  14 мм  -  1,38-1,55м   </t>
    </r>
    <r>
      <rPr>
        <b/>
        <sz val="10"/>
        <rFont val="Arial"/>
        <family val="2"/>
        <charset val="204"/>
      </rPr>
      <t xml:space="preserve">    ЭП-33вд</t>
    </r>
  </si>
  <si>
    <r>
      <t>Круг  16 мм  -  1,28-1,54м(32,4кг в т.ч. 1,16м)</t>
    </r>
    <r>
      <rPr>
        <b/>
        <sz val="10"/>
        <rFont val="Arial"/>
        <family val="2"/>
        <charset val="204"/>
      </rPr>
      <t xml:space="preserve">      ЭП-33вд</t>
    </r>
  </si>
  <si>
    <r>
      <rPr>
        <b/>
        <sz val="8"/>
        <rFont val="Arial"/>
        <family val="2"/>
        <charset val="204"/>
      </rPr>
      <t xml:space="preserve">Шестигранник №17 -  1,99+2м=7,8кг       </t>
    </r>
    <r>
      <rPr>
        <b/>
        <sz val="10"/>
        <rFont val="Arial"/>
        <family val="2"/>
        <charset val="204"/>
      </rPr>
      <t>ЭП-33вд</t>
    </r>
  </si>
  <si>
    <r>
      <rPr>
        <b/>
        <sz val="8"/>
        <rFont val="Arial"/>
        <family val="2"/>
        <charset val="204"/>
      </rPr>
      <t xml:space="preserve">Шестигранник №8 -  1,2-1,3м              </t>
    </r>
    <r>
      <rPr>
        <b/>
        <sz val="10"/>
        <rFont val="Arial"/>
        <family val="2"/>
        <charset val="204"/>
      </rPr>
      <t>ЭП-33вд</t>
    </r>
  </si>
  <si>
    <t>Круг   80 мм  -  1,06м(46,8кг клеймо) - 1шт</t>
  </si>
  <si>
    <t>БРХ-0,8</t>
  </si>
  <si>
    <r>
      <t xml:space="preserve">Лист  14"-" мм  -  0,52-0,61х1,04*м(72,4кг) - 1шт    </t>
    </r>
    <r>
      <rPr>
        <b/>
        <sz val="10"/>
        <rFont val="Arial"/>
        <family val="2"/>
        <charset val="204"/>
      </rPr>
      <t>ЭП-202</t>
    </r>
  </si>
  <si>
    <t>Труба  16 х 1,5  - 2,6-3,8м</t>
  </si>
  <si>
    <t xml:space="preserve">Круг   70 мм -  0,8м(23,9кг)  - 1шт </t>
  </si>
  <si>
    <t>Лента  0,15х400 мм  -  рулон 70,5кг - 1 шт       мягкая</t>
  </si>
  <si>
    <t>Проволока   1,2мм  -  0,9; 0,8; 0,3; 0,2кг  по  1-й  бухте</t>
  </si>
  <si>
    <t xml:space="preserve">Проволока   ф 2,5мм  -   16,9кг   - 1 бухта </t>
  </si>
  <si>
    <r>
      <t xml:space="preserve">Труба  6 х 1,0   -  3,95м - 1шт                 </t>
    </r>
    <r>
      <rPr>
        <b/>
        <sz val="10"/>
        <rFont val="Arial"/>
        <family val="2"/>
        <charset val="204"/>
      </rPr>
      <t>316-я</t>
    </r>
  </si>
  <si>
    <t>Лист латунный 8,0 мм - 0,59х1,49м(58,8+58,5+58,5+58,7кг); 0,59х0,67м(26кг); 0,59х0,93м(37,1кг без угла 1,5х3см) по 1шт</t>
  </si>
  <si>
    <t>Лист  0,8 мм -  0,8-0,87х1,25м(50,6кг); 0,65х0,8м(3,4кг) - 1шт   шлифованый в пленке</t>
  </si>
  <si>
    <t>Круг   4,5 мм   -   3,1м(0,4кг) - 1шт</t>
  </si>
  <si>
    <t xml:space="preserve">Труба  16х1,0  -  3,7-3,9м(61кг отрезали куски 1,5; 1м); 2,9м(20,7кг) </t>
  </si>
  <si>
    <t xml:space="preserve">Круг   8 мм - 2,7-3м </t>
  </si>
  <si>
    <t>Труба  108 х 4,5-5  -  2,81м(34,7кг)  - 1шт</t>
  </si>
  <si>
    <r>
      <t xml:space="preserve">Труба  76 х 3,0    -  3,44м(19,1кг); 2,24м(12,3кг) по 1шт                 </t>
    </r>
    <r>
      <rPr>
        <b/>
        <sz val="10"/>
        <rFont val="Arial"/>
        <family val="2"/>
        <charset val="204"/>
      </rPr>
      <t>ЭИ-943</t>
    </r>
  </si>
  <si>
    <t>Труба  42 х 3,0   -  3,65м(10,7кг) - 1шт</t>
  </si>
  <si>
    <t xml:space="preserve">Труба  25 х 3,0  - 3,65м(по 6,4кг) - 2шт; 3,5м(5,7кг) - 1шт </t>
  </si>
  <si>
    <t>Труба  17 х 2,0   - 2,07м(1,6кг); 2,08м(1,6кг) по 1шт</t>
  </si>
  <si>
    <t>Труба  14 х 2,5  -  3,52м(1,4кг) - 1шт</t>
  </si>
  <si>
    <t xml:space="preserve">Полоса  5х50мм  - 2,5-3,1м - 6шт          маркировка         </t>
  </si>
  <si>
    <t xml:space="preserve">Круг  20 мм - 0,98-1,37м(26,5кг н\о) </t>
  </si>
  <si>
    <t xml:space="preserve">Труба  80 х 15-16   -  2,95м(40,8кг) - 1шт </t>
  </si>
  <si>
    <t xml:space="preserve">Круг  40 мм -  2,93-3,2м - 5шт   н\о   </t>
  </si>
  <si>
    <t>Труба  42 х 3,5   -  2,9м(9,3кг); 2,36м(7,4кг) по 1шт</t>
  </si>
  <si>
    <t xml:space="preserve">Круг  60"+" мм -  1,47м(33,2кг н\о) - 1шт   </t>
  </si>
  <si>
    <t xml:space="preserve">Круг  60 мм -  1,76м(39кг н\о) - 1шт   </t>
  </si>
  <si>
    <t xml:space="preserve">Труба  89 х 4,0  - 1,5м(7,2кг) -  1шт   </t>
  </si>
  <si>
    <t xml:space="preserve">Труба  63 х 6,5  -  1,25м(11,4кг); 1,18м(10,8кг) по 1шт     </t>
  </si>
  <si>
    <t>Труба  56 х 3,0  -  1,54м(6,4кг) - 1шт</t>
  </si>
  <si>
    <t>Труба  48 х 2,5  -  2м(5,4кг) - 1шт</t>
  </si>
  <si>
    <t xml:space="preserve">Круг  40 мм -  1,02м(10,3кг) - 1шт                         </t>
  </si>
  <si>
    <t xml:space="preserve">Труба  85 х 14,0   -  1м(14,2кг) - 1шт </t>
  </si>
  <si>
    <t xml:space="preserve">Труба  65 х 10,5-11   -  0,46м(3,5кг) - 1шт </t>
  </si>
  <si>
    <t>Труба  51 х 2,5  -  4,86+2,97+3,3м=31кг; 2,22+2,85м=15,5кг; 4,68м(14кг)</t>
  </si>
  <si>
    <t>Труба  65 х 3,5  -  3,72м(19,7кг); 4,44м(24,1кг); 4,43м(24кг) по 1шт</t>
  </si>
  <si>
    <t>Труба  4х0,5 - 2,5-3м   мягкая</t>
  </si>
  <si>
    <t xml:space="preserve">Труба  6х0,5   по  1,29м    </t>
  </si>
  <si>
    <t>Труба  13 х 1,5   -  2,58-3,1м</t>
  </si>
  <si>
    <t xml:space="preserve">Круг  32 мм  -  2,63; 2,22м по 1шт </t>
  </si>
  <si>
    <t>Труба  76 х 4,5-5  - 0,98м(8кг) - 1шт</t>
  </si>
  <si>
    <t xml:space="preserve">Лист  5 мм -  0,82х1м(33,5кг) - 1шт      </t>
  </si>
  <si>
    <t xml:space="preserve">Круг  10"+" мм   -  3-3,5м н\о     отрезали куски </t>
  </si>
  <si>
    <t xml:space="preserve">Труба  25 х 5,0 - 3,15-3,3м(95,7кг в т.ч. 1,26м) </t>
  </si>
  <si>
    <t xml:space="preserve">Лист бронзовый 4мм -  0,11х0,2м(0,8кг) - 1шт  </t>
  </si>
  <si>
    <r>
      <t xml:space="preserve">Труба  56 х 8,0  -  3,53м(35,2кг); 4,25м(43кг) по 1шт                       </t>
    </r>
    <r>
      <rPr>
        <b/>
        <sz val="10"/>
        <rFont val="Arial"/>
        <family val="2"/>
        <charset val="204"/>
      </rPr>
      <t>316-L</t>
    </r>
  </si>
  <si>
    <t xml:space="preserve">Круг  36 мм -  1,34м(10,5кг) - 1шт  </t>
  </si>
  <si>
    <t xml:space="preserve">Труба  159 х 6-6,5  - 1,57м(37кг н\о) - 1шт  </t>
  </si>
  <si>
    <t xml:space="preserve">Труба 10х0,5-1,5мм -  3м(3,6кг) </t>
  </si>
  <si>
    <r>
      <t xml:space="preserve">Лист  10 мм - 0,5х1,02м(41,2кг) - 1шт         </t>
    </r>
    <r>
      <rPr>
        <b/>
        <sz val="10"/>
        <rFont val="Arial"/>
        <family val="2"/>
        <charset val="204"/>
      </rPr>
      <t xml:space="preserve"> </t>
    </r>
  </si>
  <si>
    <t>Шестигранник №14  - 1,41; 1,45м  по 1шт</t>
  </si>
  <si>
    <t>Шестигранник №19 - 1,55-1,75м</t>
  </si>
  <si>
    <r>
      <t xml:space="preserve">Круг  80 мм - 1,45м(62,1кг); 1,4м(59,7кг); 1,67м(70,5кг); 1,7м(71,7кг); 1,08м(45,6+45,9кг); 1,19м(50кг) по 1шт </t>
    </r>
    <r>
      <rPr>
        <b/>
        <sz val="10"/>
        <rFont val="Arial"/>
        <family val="2"/>
        <charset val="204"/>
      </rPr>
      <t xml:space="preserve"> клеймо  ЭИ-868</t>
    </r>
    <r>
      <rPr>
        <b/>
        <sz val="8.3000000000000007"/>
        <rFont val="Arial"/>
        <family val="2"/>
        <charset val="204"/>
      </rPr>
      <t xml:space="preserve">   перековываем в нужный диаметр!!!!</t>
    </r>
  </si>
  <si>
    <t>Круг  20 мм -  2,39+3,72м=15кг</t>
  </si>
  <si>
    <t>Труба  45 х 3,5  -  1,28м(4,5кг); 0,93м(3,4кг) по 1шт</t>
  </si>
  <si>
    <t>Труба  20 х 2,0  -  1,55м(1,4кг) - 1шт</t>
  </si>
  <si>
    <t>Проволока ф2мм    -  1,9; 3,1; 0,8кг  по  1-й бухте</t>
  </si>
  <si>
    <t>Лист латунный 2,0 мм - 0,6х1,5м(14,7кг) - 1шт   мягкий</t>
  </si>
  <si>
    <t xml:space="preserve">Круг   98 мм -  0,52м(30,4кг); 0,16м(9,4кг); 0,28м(17,2кг) по 1шт </t>
  </si>
  <si>
    <r>
      <t xml:space="preserve">Квадрат  50х50мм - 0,9м(18,4кг) - 1шт                   </t>
    </r>
    <r>
      <rPr>
        <b/>
        <sz val="10"/>
        <rFont val="Arial"/>
        <family val="2"/>
        <charset val="204"/>
      </rPr>
      <t xml:space="preserve">        </t>
    </r>
  </si>
  <si>
    <t>Проволока   ф 1,5мм  -  67,8кг - 1  бухта  птв</t>
  </si>
  <si>
    <t xml:space="preserve">Лист  32 мм  -  блин  ф330мм(22,6кг) - 1шт  </t>
  </si>
  <si>
    <t>Проволока   3,0мм  -  6,4кг - 1 бухта</t>
  </si>
  <si>
    <t>Проволока   1,6мм  -  2,9кг - 1 бухта</t>
  </si>
  <si>
    <t>Полоса        3х30мм   -  39,5кг; 45,7кг(в г1); 2,6кг(в Г1)  по  1-й бухте</t>
  </si>
  <si>
    <t>Круг  50 мм  - 3,08м(46кг); 1,74м(25,2кг); 3,07м(45,2кг); 0,89-1м(30,5кг н\о и светл)</t>
  </si>
  <si>
    <t xml:space="preserve">Круг   5 мм  - 2,65-2,7м(12кг, от 2шт отрезали куски по 1м) </t>
  </si>
  <si>
    <t>Труба  45 х 4,0  -  2,77м(11,3кг); 2,11м(8,5кг)  по 1шт</t>
  </si>
  <si>
    <t xml:space="preserve">Круг  48 мм - 1,51м(12,6кг) - 1шт   </t>
  </si>
  <si>
    <t>Круг  14 мм  -  0,39+0,33+0,57м=1,8кг</t>
  </si>
  <si>
    <t>Лента бронзовая - 1,8х85мм -   бухта  43,1кг     твердая</t>
  </si>
  <si>
    <t>Круг  15 мм -  1,14-1,4м + 3шт по 0,89м</t>
  </si>
  <si>
    <t>Круг  20 мм -   2-3,16м(116,2кг, от 2шт резали по 1м)                  маркирован</t>
  </si>
  <si>
    <t xml:space="preserve">Шестигранник №19  -  0,72м(1,9кг) - 1шт  </t>
  </si>
  <si>
    <t>пд</t>
  </si>
  <si>
    <t xml:space="preserve">Труба  80 х 1"-"   -  1,9-5,2м   </t>
  </si>
  <si>
    <r>
      <t xml:space="preserve">Лист  5 мм  -  0,64х0,89м(23,5кг) - 1шт                   </t>
    </r>
    <r>
      <rPr>
        <b/>
        <sz val="10"/>
        <rFont val="Arial"/>
        <family val="2"/>
        <charset val="204"/>
      </rPr>
      <t>ЭИ-435</t>
    </r>
  </si>
  <si>
    <t>Лист 3,0 мм  -  1х2м(27; 27,2; 27,7; 26,9кг) по 1шт</t>
  </si>
  <si>
    <t>Проволока   1 мм  -   бухта 0,1кг - 1шт</t>
  </si>
  <si>
    <t>13Х15Н4АМЗш</t>
  </si>
  <si>
    <r>
      <t xml:space="preserve">Круг  16 мм  -  1,8-2м(137кг)                                                 </t>
    </r>
    <r>
      <rPr>
        <b/>
        <sz val="10"/>
        <rFont val="Arial"/>
        <family val="2"/>
        <charset val="204"/>
      </rPr>
      <t>ЭП-310</t>
    </r>
    <r>
      <rPr>
        <b/>
        <sz val="8.3000000000000007"/>
        <rFont val="Arial"/>
        <family val="2"/>
        <charset val="204"/>
      </rPr>
      <t>ш</t>
    </r>
  </si>
  <si>
    <t>Лента медная рулон  0,4х160мм - 82кг - 1шт   птв</t>
  </si>
  <si>
    <t>Круг  15 мм  -  1,4-1,83м(7кг); 1,14-2м(13,9кг); 1м(1,4кг н\о)</t>
  </si>
  <si>
    <t>Лист медный 15,0 мм -  0,5х0,67м(49,4кг) - 1шт</t>
  </si>
  <si>
    <t xml:space="preserve">Труба  141 х 12,0 -  2,25м(84,6кг) - 1шт          клеймо              </t>
  </si>
  <si>
    <t xml:space="preserve">Проволока  3,0  мм -  2,2; 7,2кг по 1-й бухте </t>
  </si>
  <si>
    <t xml:space="preserve">Проволока  9 мм - 5,2кг; 38,5; 24,3кг по 1-й бухте  </t>
  </si>
  <si>
    <t>Круг   60 мм -   0,87; 1м по 1шт</t>
  </si>
  <si>
    <t>Лист латунный 0,4-0,45 мм - 0,6х1,5м(23кг)  мягкий</t>
  </si>
  <si>
    <t xml:space="preserve">Лента бронзовая - 0,4х250мм - 1 бухта  20кг     твердая             </t>
  </si>
  <si>
    <t>Труба  16 х 1,5  -  2,4-2,9м(8,7кг)</t>
  </si>
  <si>
    <t>Лента бронзовая - 0,8х300мм - 1 бухта  65кг                    твердая</t>
  </si>
  <si>
    <t>Проволока   ф 0,25мм  - 3,5кг - 1 катушка</t>
  </si>
  <si>
    <r>
      <t xml:space="preserve">Круг  80 мм - 0,44м(20,1кг); 0,38м(17,3кг) по 1шт </t>
    </r>
    <r>
      <rPr>
        <b/>
        <sz val="10"/>
        <rFont val="Arial"/>
        <family val="2"/>
        <charset val="204"/>
      </rPr>
      <t xml:space="preserve"> клеймо  ЭИ-868</t>
    </r>
  </si>
  <si>
    <t>Лента 0,1х200мм - 9,4; 0,9; 9,5кг по 1 рулону</t>
  </si>
  <si>
    <t>Труба  65 х 2,5 -  1,51+1,96м=17,5кг</t>
  </si>
  <si>
    <t xml:space="preserve">Труба  76 х 7,0 -  5,39м(66,3кг) - 1шт               </t>
  </si>
  <si>
    <t>Проволока   0,63мм  -  0,8; 1,3кг; 2,3; 2,6кг  по  1-й  бухте</t>
  </si>
  <si>
    <t>Проволока   0,6мм  - 2,7кг - 1шт   алюминиевая катушка</t>
  </si>
  <si>
    <t xml:space="preserve">Лист 4 мм -  0,41х1,1м(8,5кг); 0,29х1,1м(5,8кг) по 1шт </t>
  </si>
  <si>
    <t>Лист латунный 10 мм - 0,53х1,06м(48кг); 0,79х0,73м(48,4кг) по 1шт</t>
  </si>
  <si>
    <t>Круг   20 мм  - 1,36м(3,5кг); 0,74м(1,9кг) по 1шт    мягкий, клейма</t>
  </si>
  <si>
    <t xml:space="preserve">Проволока  0,51 мм  -  18,7кг - 1 бухта     пружинная </t>
  </si>
  <si>
    <t xml:space="preserve">Труба 105х5,0  -  0,96м - 1шт  </t>
  </si>
  <si>
    <r>
      <t xml:space="preserve">Труба  48 х 4,0 -  2,89-3,4м                 </t>
    </r>
    <r>
      <rPr>
        <b/>
        <sz val="10"/>
        <rFont val="Arial"/>
        <family val="2"/>
        <charset val="204"/>
      </rPr>
      <t>309-я</t>
    </r>
  </si>
  <si>
    <r>
      <t xml:space="preserve">Труба  54 х 4,5 -  3-3,05м       маркирована          </t>
    </r>
    <r>
      <rPr>
        <b/>
        <sz val="10"/>
        <rFont val="Arial"/>
        <family val="2"/>
        <charset val="204"/>
      </rPr>
      <t>309-я</t>
    </r>
  </si>
  <si>
    <r>
      <t xml:space="preserve">Труба  51 х 3,5 -  3,15м - 8шт                     </t>
    </r>
    <r>
      <rPr>
        <b/>
        <sz val="10"/>
        <rFont val="Arial"/>
        <family val="2"/>
        <charset val="204"/>
      </rPr>
      <t>309-я</t>
    </r>
  </si>
  <si>
    <t>Круг  45 мм -  1,25м(9,3кг) - 1шт</t>
  </si>
  <si>
    <t>Круг  50(49) мм -  1,44м(12,9кг) - 1шт</t>
  </si>
  <si>
    <t>Круг  44(43) мм -  0,95м(6,5кг точеный) - 1шт</t>
  </si>
  <si>
    <t xml:space="preserve">Труба  22 х 2,0   -  2,38-3,16м </t>
  </si>
  <si>
    <r>
      <t xml:space="preserve">Круг  10 мм  -   1-1,06м                     </t>
    </r>
    <r>
      <rPr>
        <b/>
        <sz val="10"/>
        <rFont val="Arial"/>
        <family val="2"/>
        <charset val="204"/>
      </rPr>
      <t xml:space="preserve"> ЭИ-435</t>
    </r>
  </si>
  <si>
    <t xml:space="preserve">Труба  102 х 10-10,5 -  0,99м(23кг) - 1шт  </t>
  </si>
  <si>
    <t xml:space="preserve">Круг   110 мм - 1,35м(94,5кг) - 1шт </t>
  </si>
  <si>
    <t xml:space="preserve">Круг   90 мм - 0,52м(29,3кг точеный) - 1шт   </t>
  </si>
  <si>
    <t>Круг  10 мм  -  2,3-3м(20кг); 1,2-2,5м(3,8кг)   н\о</t>
  </si>
  <si>
    <t>Круг  12 мм  -  1,13+2,43м=3кг</t>
  </si>
  <si>
    <t>Круг  26 мм  -  2,06+2,23+2,23м=26,7кг; 1,06м(4,3кг) - 1шт</t>
  </si>
  <si>
    <r>
      <t xml:space="preserve">Круг  25 мм  -  1,53м(6кг) - 1шт        </t>
    </r>
    <r>
      <rPr>
        <b/>
        <sz val="10"/>
        <rFont val="Arial"/>
        <family val="2"/>
        <charset val="204"/>
      </rPr>
      <t>316-L</t>
    </r>
  </si>
  <si>
    <t xml:space="preserve">Шестигранник №30  -  0,97м(6,4кг) - 1шт </t>
  </si>
  <si>
    <t>Круг  26"+" мм  -  0,99м(4,9кг клеймо) - 1шт</t>
  </si>
  <si>
    <r>
      <t xml:space="preserve">Круг  16 мм  -  3,1м(5кг клеймо) - 1шт           </t>
    </r>
    <r>
      <rPr>
        <b/>
        <sz val="10"/>
        <rFont val="Arial"/>
        <family val="2"/>
        <charset val="204"/>
      </rPr>
      <t>ЭИ-961ш</t>
    </r>
  </si>
  <si>
    <t>Круг  50 мм  - 1,47-1,5м  клейма</t>
  </si>
  <si>
    <t>Круг   6 мм  -  3м</t>
  </si>
  <si>
    <t>Труба  6 х 1,4   -  2,5-3,1м    маркирована</t>
  </si>
  <si>
    <r>
      <t xml:space="preserve">Проволока  1,2 мм  -   3,7кг  - 1  бухта, бирка      </t>
    </r>
    <r>
      <rPr>
        <b/>
        <sz val="10"/>
        <rFont val="Arial"/>
        <family val="2"/>
        <charset val="204"/>
      </rPr>
      <t>ЭИ-869</t>
    </r>
  </si>
  <si>
    <r>
      <t xml:space="preserve">Проволока  1,6 мм  -   12,4кг  - 1  бухта         </t>
    </r>
    <r>
      <rPr>
        <b/>
        <sz val="10"/>
        <rFont val="Arial"/>
        <family val="2"/>
        <charset val="204"/>
      </rPr>
      <t>ЭИ-869</t>
    </r>
  </si>
  <si>
    <t xml:space="preserve">Лента бронзовая - 0,6х300мм  -  1 бухта    47,8кг   твердая </t>
  </si>
  <si>
    <r>
      <t xml:space="preserve">Лента  0,1х400 мм  -   рулон  7,9кг - 1шт                           </t>
    </r>
    <r>
      <rPr>
        <b/>
        <sz val="10"/>
        <rFont val="Arial"/>
        <family val="2"/>
        <charset val="204"/>
      </rPr>
      <t>ЭИ-435</t>
    </r>
  </si>
  <si>
    <t>Лента - 0,4х200мм -  18,9; 3,9кг  по  1-й бухте    мягкая</t>
  </si>
  <si>
    <r>
      <t xml:space="preserve">Лист  2,5 мм -  0,71х1,42м(22,3+23кг) по 1шт             </t>
    </r>
    <r>
      <rPr>
        <b/>
        <sz val="10"/>
        <rFont val="Arial"/>
        <family val="2"/>
        <charset val="204"/>
      </rPr>
      <t>ЭИ-868 маркировка</t>
    </r>
  </si>
  <si>
    <t xml:space="preserve">Лист медный 10 мм - 0,6х1,5м(78,2; 77,8; 78кг) по 1шт    твердые </t>
  </si>
  <si>
    <t>Лист медный 10 мм - 0,59х1,49м(77,5кг); 0,5х0,59м(25,9+25,9кг) по 1шт   мягкие</t>
  </si>
  <si>
    <t>Лист медный 10 мм - 0,33х0,6м(17,3кг); 0,45х0,6м(167кг) - 7шт     птв</t>
  </si>
  <si>
    <t>Лист  16,5 мм - 0,37х0,4м(20,2кг); 0,39х0,39м(20,5кг); 0,4х0,46м(24,5кг без угла 15х25мм); 0,39х0,4м(21,1м); 0,38х0,4м(20,7кг) по 1шт</t>
  </si>
  <si>
    <t xml:space="preserve">Лист  2,0 мм - 1х1,18м(17,9кг)  - 1шт   маркирован   1.4541 </t>
  </si>
  <si>
    <t xml:space="preserve">Круг  16 мм  -  0,75-1,12м </t>
  </si>
  <si>
    <t xml:space="preserve">Круг  115 мм  -                     0,3м(23,5кг найти!!!!!)   </t>
  </si>
  <si>
    <t xml:space="preserve">Круг  70 мм  - 3,68м(37,2кг клеймо) - 1шт </t>
  </si>
  <si>
    <t>Проволока  0,5 мм  -  11,6кг - 1 бухта       птв</t>
  </si>
  <si>
    <t xml:space="preserve">Круг   90 мм  - 0,17м(10,2+10,2+10+10кг) по 1шт   </t>
  </si>
  <si>
    <t>Круг  75 мм -   0,13м(32,6кг н\о) - 6шт; 0,14м(4,9кг) - 1шт</t>
  </si>
  <si>
    <t>Круг   34 мм  -  0,95м(6,5кг) - 1шт</t>
  </si>
  <si>
    <t xml:space="preserve">13Х15Н4АМЗ </t>
  </si>
  <si>
    <t>Лист  4,0 мм  -  1х2м(65,4; 64,9; 65,4кг) по 1шт          ЭП-310</t>
  </si>
  <si>
    <t xml:space="preserve">Труба  102 х 5-5,5  -  1,86м(22кг на к1); 1,77м(20,3+21кг на к5) по 1шт </t>
  </si>
  <si>
    <t xml:space="preserve">Труба  66 х 3,5  -  1,19м(6,5кг) - 1шт                              </t>
  </si>
  <si>
    <t xml:space="preserve">Труба  63 х 5,0  -  1,67м(11,9кг) - 1шт                              </t>
  </si>
  <si>
    <t xml:space="preserve">Труба  60 х 2,5-3  -  1,39м(5,7кг) - 1шт                              </t>
  </si>
  <si>
    <t xml:space="preserve">Труба  65 х 10   -  0,81м(6,3кг); 0,63м(4,9кг); 0,46м(3,6кг) по 1шт </t>
  </si>
  <si>
    <t>Труба  57 х 7,5  -  1,4м(12,8кг) - 1шт</t>
  </si>
  <si>
    <t>Труба  48 х 3,0   -  4,43; 4,79м; 4,62м(15,1кг); 3м(10,4кг); 2,34м(7,5кг) по 1шт</t>
  </si>
  <si>
    <t>Труба  42 х 4,0  -  3,7м(14,2кг); 1,87м(7кг); 2,14м(8,2кг) по 1шт</t>
  </si>
  <si>
    <t>Труба  38 х 3,0   -  2,23м(5,5кг) - 1шт</t>
  </si>
  <si>
    <t>Труба  38 х 3,0  -  2,61м(7кг); 2,05м(5,3кг) по 1шт</t>
  </si>
  <si>
    <t>Труба  32 х 5,5  -  2,9+2,2м=18,7кг; 2,01м(7,2кг) - 1шт</t>
  </si>
  <si>
    <t>Труба  20 х 1,0  -  2м(0,9кг); 1,93м(0,9кг); 2,76м(1,3кг) по 1шт</t>
  </si>
  <si>
    <t>Труба  76 х 2,0   по 3,48-3,5м - 11шт   сварная       маркировка 1.4571</t>
  </si>
  <si>
    <t>Труба  60 х 4,5  -  2,52м(16,1кг); 3,04м(19,7кг) по 1шт    316-Тi</t>
  </si>
  <si>
    <t>Труба  38 х 3,5 - 2,76м(16,4кг) - 2шт; 2,3-2,78м(52,2кг)</t>
  </si>
  <si>
    <t xml:space="preserve">Труба  33 х 3,5   - 3,71+3,84м=19,4кг; 3,39м(8,7кг); 3,14м(8,1кг) по 1шт  </t>
  </si>
  <si>
    <t xml:space="preserve">Труба  63 х 1,5  -  2,94м(6,1кг) - 1шт                              </t>
  </si>
  <si>
    <r>
      <t xml:space="preserve">Труба  25 х 3,0   -  2,5-2,6м(11,8кг) - 3шт        </t>
    </r>
    <r>
      <rPr>
        <b/>
        <sz val="10"/>
        <rFont val="Arial"/>
        <family val="2"/>
        <charset val="204"/>
      </rPr>
      <t>316-Ti</t>
    </r>
  </si>
  <si>
    <r>
      <t xml:space="preserve">Труба  25 х 3,0   -  3,18м(5,5кг) - 1шт        </t>
    </r>
    <r>
      <rPr>
        <b/>
        <sz val="10"/>
        <rFont val="Arial"/>
        <family val="2"/>
        <charset val="204"/>
      </rPr>
      <t>316-Ti</t>
    </r>
  </si>
  <si>
    <r>
      <t xml:space="preserve">Круг  215 мм  - 30мм(10,6кг); 45мм(14,6кг)  по 1шт                          </t>
    </r>
    <r>
      <rPr>
        <b/>
        <sz val="10"/>
        <rFont val="Arial"/>
        <family val="2"/>
        <charset val="204"/>
      </rPr>
      <t xml:space="preserve"> 316Тi</t>
    </r>
  </si>
  <si>
    <t>Труба  23 х 1,0   -  2,9м(1,6кг) - 1шт        ЭИ-702</t>
  </si>
  <si>
    <r>
      <t xml:space="preserve">Труба  23 х 1,0   -  2,9м(1,6кг) - 1шт         </t>
    </r>
    <r>
      <rPr>
        <b/>
        <sz val="10"/>
        <rFont val="Arial"/>
        <family val="2"/>
        <charset val="204"/>
      </rPr>
      <t>ЭИ-702</t>
    </r>
  </si>
  <si>
    <t>Труба  21 х 1,5  - 2,48; 2,92; 3,11м; 2,11м(1,8кг)  по 1шт</t>
  </si>
  <si>
    <t xml:space="preserve">Круг   8 мм - 3-3,1м(8,6кг отрезали 1м); 2,9-2,95м(25,4кг); 1,6м(0,7кг) - 1шт  </t>
  </si>
  <si>
    <t>Круг  133 мм - 0,29м(11,2кг) - 1шт клеймо 2017А</t>
  </si>
  <si>
    <t>Круг   5,4 мм  - 0,75-0,89м(1,5кг)</t>
  </si>
  <si>
    <t>Лента латунная 0,1х200 мм - 27,3кг - 1 рулон    мягкая</t>
  </si>
  <si>
    <r>
      <t xml:space="preserve">Квадрат  45х45мм -  1,66м(26,5кг); 3,19м(50,6кг) по 1шт                </t>
    </r>
    <r>
      <rPr>
        <b/>
        <sz val="10"/>
        <rFont val="Arial"/>
        <family val="2"/>
        <charset val="204"/>
      </rPr>
      <t xml:space="preserve">      </t>
    </r>
  </si>
  <si>
    <t>Труба  65 х 3,5  - 1,93м(10+10,3кг) по 1шт</t>
  </si>
  <si>
    <t xml:space="preserve">Круг  16 мм -   0,38+0,48м=1,1кг </t>
  </si>
  <si>
    <t>Круг  150 мм  -  0,33м(27кг точен) - 1шт</t>
  </si>
  <si>
    <t xml:space="preserve">Лист 10мм -  0,61х0,98м(26,8кг) - 1шт </t>
  </si>
  <si>
    <t>Труба  27х3,0  -  3,08м(69,1кг в т.ч. 2,05; 2м)</t>
  </si>
  <si>
    <r>
      <t xml:space="preserve">Круг  18"-" мм -   3,65-3,8м(524,7кг, от 1шт резали 2м)       светл и темные          </t>
    </r>
    <r>
      <rPr>
        <b/>
        <sz val="10"/>
        <rFont val="Arial"/>
        <family val="2"/>
        <charset val="204"/>
      </rPr>
      <t xml:space="preserve">    ЭП-56   </t>
    </r>
  </si>
  <si>
    <t>Круг   14 мм - 2,9-3,2м(233,5кг); 2-3,1м(27,3кг); 1,47-1,52м(5,5кг)                                                2,5-3м(31кг найти !!!!!!!!)</t>
  </si>
  <si>
    <t>Труба  18 х 3,0  -  1,52; 1,58; 1,7м по 1шт</t>
  </si>
  <si>
    <t xml:space="preserve">Лист  12 мм -  0,49х1,23м(57кг) - 1шт                  </t>
  </si>
  <si>
    <t xml:space="preserve">Круг   10 мм - 1,45-1,7м </t>
  </si>
  <si>
    <t>Труба  32 х 3,5  - 4,22м(10,3кг на Е2)); 2,32м(5,9кг) по 1шт</t>
  </si>
  <si>
    <t xml:space="preserve">Труба  25 х 2,0 -  2,88-2,92м(62кг); 4,05+3,52м=9,4кг(на Е2)   </t>
  </si>
  <si>
    <t>Труба  20 х 1,5  -  2,3+2,9м=3,4кг; 2,97м(2,2кг); 2,86+3,77м=4,2кг(на Е2)</t>
  </si>
  <si>
    <t>Труба  57 х 7,0  -  1,13м(10,2кг) - 1шт</t>
  </si>
  <si>
    <t>Лента медная рулон  0,05х150мм - 8,8кг - 1шт</t>
  </si>
  <si>
    <t>Лента медная рулон  0,3х300мм -  20,8кг - 1шт    мягкая</t>
  </si>
  <si>
    <t>Лента медная рулон  0,3х300мм -  26кг - 1шт    птв</t>
  </si>
  <si>
    <t xml:space="preserve">Круг   110 мм - 0,26м(22,3кг) - 1шт </t>
  </si>
  <si>
    <t xml:space="preserve">Круг   50 мм  -  0,17м(2,6кг); 0,16м(2,4кг); 0,1м(1,4кг); 0,11м(1,6кг) по 1шт  </t>
  </si>
  <si>
    <t xml:space="preserve">Круг   44 мм  -  0,12м(1,4кг) - 1шт  </t>
  </si>
  <si>
    <t>Круг   50 мм  - 1,01м(18,7кг) - 1шт</t>
  </si>
  <si>
    <t>Полоса        1,5х20мм   -  8,8кг - 1 бухта</t>
  </si>
  <si>
    <t xml:space="preserve"> АМГ-5</t>
  </si>
  <si>
    <t>Труба  76 х 5-5,5  - 2,24м(20,3кг) - 1шт</t>
  </si>
  <si>
    <t>Круг  20 мм  -  2,98-3м(99,5кг, в т.ч.  1,28м - 1шт)   калиброваный</t>
  </si>
  <si>
    <t>Лист медный 24 мм -  0,28х0,78м(47кг); 0,29х0,6м(38,7кг) по 1шт   птв</t>
  </si>
  <si>
    <r>
      <t xml:space="preserve">Круг  130 мм  -  1,52; 1,46м по  1шт            </t>
    </r>
    <r>
      <rPr>
        <b/>
        <sz val="10"/>
        <rFont val="Arial"/>
        <family val="2"/>
        <charset val="204"/>
      </rPr>
      <t>склад 6</t>
    </r>
    <r>
      <rPr>
        <b/>
        <sz val="8.3000000000000007"/>
        <rFont val="Arial"/>
        <family val="2"/>
        <charset val="204"/>
      </rPr>
      <t xml:space="preserve">              </t>
    </r>
    <r>
      <rPr>
        <b/>
        <sz val="10"/>
        <rFont val="Arial"/>
        <family val="2"/>
        <charset val="204"/>
      </rPr>
      <t xml:space="preserve"> ЭП-56</t>
    </r>
  </si>
  <si>
    <t>Лента - 0,1х100мм -  44,3кг - 1 бухта</t>
  </si>
  <si>
    <r>
      <t xml:space="preserve">Труба  32 х 7,0 -  8,53; 8,79; 8,42; 8,67м по 1шт      маркированы      </t>
    </r>
    <r>
      <rPr>
        <b/>
        <sz val="10"/>
        <rFont val="Arial"/>
        <family val="2"/>
        <charset val="204"/>
      </rPr>
      <t xml:space="preserve"> склад 6</t>
    </r>
  </si>
  <si>
    <r>
      <t xml:space="preserve">Труба  102 х 22-23 - 4,2; 3,16; 2,12м по 1шт      </t>
    </r>
    <r>
      <rPr>
        <b/>
        <sz val="10"/>
        <rFont val="Arial"/>
        <family val="2"/>
        <charset val="204"/>
      </rPr>
      <t xml:space="preserve"> 316-L</t>
    </r>
    <r>
      <rPr>
        <b/>
        <sz val="8.3000000000000007"/>
        <rFont val="Arial"/>
        <family val="2"/>
        <charset val="204"/>
      </rPr>
      <t xml:space="preserve">           </t>
    </r>
    <r>
      <rPr>
        <b/>
        <sz val="10"/>
        <rFont val="Arial"/>
        <family val="2"/>
        <charset val="204"/>
      </rPr>
      <t>склад 6</t>
    </r>
  </si>
  <si>
    <t xml:space="preserve">Труба  114 х 3,0 -  5,05м(45,7кг*); 4,82м(41кг) по 1шт     </t>
  </si>
  <si>
    <t>Круг  18 мм  -  1,79-2,78м; 1,65м - 1шт     н\о</t>
  </si>
  <si>
    <t>Круг   20 мм  -  0,41м(1кг); 0,32м(0,7кг в Г2) по 1шт</t>
  </si>
  <si>
    <t xml:space="preserve">Труба  23 х 1,5   -  6,3-6,9м(35,2кг отрезали куски 3м; 1м) </t>
  </si>
  <si>
    <t xml:space="preserve">Проволока   ф 6,0 мм -  бухты по  4кг - 4 бухты; 3,9кг - 1 бухта    </t>
  </si>
  <si>
    <t>Лента бронзовая - 1,8х30мм -   бухты  1,5кг и 3,6кг    твердая</t>
  </si>
  <si>
    <t>Круг   10 мм  -  2,54-2,57м, отрезали куски 1м; 1м; 1м; 1м; 0,25; 0,2м</t>
  </si>
  <si>
    <t>Труба  32 х 2,0 - 3,5м(5,2кг) - 1шт</t>
  </si>
  <si>
    <t>Проволока   0,2мм - катушки пластик  - 3,2кг - 1шт</t>
  </si>
  <si>
    <t>Проволока   0,8мм  - 11,5; 7,3кг  по 1-й  бухте</t>
  </si>
  <si>
    <t>Круг  16 мм  -  2,24+2,37м=7,3кг  н\о</t>
  </si>
  <si>
    <t xml:space="preserve">Лента бронзовая - 0,4х250мм  - 23,9кг - 1 бухта  твердая </t>
  </si>
  <si>
    <t>Проволока   1,6мм  -   3,8кг; 3,2кг по 1-й  бухте</t>
  </si>
  <si>
    <t>Проволока   2,0мм  -  8,4; 5,5кг по 1-й бухте</t>
  </si>
  <si>
    <r>
      <t xml:space="preserve">Лист  3,0 мм - 1,5х3м(420кг) - 4шт      </t>
    </r>
    <r>
      <rPr>
        <b/>
        <sz val="10"/>
        <rFont val="Arial"/>
        <family val="2"/>
        <charset val="204"/>
      </rPr>
      <t xml:space="preserve"> склад 6</t>
    </r>
    <r>
      <rPr>
        <b/>
        <sz val="8.5"/>
        <rFont val="Arial"/>
        <family val="2"/>
        <charset val="204"/>
      </rPr>
      <t xml:space="preserve">        режем нужный размер!!!</t>
    </r>
  </si>
  <si>
    <t xml:space="preserve">Лист  6 мм - 1,5х1,66м(118,5кг); 1,5х1,5м(101,9кг); 1,35х1,5м(91кг) по 1шт                       0,22х0,36м(3,8кг найти!!!)                   </t>
  </si>
  <si>
    <r>
      <t xml:space="preserve">Труба  89 х 4-4,5  -  3,23м(30,2кг) - 1шт            </t>
    </r>
    <r>
      <rPr>
        <b/>
        <sz val="10"/>
        <rFont val="Arial"/>
        <family val="2"/>
        <charset val="204"/>
      </rPr>
      <t xml:space="preserve"> 316-Ti</t>
    </r>
  </si>
  <si>
    <r>
      <t xml:space="preserve">Труба  89 х 4-4,5  -  5,04м(47кг) - 1шт            </t>
    </r>
    <r>
      <rPr>
        <b/>
        <sz val="10"/>
        <rFont val="Arial"/>
        <family val="2"/>
        <charset val="204"/>
      </rPr>
      <t xml:space="preserve"> 316-Ti</t>
    </r>
  </si>
  <si>
    <r>
      <t xml:space="preserve">Труба  89 х 4,5  -  2,63м(25кг) - 1шт            </t>
    </r>
    <r>
      <rPr>
        <b/>
        <sz val="10"/>
        <rFont val="Arial"/>
        <family val="2"/>
        <charset val="204"/>
      </rPr>
      <t xml:space="preserve"> 316-Ti</t>
    </r>
  </si>
  <si>
    <t>Круг   40 мм - 3,02м; 0,32м(3,5кг) по 1шт</t>
  </si>
  <si>
    <t>Круг   40 мм - 1,74м(18,6кг); 2,36м(25,1кг) по 1шт</t>
  </si>
  <si>
    <t xml:space="preserve">Круг   20 мм  -  0,71+0,9м=4,1кг; 1,19м(2,9кг) по 1шт  </t>
  </si>
  <si>
    <t>Круг  90 мм  -  0,9м(44кг)  - 1шт</t>
  </si>
  <si>
    <t xml:space="preserve">Лист  6 мм - 0,9х1,44м(61; 62,5; 63,3; 62,9кг); 0,95х1,44м(64,8кг); 1,02х1,5м(71,8кг) по 1шт </t>
  </si>
  <si>
    <t xml:space="preserve">Труба  42 х 3,0   -  1,17-1,22м(34,1кг); 0,69-0,9м(6,8кг) </t>
  </si>
  <si>
    <t>Труба 65х10 -   4,33м(21,4кг); 4,3+2,24+4,35м=54,3кг; 1,64м(8кг)   клеймо</t>
  </si>
  <si>
    <t xml:space="preserve">Круг  70 мм  -   3,81м(112,9кг клеймо) - 1шт       </t>
  </si>
  <si>
    <t xml:space="preserve">Лента бронзовая - 0,15х290мм -   бухта 4,6кг - 1шт      твердая             </t>
  </si>
  <si>
    <t>Шина медная - 10х100мм - 1,08м(9,7кг) - 1шт  твердая</t>
  </si>
  <si>
    <r>
      <t xml:space="preserve">Труба  133 х 6,0   -  1,07м(21кг) - 1шт                    </t>
    </r>
    <r>
      <rPr>
        <b/>
        <sz val="10"/>
        <rFont val="Arial"/>
        <family val="2"/>
        <charset val="204"/>
      </rPr>
      <t xml:space="preserve"> </t>
    </r>
  </si>
  <si>
    <t>Лист медный 1,5 мм - 0,6х1,5м(11,7кг) - 1шт   мягкий</t>
  </si>
  <si>
    <t>Круг  8,2 мм -   1,5-2,7м(3,4кг)  калиброваный</t>
  </si>
  <si>
    <t>Круг  16 мм  -  2,95; 3,55м  по 1шт</t>
  </si>
  <si>
    <t>Лента - 0,5х240мм - 47,9кг - 1 рулон</t>
  </si>
  <si>
    <t>Анод кадмий -  4мм - 300х490мм(5кг)  - 1шт</t>
  </si>
  <si>
    <t>Круг   25 мм  -  0,25-0,4м(10,2кг)</t>
  </si>
  <si>
    <t xml:space="preserve">Круг   158 мм  - 0,19м(29,2кг) - 1шт   </t>
  </si>
  <si>
    <t xml:space="preserve">Круг   220 мм  -  80мм(27,3кг) - 1шт   </t>
  </si>
  <si>
    <t>Труба  22 х 3,5   -  4м(6,2кг); 1,45+1,5м=5кг по 1шт</t>
  </si>
  <si>
    <t xml:space="preserve">Труба 111х5,5-6  - 2,58-3,12м(143,5кг есть клейма) - 10шт; 3,11м(15,2кг); 2,95м(14,3кг клеймо) по 1шт  </t>
  </si>
  <si>
    <r>
      <t xml:space="preserve">Труба  102 х 3,5 -  1,57м(12,5кг) - 1шт           </t>
    </r>
    <r>
      <rPr>
        <b/>
        <sz val="10"/>
        <rFont val="Arial"/>
        <family val="2"/>
        <charset val="204"/>
      </rPr>
      <t xml:space="preserve">  316-Ti</t>
    </r>
  </si>
  <si>
    <r>
      <t xml:space="preserve">Шестигранник №30   -  1,8-2м(59,8кг в т.ч 0,64м)              </t>
    </r>
    <r>
      <rPr>
        <b/>
        <sz val="10"/>
        <rFont val="Arial"/>
        <family val="2"/>
        <charset val="204"/>
      </rPr>
      <t xml:space="preserve"> ЭИ-961ш</t>
    </r>
  </si>
  <si>
    <t>Круг  26 мм  -  1,76+2,07м=16,6кг</t>
  </si>
  <si>
    <t xml:space="preserve">Лист 8мм -   1х1,35м(50кг) - 1шт </t>
  </si>
  <si>
    <t>Круг  80 мм  -   1,56м(60,8кг) - 1шт</t>
  </si>
  <si>
    <t>Труба  50 х 2,0  -  2,83м(7,3кг) - 1шт</t>
  </si>
  <si>
    <r>
      <t xml:space="preserve">Лист  6 мм -   1,21х2м - 1шт    н\о   </t>
    </r>
    <r>
      <rPr>
        <b/>
        <sz val="10"/>
        <rFont val="Arial"/>
        <family val="2"/>
        <charset val="204"/>
      </rPr>
      <t xml:space="preserve"> ЭП-56</t>
    </r>
    <r>
      <rPr>
        <b/>
        <sz val="8.3000000000000007"/>
        <rFont val="Arial"/>
        <family val="2"/>
        <charset val="204"/>
      </rPr>
      <t xml:space="preserve">         </t>
    </r>
    <r>
      <rPr>
        <b/>
        <sz val="10"/>
        <rFont val="Arial"/>
        <family val="2"/>
        <charset val="204"/>
      </rPr>
      <t>склад 6</t>
    </r>
  </si>
  <si>
    <r>
      <t xml:space="preserve">Лист  3 мм -   1х2,1м(50,2; 50,8; 49,7; 50,5; 50,8кг маркировка) по 1шт    н\о        </t>
    </r>
    <r>
      <rPr>
        <b/>
        <sz val="10"/>
        <rFont val="Arial"/>
        <family val="2"/>
        <charset val="204"/>
      </rPr>
      <t>ЭП-56ш</t>
    </r>
  </si>
  <si>
    <t xml:space="preserve">Круг   9 мм  -  0,73-0,85м  </t>
  </si>
  <si>
    <t>Шина медная - 8х60мм - 17,7+17,4кг бухты,  ориентировочная длина 4м</t>
  </si>
  <si>
    <t>Труба  45 х 2,5 - 1; 0,46м по 1шт</t>
  </si>
  <si>
    <t>Лист латунный 2,0 мм - 0,6х1,5м - 13шт; 0,6х0,78м(7,4кг) - 1шт     птв</t>
  </si>
  <si>
    <r>
      <t xml:space="preserve">Круг  10"-" мм   -  1,08м(6,5кг)                    </t>
    </r>
    <r>
      <rPr>
        <b/>
        <sz val="10"/>
        <rFont val="Arial"/>
        <family val="2"/>
        <charset val="204"/>
      </rPr>
      <t>ЭИ-652</t>
    </r>
  </si>
  <si>
    <t>Проволока   ф 1,6мм  -  5,5; 7,1кг по 1-й  бухте    мягкая</t>
  </si>
  <si>
    <t>Круг   100 мм -  0,17м(10,5кг); 80мм(4,4кг); 90мм(5,2кг) по 1шт</t>
  </si>
  <si>
    <t>Лист медный 1,0 мм -  0,6х1,5м - 7шт   мягкий, 1 сторона в пленке</t>
  </si>
  <si>
    <t xml:space="preserve">Труба  10х1,0  - 15,1; 17,9кг; 10,7кг; 6,7кг; 3,6кг по 1-й бухте     </t>
  </si>
  <si>
    <t>Круг  12 мм - 3м - 3шт+2,15м=11,2кг; 1,32+1,36м=2,7кг; 1м(2кг) - 2шт</t>
  </si>
  <si>
    <t>Труба  18 х 2,0   -  0,94; 1,38; 1,68м по 1шт</t>
  </si>
  <si>
    <t>Круг  30мм  -  1,82+1,9+1,57м=31кг; 0,83-1,01м(19,6кг)</t>
  </si>
  <si>
    <t>Труба  64 х 6,5  -  2,59м(13,4кг н\о); 2,58м(13,4кг) по 1шт</t>
  </si>
  <si>
    <t>Труба  27 х 3,0   -  3,6+3,6+3,85м=20кг; 3,73м(6,6кг); 3,4м(6,1кг) по 1шт</t>
  </si>
  <si>
    <t xml:space="preserve">Труба  27 х 3,5  - 2,56+3,16м=11кг; 3,29м(6,8кг) - 1шт  </t>
  </si>
  <si>
    <t>Труба  21 х 3,3-3,5  - 3,35м(4,8кг)  - 1шт</t>
  </si>
  <si>
    <t>И</t>
  </si>
  <si>
    <t xml:space="preserve">Круг  26мм  - 0,9-1,19м                  </t>
  </si>
  <si>
    <t>Круг  26мм  - 3,06м(12,8кг) - 1шт</t>
  </si>
  <si>
    <t xml:space="preserve">Круг  16 мм  -  2м </t>
  </si>
  <si>
    <t xml:space="preserve">Круг  50 мм  -  2м(31кг); 2,06м(31,8кг) по 1шт </t>
  </si>
  <si>
    <t>Круг  24мм  -  3-3,1м - 5шт</t>
  </si>
  <si>
    <t xml:space="preserve">Круг   60 мм  - 0,78-0,81м(264,8кг) - 13шт; 0,82м(21,1кг); 0,79м(19,5кг); 0,8м; 0,68м(17,8кг); 0,8м(21,2кг); 0,69м(17,8кг); 0,42м(11,2кг); 0,8м(19,9кг); 0,28м(7,2+7,4кг); 0,17м(4,4кг); 0,34м(8,4кг) по 1шт                   </t>
  </si>
  <si>
    <t xml:space="preserve">Лист  6 мм - 0,61х0,74м(21,4кг); 0,61х0,75м(21,8кг)   по 1шт        </t>
  </si>
  <si>
    <t xml:space="preserve">Труба  25 х 3,0  - 2,2-2,75м(78кг, в т.ч. 1шт 1,27м); 3,38м(5,5кг); 1,8-2,7м(14,9кг) </t>
  </si>
  <si>
    <t xml:space="preserve">Труба  50 х 3,0  -  2+3м=17,6кг; 1,46+3,48м=17,1кг  </t>
  </si>
  <si>
    <r>
      <t xml:space="preserve">Лист  40 мм - 0,46х0,61м(91кг); 0,46х0,6м(90,3кг)  по 1шт        </t>
    </r>
    <r>
      <rPr>
        <b/>
        <sz val="10"/>
        <rFont val="Arial"/>
        <family val="2"/>
        <charset val="204"/>
      </rPr>
      <t xml:space="preserve">    </t>
    </r>
  </si>
  <si>
    <t>Лента  0,6х395 мм  - рулон 3,5кг - 1шт        мягкая</t>
  </si>
  <si>
    <t xml:space="preserve">Труба  16 х 3,0  -  2,5-5,2м </t>
  </si>
  <si>
    <t>Лист  40 мм  -  блины  - ф580мм(91+90,2кг)  по 1шт</t>
  </si>
  <si>
    <t xml:space="preserve">Круг   42 мм - 0,19; 0,24; 0,21; 0,22м  по 1шт  </t>
  </si>
  <si>
    <t xml:space="preserve">Круг   40 мм  -   0,25+0,27+0,32м=9,7кг; 0,22м(2,5кг)                  </t>
  </si>
  <si>
    <r>
      <t xml:space="preserve">Втулка ф150мм стенка 25мм - 0,45м(39,5кг) - 1шт    </t>
    </r>
    <r>
      <rPr>
        <b/>
        <sz val="12"/>
        <rFont val="Arial"/>
        <family val="2"/>
        <charset val="204"/>
      </rPr>
      <t xml:space="preserve"> </t>
    </r>
  </si>
  <si>
    <t>Лист латунный 0,8 мм - 0,6х1,5м - 9шт      мягкие, печати</t>
  </si>
  <si>
    <t xml:space="preserve">Проволока  4 мм  -                                          6,1кг(найти!!!!) </t>
  </si>
  <si>
    <r>
      <t xml:space="preserve">Труба  18 х 1,5 -  5,7-6,6м     </t>
    </r>
    <r>
      <rPr>
        <b/>
        <sz val="10"/>
        <rFont val="Arial"/>
        <family val="2"/>
        <charset val="204"/>
      </rPr>
      <t xml:space="preserve"> 316Тi</t>
    </r>
  </si>
  <si>
    <r>
      <t xml:space="preserve">Труба  18 х 1,5   -  3,4-6,3м(22,5кг); 2,6-3,2м(28,2кг)         </t>
    </r>
    <r>
      <rPr>
        <b/>
        <sz val="10"/>
        <rFont val="Arial"/>
        <family val="2"/>
        <charset val="204"/>
      </rPr>
      <t>316L</t>
    </r>
  </si>
  <si>
    <t>Лента бронзовая - 0,35х200мм  -  1 бухта  19,9кг   твердая</t>
  </si>
  <si>
    <t>Лента бронзовая - 0,3х90мм  -  1 бухта  9,9кг  мягкая</t>
  </si>
  <si>
    <t>Лента бронзовая - 0,3х50мм  -  1 бухта  14,6кг  твердая</t>
  </si>
  <si>
    <t>Труба  28х4,0  -  2,49-3м</t>
  </si>
  <si>
    <t>Круг   22 мм - 1м(3,2кг); 0,5м(1,6кг) по 1шт</t>
  </si>
  <si>
    <r>
      <t>Круг  38 мм -  2,78-3,57м(695,3кг, в т.ч. 1,22м)                      клеймо</t>
    </r>
    <r>
      <rPr>
        <b/>
        <sz val="10"/>
        <rFont val="Arial"/>
        <family val="2"/>
        <charset val="204"/>
      </rPr>
      <t xml:space="preserve"> ЭП-638ви</t>
    </r>
  </si>
  <si>
    <t>Лента медная рулон  0,45х300мм -  7,8кг - 1шт    мягкая</t>
  </si>
  <si>
    <t>Лента медная рулон  0,1х95мм -  13,4кг - 1шт    твердая</t>
  </si>
  <si>
    <t>Лист латунный 1,0 мм - 0,6х1,5м - 3шт   твердые</t>
  </si>
  <si>
    <t>Лист латунный 0,8 мм - 0,6х1,5м - 2шт   твердые</t>
  </si>
  <si>
    <t>Проволока   ф 3 мм  - 16,6кг  - 1 бухта  твердая</t>
  </si>
  <si>
    <t>Проволока   ф 3 мм  - 25,7; 17,5кг по 1 бухте   мягкая</t>
  </si>
  <si>
    <t>Проволока   ф 3,5 мм  - 2кг  - 1 бухта  твердая</t>
  </si>
  <si>
    <t>Проволока   ф 3,5 мм  - 1,2кг  - 1 бухта  мягкая</t>
  </si>
  <si>
    <t>л7</t>
  </si>
  <si>
    <t>Лист медный 6,0 мм - 0,59х1,49м(47кг) - 1шт   ближе к мягкому</t>
  </si>
  <si>
    <t xml:space="preserve">Лист медный 5,6 мм - 0,59х1м(29,8кг) - 1шт    </t>
  </si>
  <si>
    <t>Проволока   ф 2,0 мм   -  бухта 54кг - 1шт     мягкая</t>
  </si>
  <si>
    <t>Лист латунный 2,0 мм - 0,6х1,5м - 10шт       птв</t>
  </si>
  <si>
    <r>
      <t xml:space="preserve">Лента - 0,17х95мм - 35,4кг - 1 рулон         </t>
    </r>
    <r>
      <rPr>
        <b/>
        <sz val="10"/>
        <rFont val="Arial"/>
        <family val="2"/>
        <charset val="204"/>
      </rPr>
      <t xml:space="preserve"> </t>
    </r>
    <r>
      <rPr>
        <b/>
        <sz val="8.5"/>
        <rFont val="Arial"/>
        <family val="2"/>
        <charset val="204"/>
      </rPr>
      <t xml:space="preserve">  </t>
    </r>
  </si>
  <si>
    <t>Лист  1,0 мм - 1х2м - 1шт    маркированы</t>
  </si>
  <si>
    <r>
      <t xml:space="preserve">Круг  90 мм   -  5,53м; 5,21м; 5,22м - 2шт; 4,94; 4,66м; 0,93м(48кг) по 1шт   клеймо    </t>
    </r>
    <r>
      <rPr>
        <b/>
        <sz val="10"/>
        <rFont val="Arial"/>
        <family val="2"/>
        <charset val="204"/>
      </rPr>
      <t>316-L    склад 2</t>
    </r>
  </si>
  <si>
    <t>Труба  19 х 1,5 - 5,4-5,6м(31,2кг); 2,6-3,6м(61,6кг); 2,25-2,95м(13,2кг); 3,5м(2,4кг)</t>
  </si>
  <si>
    <t xml:space="preserve">Круг   50(49) мм  -  0,31м(4,4кг); 0,27м(3,9кг); 0,27м(4кг) по 1шт </t>
  </si>
  <si>
    <t xml:space="preserve">Труба  22 х 2,0  -  0,92-2,2м </t>
  </si>
  <si>
    <t>Шестигранник №19 - 1,6-2,5м(61,2кг); 0,7-1,1м(12,5кг); 0,47-0,55м(12,8кг)</t>
  </si>
  <si>
    <t xml:space="preserve">Лист  3,0 мм -   1,05х2,6м(64,2кг) - 1шт   холоднокатаный!!!!!        </t>
  </si>
  <si>
    <t>л9</t>
  </si>
  <si>
    <t xml:space="preserve">Лист  3,0 мм -   1,02х2,57м(61,5кг) - 1шт   холоднокатаные!!!!!    режем нужный размер!!!   </t>
  </si>
  <si>
    <t xml:space="preserve">Лист  3,0 мм -   1,05х1,05м(26,4кг без угла 40х100мм); 1,05х1,07м(27,1кг); 1,02х1,74м(42кг) по 1шт   холоднокатаный!!!!!        </t>
  </si>
  <si>
    <t>Лист  5 мм  -  1,52х1,5м(31кг); 1,22х1,5м(24,8кг)  по 1шт</t>
  </si>
  <si>
    <t>Проволока   ф 4мм  - 12,3кг - 1  бухта  мягкая</t>
  </si>
  <si>
    <t>Труба 45х2,0  по 1,34м(27,1кг)</t>
  </si>
  <si>
    <r>
      <t xml:space="preserve">Труба  25 х 1,5   -  1,94+2,48+3,05м=7,2кг            </t>
    </r>
    <r>
      <rPr>
        <b/>
        <sz val="10"/>
        <rFont val="Arial"/>
        <family val="2"/>
        <charset val="204"/>
      </rPr>
      <t>316-L</t>
    </r>
  </si>
  <si>
    <t xml:space="preserve">Труба  8х1,0  -  22,3; 4,4; 3,8; 3,9; 2,8; 1,8; 2,8кг по 1-й бухте     </t>
  </si>
  <si>
    <t xml:space="preserve">Труба  34 х 5-5,5  -   4,8-4,9м(57,9кг отрезали куски 1,3; 1,3; 1,5м) </t>
  </si>
  <si>
    <t>Лист  3 мм  -  0,71х1,2м  -  9шт</t>
  </si>
  <si>
    <t>Круг   40 мм - 0,88+0,9м=18,8кг; 0,5м(5,3кг) по 1шт</t>
  </si>
  <si>
    <t xml:space="preserve">Труба  28 х 4,0  -   1,6м(2,3кг); 2,43м(3,2кг); 2,1м(2,9кг) по 1шт </t>
  </si>
  <si>
    <t xml:space="preserve">Труба  36 х 4,0  -   1,33м(2,6кг) - 1шт </t>
  </si>
  <si>
    <t xml:space="preserve">Труба  27 х 3,5  -   1,52м(1,8кг) - 1шт </t>
  </si>
  <si>
    <t xml:space="preserve">Труба  27 х 5"-"  -   1,63м(2,4кг) - 1шт </t>
  </si>
  <si>
    <r>
      <t xml:space="preserve">Круг  10,5-11 мм   -  1,02м(0,7кг) - 1шт                 </t>
    </r>
    <r>
      <rPr>
        <b/>
        <sz val="10"/>
        <rFont val="Arial"/>
        <family val="2"/>
        <charset val="204"/>
      </rPr>
      <t xml:space="preserve"> ЭИ-437</t>
    </r>
  </si>
  <si>
    <t>Круг  16 мм  -  1,88м(3кг); 1,13м(1,7кг); 0,65м(1кг) по 1шт</t>
  </si>
  <si>
    <t>Лента медная рулон  0,2х120мм - 47,8кг - 1шт   птв</t>
  </si>
  <si>
    <r>
      <t xml:space="preserve">Труба  15 х 1,5 -  6,9м(3,5кг - в Е7); 2,96-3,2м(5,9кг - в Е6, от 1шт резали 1м)    </t>
    </r>
    <r>
      <rPr>
        <b/>
        <sz val="10"/>
        <rFont val="Arial"/>
        <family val="2"/>
        <charset val="204"/>
      </rPr>
      <t xml:space="preserve"> 316Ті</t>
    </r>
  </si>
  <si>
    <t>Труба 55х6,0 -  2,29; 2,32м по 1шт       цветовая маркировка</t>
  </si>
  <si>
    <t>л4</t>
  </si>
  <si>
    <t xml:space="preserve">Лист латунный 4,0 мм - 0,6х1,49м(29,4; 29,4; 29,5; 29,5; 29,6; 29,3; 29,7кг) по 1шт       </t>
  </si>
  <si>
    <t>Труба 18х3,5 -  2,95-3м(71,8кг, от 1шт резали 1,5м)     цветовая маркировка</t>
  </si>
  <si>
    <t xml:space="preserve">Труба 90х20  -  0,98м - 1шт   </t>
  </si>
  <si>
    <t xml:space="preserve">Труба 75х12,5  -  1,51м(10,3кг); 1,14м(7,8кг клейммо) по 1шт   </t>
  </si>
  <si>
    <t>Круг   10 мм  -  1,06+1,6м=1,5кг</t>
  </si>
  <si>
    <t>Шестигранник №12  -  1,35-2м</t>
  </si>
  <si>
    <t xml:space="preserve">Круг   215 мм -  72мм(21кг) - 1шт </t>
  </si>
  <si>
    <t>Круг   60 мм - 0,86м(20,6кг); 0,41м(9,8кг); 0,13м(3,3кг) по 1шт</t>
  </si>
  <si>
    <t xml:space="preserve">Круг   70 мм -   0,18м(6,2кг) - 1шт </t>
  </si>
  <si>
    <t xml:space="preserve">Труба  42 х 10,0 -  0,95-1,08м(25,1кг) </t>
  </si>
  <si>
    <t>Шестигранник №22 - 2,66м(8,6кг); 1,5м(4,9кг н\о); 0,82+0,83м=5,4кг н\о; 0,46м(1,5кг); 1,35+1,43=9,1кг</t>
  </si>
  <si>
    <t xml:space="preserve">Круг  10 мм  - 3-3,1м(40,8г, от 1шт отрезали 1,5м) </t>
  </si>
  <si>
    <t xml:space="preserve">Проволока  8 мм  - 25,5кг - 1  бухта   н\о; 8,1кг - 1 бухта светлая </t>
  </si>
  <si>
    <t xml:space="preserve">Круг   12 мм  -  0,84-1,17м </t>
  </si>
  <si>
    <t xml:space="preserve">Полоса        1х10мм    бухты  8,8кг; 2,7; 2,7; 2,7; 2; 2; 1,8; 1,8; 1,5кг по 1шт   </t>
  </si>
  <si>
    <t>Труба 32х4,0 - 3,5м(14,4кг в т.ч. 1шт 1,5м); 3,7м - 1шт; 0,81м(0,8кг) - 1шт</t>
  </si>
  <si>
    <t>Круг  25 мм  - 2,7-3,5м     цветовая маркировка</t>
  </si>
  <si>
    <t>Круг  25 мм  - 1,75-1,9м(2,3кг) - 1шт</t>
  </si>
  <si>
    <t xml:space="preserve">Круг  17 мм  -  1,03-1,37м </t>
  </si>
  <si>
    <t xml:space="preserve">Труба  15 х 1,0  -  4,3м - 2шт </t>
  </si>
  <si>
    <r>
      <t xml:space="preserve">Труба  32 х 1,5  -  3,77-3,82м(30,5кг); 2,94-3,05м(41,5кг)           </t>
    </r>
    <r>
      <rPr>
        <b/>
        <sz val="10"/>
        <rFont val="Arial"/>
        <family val="2"/>
        <charset val="204"/>
      </rPr>
      <t xml:space="preserve">   </t>
    </r>
  </si>
  <si>
    <t xml:space="preserve">Труба 6х1,0 -  2,4-2,5м(41,1кг) </t>
  </si>
  <si>
    <t xml:space="preserve">Круг   40 мм  -   0,83м(9кг)  - 1шт                </t>
  </si>
  <si>
    <t>Труба  42 х 3,0   -  2,05м - 2шт</t>
  </si>
  <si>
    <t>Припой   ф3мм  - проволока катушки по 1кг CYNEL  Sn60Pb40, SW26/3/2,5% c флюсом</t>
  </si>
  <si>
    <t>ПОС-60</t>
  </si>
  <si>
    <t>аналог ХН28МДТ</t>
  </si>
  <si>
    <r>
      <t xml:space="preserve">Круг (пруток) 1,6 мм  -  сварочный по 1м в тубах по 5кг, 6 туб     </t>
    </r>
    <r>
      <rPr>
        <b/>
        <sz val="10"/>
        <rFont val="Arial"/>
        <family val="2"/>
        <charset val="204"/>
      </rPr>
      <t>ER316LSi</t>
    </r>
  </si>
  <si>
    <r>
      <t xml:space="preserve">Круг (пруток) 3,2 мм  -  сварочный по 1м в тубах по 5кг, 6 туб  TIG DAIKO  </t>
    </r>
    <r>
      <rPr>
        <b/>
        <sz val="10"/>
        <rFont val="Arial"/>
        <family val="2"/>
        <charset val="204"/>
      </rPr>
      <t>ER385 (904L)</t>
    </r>
  </si>
  <si>
    <t>л2</t>
  </si>
  <si>
    <t>Лист  3 мм  -   0,5х1,27м(14кг) - 1шт</t>
  </si>
  <si>
    <t>Проволока  1,0 мм  -  9,7кг - 1 бухта</t>
  </si>
  <si>
    <t>Проволока  3,0  мм - 23,3кг; 14,5; 26кг; 27,7кг; 31; 25,5; 17,5; 11,2кг; 26,3; 33,5; 21,5кг; 5,6кг  по 1-й бухте  мягкая</t>
  </si>
  <si>
    <t>Проволока  5,0 мм - 24; 4,7кг   по 1-й  бухте</t>
  </si>
  <si>
    <t xml:space="preserve">Труба  22 х 4,0   - 0,87м - 1шт; 0,92м - 1шт </t>
  </si>
  <si>
    <t>Круг  22 мм  -  4м(12кг); 1,5-2,8м(57,6кг); 3,7-4,3м(35,9кг) - 3шт; 0,89м(2,7кг)</t>
  </si>
  <si>
    <t xml:space="preserve">Круг  30 мм - 0,35м(1кг); 0,3м(1,2кг общая длина 0,35м проточка на ф24мм - 50мм клеймо); 0,39м(1,2кг) по 1шт  </t>
  </si>
  <si>
    <t xml:space="preserve">Лента бронзовая - 0,5х250мм - 1 бухта  37,7кг     твердая             </t>
  </si>
  <si>
    <t>Труба  36 х 1,0  -  1,22-1,47м(7,6кг)</t>
  </si>
  <si>
    <t>Труба  8 х 1,0  -  2,15-2,8м; 3,6м - 1шт; 5,5м - 4шт; 4,5м - 1шт; 3,5м - 2шт</t>
  </si>
  <si>
    <t>Круг   74 мм -  0,87м(28,5кг); 0,29м(9,7кг) по 1шт</t>
  </si>
  <si>
    <r>
      <t xml:space="preserve">Труба  219 х 6,5 -  3,77+5,97м=342кг         </t>
    </r>
    <r>
      <rPr>
        <b/>
        <sz val="10"/>
        <rFont val="Arial"/>
        <family val="2"/>
        <charset val="204"/>
      </rPr>
      <t xml:space="preserve">316-Ti  </t>
    </r>
    <r>
      <rPr>
        <b/>
        <sz val="8.5"/>
        <rFont val="Arial"/>
        <family val="2"/>
        <charset val="204"/>
      </rPr>
      <t xml:space="preserve">  </t>
    </r>
    <r>
      <rPr>
        <b/>
        <sz val="10"/>
        <rFont val="Arial"/>
        <family val="2"/>
        <charset val="204"/>
      </rPr>
      <t>склад 6</t>
    </r>
  </si>
  <si>
    <t>Лента бронзовая - 0,3х250мм  -  36кг - 1 бухта  твердая</t>
  </si>
  <si>
    <t>Лист латунный 18"-" мм - 0,6-0,63х1,5-1,52м  - 3шт   режем нужный размер,      склад 2</t>
  </si>
  <si>
    <t>Проволока   2,5мм  -  3,3кг; 5,7кг  по 1-й  бухте</t>
  </si>
  <si>
    <t>Круг   50(49) мм  -  0,27м(4,8кг); 0,2м(3,3кг); 0,14м(2,4кг) по 1шт</t>
  </si>
  <si>
    <t>Круг   38 мм  -  0,38+0,39м=8,1кг; 0,25м(2,5кг); 0,2м(2,1кг) по 1шт</t>
  </si>
  <si>
    <r>
      <t xml:space="preserve">Лист латунный 25 мм - 0,58х0,53м - 1шт  режем нужный размер  </t>
    </r>
    <r>
      <rPr>
        <b/>
        <sz val="12"/>
        <rFont val="Arial"/>
        <family val="2"/>
        <charset val="204"/>
      </rPr>
      <t>склад 2</t>
    </r>
  </si>
  <si>
    <r>
      <t xml:space="preserve">Труба  18 х 2,0 -  2,42м - 1шт    </t>
    </r>
    <r>
      <rPr>
        <b/>
        <sz val="10"/>
        <rFont val="Arial"/>
        <family val="2"/>
        <charset val="204"/>
      </rPr>
      <t>316-Тi</t>
    </r>
  </si>
  <si>
    <t>Проволока   5 мм  -  2,9кг; 5,8кг; 2,6кг; 4кг; 6кг  по 1-й бухте</t>
  </si>
  <si>
    <t>Труба 45х2,5  -  3м - 1шт     цветовая маркировка</t>
  </si>
  <si>
    <t>Полоса        1,5х15мм   - 7,9; 7,4; 8,2кг; 12,9кг(светлая); 5,4кг; 2,8кг(светлая) по 1-й  бухте</t>
  </si>
  <si>
    <t>Проволока   0,5мм  - 2,2; 0,7кг по 1-й катушке, пластик</t>
  </si>
  <si>
    <t>Круг  40 мм -  4,32м(42,4кг н\о) - 1шт</t>
  </si>
  <si>
    <t>Шестигранник №24  - 3м - 3шт; 2м(31,4кг) - 4шт; 0,6+0,66м=4,9кг; 1,66м(6,4кг)</t>
  </si>
  <si>
    <t xml:space="preserve">Труба  10 х 1,5  -  2,95м(3,5кг, в т.ч. 1,95м)                             </t>
  </si>
  <si>
    <t>Труба  48 х 3-3,5  - 0,98м(3,5кг) - 1шт</t>
  </si>
  <si>
    <t>Труба  45 х 4,0  - 1,27м(5,4кг) - 1шт</t>
  </si>
  <si>
    <t>Труба  70х15 мм - 0,9м(17,5кг); 0,86м(16,6кг); 0,84м(16,2кг); 0,85м(16,3+16,3кг) по 1шт</t>
  </si>
  <si>
    <t xml:space="preserve">Круг   70 мм - 0,73м(20,9кг); 0,71м(20,3кг)  по 1шт  </t>
  </si>
  <si>
    <t xml:space="preserve">Лист латунный 4,0 мм - 0,59х1,49м(29,5кг) - 1шт       </t>
  </si>
  <si>
    <t>Проволока   ф 3 мм  - 20,2; 13,2; 10,2; 8,6; 1,5кг по 1-й бухте     птв</t>
  </si>
  <si>
    <t>Проволока   ф 4мм  - 22,4; 3,4кг по 1-й  бухте  мягкая</t>
  </si>
  <si>
    <t xml:space="preserve">Круг  18"-" мм  - 0,43-0,93м(15,6кг); 0,65м(1,3кг) - 1шт       </t>
  </si>
  <si>
    <t>Круг  180 мм -  120мм(8,7кг клеймо) - 1шт             2024</t>
  </si>
  <si>
    <t xml:space="preserve">Круг  150 мм -  120мм(6,1; 6,1; 6,3кг) по 1шт              </t>
  </si>
  <si>
    <t>Круг  220(219) мм -  0,17м(18,3кг); 0,15м(16,1кг); 145мм(15,5кг) по 1шт</t>
  </si>
  <si>
    <t>Круг  240 мм -  100мм(12,7кг клеймо); 110мм(14кг) по 1шт</t>
  </si>
  <si>
    <t>Круг  270 мм -  125мм(19,7кг) - 1шт</t>
  </si>
  <si>
    <t>Труба  60 х 6,0  -  2,24м(18,3кг); 2,54м(20,3кг) по 1шт</t>
  </si>
  <si>
    <r>
      <t xml:space="preserve">Труба  25 х 3,0   -  3,68+5,42м=15кг; 2,8-3,5м(162,8кг)        </t>
    </r>
    <r>
      <rPr>
        <b/>
        <sz val="10"/>
        <rFont val="Arial"/>
        <family val="2"/>
        <charset val="204"/>
      </rPr>
      <t>316L</t>
    </r>
  </si>
  <si>
    <t xml:space="preserve">Квадрат  30х30мм -  0,71-0,92м </t>
  </si>
  <si>
    <t>Шина медная - 2х28мм - 4,1кг - 1 бухта</t>
  </si>
  <si>
    <r>
      <t xml:space="preserve">Лист  10 мм - 1х1,2м(91,6кг); 0,22х48м(8,8кг) по 1шт         </t>
    </r>
    <r>
      <rPr>
        <b/>
        <sz val="10"/>
        <rFont val="Arial"/>
        <family val="2"/>
        <charset val="204"/>
      </rPr>
      <t xml:space="preserve"> </t>
    </r>
  </si>
  <si>
    <t xml:space="preserve">Лист  16 мм -  0,19х0,56м(13,8кг); 0,26х0,37м(12,6кг); 0,19х0,56м(13,3кг)  по 1шт     </t>
  </si>
  <si>
    <r>
      <t xml:space="preserve">Труба  108(107) х 18,5-19 -  5,97м - 1шт                      </t>
    </r>
    <r>
      <rPr>
        <b/>
        <sz val="10"/>
        <rFont val="Arial"/>
        <family val="2"/>
        <charset val="204"/>
      </rPr>
      <t xml:space="preserve">   </t>
    </r>
    <r>
      <rPr>
        <b/>
        <sz val="8.3000000000000007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склад 6</t>
    </r>
  </si>
  <si>
    <t>Лист бронзовый 6мм - 300х330мм(по 5,3кг) - 2шт; 310х300мм(4,9кг) по 1шт</t>
  </si>
  <si>
    <t xml:space="preserve">Круг   16 мм - 2,62+3,02м=9,5кг; 1,8-2,55м(55,4кг); 1,83м(3кг); 1,65м(2,7кг); 0,7-0,8м - 3шт; 0,2-0,25м - 3шт </t>
  </si>
  <si>
    <t>Лист медный 2,5 мм - 0,3х0,6м(3,9кг) - 1шт    мягкие</t>
  </si>
  <si>
    <t>Круг  90(89) мм - 2,45м(42,2кг); 3,06м(52,7кг); 0,15м(2,6кг) по 1шт   2A70 T6 (2618A)</t>
  </si>
  <si>
    <t xml:space="preserve">Круг  50 мм   -  3м - 3шт; 2,78м - 1шт      клеймо, импорт </t>
  </si>
  <si>
    <t xml:space="preserve">Круг  100 мм  -  0,65м(40кг) - 1шт </t>
  </si>
  <si>
    <t>Труба  70 х 3,0 -  5,01м(25,6+25,6кг); 3,2м(16,3кг) по 1шт</t>
  </si>
  <si>
    <t>Припой   ф1мм  - проволока бухта  0,4кг    с канифолью</t>
  </si>
  <si>
    <t>Проволока  1,4(1,35) мм - 12,8; 7,5; 3,5; 8,3; 3,4; 4,6; 8,7; 7,3; 24,8кг по 1 бухте   птв</t>
  </si>
  <si>
    <t>Проволока  0,6 мм - 14,5; 5,4кг по 1-й катушке пластиковой, мягкая</t>
  </si>
  <si>
    <t>Проволока  0,25 мм - 6,2кг - 1 катушка пластиковая, мягкая</t>
  </si>
  <si>
    <t>Проволока  1,6 мм - 51,6кг - 1 бухта, мягкая</t>
  </si>
  <si>
    <t xml:space="preserve">Лист латунный 5,0 мм - 0,59х1,49м(35,5+35,6кг) по 1шт       </t>
  </si>
  <si>
    <t>Труба 48х1,5  по  3м         цветовая маркировка</t>
  </si>
  <si>
    <t>Круг  120 мм - 0,13м(11,8кг) - 1шт</t>
  </si>
  <si>
    <t xml:space="preserve">Круг  120 мм -  95мм(по 8,4кг) - 3шт </t>
  </si>
  <si>
    <r>
      <t xml:space="preserve">Круг  30 мм  - 0,65-0,79м(40,2кг) - 9шт; 0,29+0,29м=3,7кг   по 1шт   </t>
    </r>
    <r>
      <rPr>
        <b/>
        <sz val="10"/>
        <rFont val="Arial"/>
        <family val="2"/>
        <charset val="204"/>
      </rPr>
      <t>ЭИ-435</t>
    </r>
  </si>
  <si>
    <t xml:space="preserve">Круг   65 мм - 0,97м(24,3кг); 0,79м(19,5кг)  по 1шт  </t>
  </si>
  <si>
    <r>
      <t xml:space="preserve">Круг  16 мм  -  3,2-4,3м(129кг отрезали куски)                   </t>
    </r>
    <r>
      <rPr>
        <b/>
        <sz val="10"/>
        <rFont val="Arial"/>
        <family val="2"/>
        <charset val="204"/>
      </rPr>
      <t>ЭИ-268</t>
    </r>
  </si>
  <si>
    <t>Труба 54х2,0  - 2,5м(39,5кг, в т.ч. 1шт 1,69м) - 6шт</t>
  </si>
  <si>
    <t xml:space="preserve">Лист  0,8 мм  -  1х2м - 8шт </t>
  </si>
  <si>
    <r>
      <t xml:space="preserve">Труба  191 х 35  -  1,06м(145кг) - 1шт               </t>
    </r>
    <r>
      <rPr>
        <b/>
        <sz val="10"/>
        <rFont val="Arial"/>
        <family val="2"/>
        <charset val="204"/>
      </rPr>
      <t xml:space="preserve">  316-L </t>
    </r>
    <r>
      <rPr>
        <b/>
        <sz val="8.3000000000000007"/>
        <rFont val="Arial"/>
        <family val="2"/>
        <charset val="204"/>
      </rPr>
      <t xml:space="preserve">                  </t>
    </r>
    <r>
      <rPr>
        <b/>
        <sz val="10"/>
        <rFont val="Arial"/>
        <family val="2"/>
        <charset val="204"/>
      </rPr>
      <t xml:space="preserve"> склад 6</t>
    </r>
  </si>
  <si>
    <t>Круг   30 мм -   0,28м(1,5кг); 0,25м(1,3кг) по 1шт</t>
  </si>
  <si>
    <t xml:space="preserve">Круг   34 мм  -  0,21м - 3шт; 0,17м - 2шт; 0,16м(1,2кг)   </t>
  </si>
  <si>
    <t xml:space="preserve">Круг   24 мм  -  0,23+0,26м=1,7кг </t>
  </si>
  <si>
    <t>Круг   25 мм  -  0,3м(1,1кг) - 1шт</t>
  </si>
  <si>
    <t>Круг   16 мм  -  0,23м(0,3кг) - 1шт</t>
  </si>
  <si>
    <r>
      <t xml:space="preserve">Круг  300 мм -   20мм(13,2кг клеймо) - 1шт                            </t>
    </r>
    <r>
      <rPr>
        <b/>
        <sz val="10"/>
        <rFont val="Arial"/>
        <family val="2"/>
        <charset val="204"/>
      </rPr>
      <t xml:space="preserve"> 316</t>
    </r>
  </si>
  <si>
    <t>Круг   16 мм - 1,31+1,15м=4,1кг</t>
  </si>
  <si>
    <t>Лента бронзовая - 0,8х300мм  -  1 бухта  5,8кг   твердая</t>
  </si>
  <si>
    <t xml:space="preserve">Труба  22 х 1,5  -  4,2-5,9м(35,4кг) </t>
  </si>
  <si>
    <t>Лист  6 мм  -  0,91х1,5м - 24шт по 21,9-22,2кг\шт; 10шт - 1 сторона в пленке, марка 5083</t>
  </si>
  <si>
    <t>Лист  6 мм  -  0,43х1,5м - 1шт        марка 5083</t>
  </si>
  <si>
    <t xml:space="preserve">Круг  11 мм  -  1,8-2,5м; 1,19м - 1шт  </t>
  </si>
  <si>
    <t>Труба 65х7,5 - 1,86м(7кг) - 1шт</t>
  </si>
  <si>
    <t>Труба 28х3,5 -   2,3-2,53м(5кг); 2,02м(1,4кг) - 1шт       цветовая маркировка</t>
  </si>
  <si>
    <t>Труба 35х7,0 -  1,81; 1,36м(2,2кг)  по 1шт         цветовая маркировка</t>
  </si>
  <si>
    <t xml:space="preserve">Круг  8 мм -  2,9-3м(40кг н\о) </t>
  </si>
  <si>
    <t>Круг  12 мм  - 5,8м(221,8кг, есть неск шт короче)</t>
  </si>
  <si>
    <t>ПОССу-30-2</t>
  </si>
  <si>
    <t>ПОССу-45-2</t>
  </si>
  <si>
    <t>Круг  20 мм - 3-3,6м(35кг отрезали куски); 1,19-1,2м(42,5кг от 1шт резали 300мм)</t>
  </si>
  <si>
    <t>Проволока   ф 3 мм  - 62,6кг; 10,3кг по 1-й бухте     мягкая</t>
  </si>
  <si>
    <t>Труба 38"-"х5,5  по  3,08м     мягкая</t>
  </si>
  <si>
    <t>Шестигранник №27мм  -  1,4-1,75м; 1,21м - 1шт</t>
  </si>
  <si>
    <r>
      <t xml:space="preserve">Труба  12 х 2,0  -   3-3,05(96,1кг от 1шт резали 1м); 2,9-3,3м(71,8кг)          </t>
    </r>
    <r>
      <rPr>
        <b/>
        <sz val="10"/>
        <rFont val="Arial"/>
        <family val="2"/>
        <charset val="204"/>
      </rPr>
      <t>316-L</t>
    </r>
  </si>
  <si>
    <t xml:space="preserve">Круг   80 мм -  70мм(3,3кг) - 1шт </t>
  </si>
  <si>
    <t xml:space="preserve">Круг   37 мм  -   0,16м(1,4+1,3кг) по 1шт </t>
  </si>
  <si>
    <t xml:space="preserve">Круг   90 мм  - 70мм(3,4кг); 60мм(2,8кг) по 1шт   </t>
  </si>
  <si>
    <r>
      <t xml:space="preserve">Лист  14 мм - 0,75х0,77м(21,9+22,1кг) по 1шт     </t>
    </r>
    <r>
      <rPr>
        <b/>
        <sz val="12"/>
        <rFont val="Arial"/>
        <family val="2"/>
        <charset val="204"/>
      </rPr>
      <t xml:space="preserve">   </t>
    </r>
  </si>
  <si>
    <t xml:space="preserve">Лист  12 мм - 0,74х0,76м(18,4+18,4кг  клеймо) по 1шт    </t>
  </si>
  <si>
    <t xml:space="preserve">Лист  4 мм - 0,75х0,75м - 10шт    </t>
  </si>
  <si>
    <t xml:space="preserve">Лист  1 мм - 0,75х0,75м - 4шт    </t>
  </si>
  <si>
    <t>Лист  1 мм - 0,75х0,75м - 6шт     клеймо</t>
  </si>
  <si>
    <t xml:space="preserve">Лист  2 мм - 0,75х0,74м - 5шт    </t>
  </si>
  <si>
    <t>Труба  20 х 2,5   - 1,88м(2,1кг) - 1шт</t>
  </si>
  <si>
    <t>Лист медный 2,0 мм -  0,4х0,7м(4,9кг)  - 1шт   мягкий</t>
  </si>
  <si>
    <t>Труба  20 х 4,0  -  1,5м(2,5кг) - 1шт</t>
  </si>
  <si>
    <t xml:space="preserve">Лист  6 мм -  0,44х0,57м(12кг); 0,82х0,92м(37кг)  по  1шт      </t>
  </si>
  <si>
    <t>Круг  10 мм  -  0,8-3,5м(86,1кг); 0,55-0,95м(12,6кг)  н\о и светл</t>
  </si>
  <si>
    <t>Труба  13,5 х 1,5   -  6,1-6,26м - 3шт; 4,76м(на Е7) - 1шт</t>
  </si>
  <si>
    <t>Круг  125 мм -  80мм(7,7кг н\о) - 1шт</t>
  </si>
  <si>
    <t>Труба  50 х 1,0   -  2,4-4,4м   клеймо</t>
  </si>
  <si>
    <t>Труба  38,1 х 1,0   -  2,97-3,02м   клеймо</t>
  </si>
  <si>
    <t>Труба  25 х 1,0   -  3м   клеймо</t>
  </si>
  <si>
    <t>Труба  56"-" х 3,0   -  2,04-3,78м   клеймо</t>
  </si>
  <si>
    <t>Труба  56"-" х 3,5   -  2,05-3,2м   клеймо</t>
  </si>
  <si>
    <t>Труба  25 х 2,0   -  3,1-4м   клеймо</t>
  </si>
  <si>
    <t>Труба  14 х 1,0   -  4,5м   клеймо</t>
  </si>
  <si>
    <t>Труба  56 х 4,0   -  3,52; 3,77; 4,78м по 1шт      клеймо</t>
  </si>
  <si>
    <t>Труба  38 х 2,0   -  4,08-5,5м   клеймо</t>
  </si>
  <si>
    <t>Труба  14 х 2,5  -  2,8-3м(9,5кг, в т.ч. 1,67м)    клеймо</t>
  </si>
  <si>
    <t>Труба  6 х 1,5  -  3,2-3,26м</t>
  </si>
  <si>
    <t>Труба  8 х 1,5  - 2,9-3м   клеймо</t>
  </si>
  <si>
    <t>Труба  18 х 3,8   по     4,8м         316-L</t>
  </si>
  <si>
    <t>Труба  8 х 1,0   -   2,67-3,1м   клеймо</t>
  </si>
  <si>
    <r>
      <t xml:space="preserve">Труба  4 х 0,5  -   3м       </t>
    </r>
    <r>
      <rPr>
        <b/>
        <sz val="10"/>
        <rFont val="Arial"/>
        <family val="2"/>
        <charset val="204"/>
      </rPr>
      <t xml:space="preserve"> 316-Ti </t>
    </r>
    <r>
      <rPr>
        <b/>
        <sz val="8.3000000000000007"/>
        <rFont val="Arial"/>
        <family val="2"/>
        <charset val="204"/>
      </rPr>
      <t xml:space="preserve">    </t>
    </r>
  </si>
  <si>
    <r>
      <t xml:space="preserve">Труба  4 х 1,5  -   4,7-5,4м       </t>
    </r>
    <r>
      <rPr>
        <b/>
        <sz val="10"/>
        <rFont val="Arial"/>
        <family val="2"/>
        <charset val="204"/>
      </rPr>
      <t xml:space="preserve">  </t>
    </r>
    <r>
      <rPr>
        <b/>
        <sz val="8.3000000000000007"/>
        <rFont val="Arial"/>
        <family val="2"/>
        <charset val="204"/>
      </rPr>
      <t xml:space="preserve">  </t>
    </r>
  </si>
  <si>
    <t>Труба  6 х 1,4  -  2,7-3,4м     клеймо</t>
  </si>
  <si>
    <t>Труба  6 х 1,5  -  2,5-4,5м</t>
  </si>
  <si>
    <t>Труба  16 х 4,0   -  3м(71,3кг)</t>
  </si>
  <si>
    <t>Труба  14 х 3,0  -  3м</t>
  </si>
  <si>
    <t>Труба  25 х 4,5  -  3,88м - 2шт      клеймо</t>
  </si>
  <si>
    <t>Труба  8 х 1,2  -  2,85-3,4м     клеймо</t>
  </si>
  <si>
    <t xml:space="preserve">Труба  8 х 2,0   по  3,23м     </t>
  </si>
  <si>
    <t>Труба  8 х 2,5   -  2,4-6,3м</t>
  </si>
  <si>
    <t>Труба  25 х 6,0   по  3м         316-Тi</t>
  </si>
  <si>
    <t xml:space="preserve">Круг   80 мм -  1,73м(63,9кг) - 1шт  </t>
  </si>
  <si>
    <r>
      <t xml:space="preserve">Лист  5 мм -  2х3м(240кг) по 1шт       режем нужный размер!!!         </t>
    </r>
    <r>
      <rPr>
        <b/>
        <sz val="10"/>
        <rFont val="Arial"/>
        <family val="2"/>
        <charset val="204"/>
      </rPr>
      <t>склад 6</t>
    </r>
  </si>
  <si>
    <t>Труба  73 х 8-9 -  2,35м(31,4кг) - 1шт</t>
  </si>
  <si>
    <t xml:space="preserve">Труба  25 х 3,5 -  2,45-2,58м(41,4кг, в т.ч. 2,1м) </t>
  </si>
  <si>
    <t>Шестигранник №27  -  1,7-1,73м; 1,01м(5кг) - 1шт</t>
  </si>
  <si>
    <t>Круг  6 мм  -  3м (66,1кг отрезали куски 0,5; 0,55; 1; 1м)</t>
  </si>
  <si>
    <t>Труба 34х6,0 - 1,71+2,26+2,9м=10,1кг</t>
  </si>
  <si>
    <t>Лента медная рулон  0,2х300мм - 1,9кг - 1шт    птв, ближе к твердой</t>
  </si>
  <si>
    <t xml:space="preserve">Круг  27 мм  -  0,79-1,13м </t>
  </si>
  <si>
    <t>Лента бронзовая - 1х24мм -   бухта  8,7кг                    твердая</t>
  </si>
  <si>
    <r>
      <t xml:space="preserve">Труба  60 х 3"-" -  2,8-3,3м(75,8кг от 1шт отрезали 0,5м)                      </t>
    </r>
    <r>
      <rPr>
        <b/>
        <sz val="10"/>
        <rFont val="Arial"/>
        <family val="2"/>
        <charset val="204"/>
      </rPr>
      <t>316-L</t>
    </r>
  </si>
  <si>
    <t xml:space="preserve">Труба 80х15  -  0,45; 0,48м по 1шт </t>
  </si>
  <si>
    <t>Труба  60 х 3,5  -  3,92; 4,11м  по  1шт</t>
  </si>
  <si>
    <r>
      <t xml:space="preserve">Круг (пруток) 1,6 мм  -  сварочный по 1м в тубах по 5кг, 6 туб     </t>
    </r>
    <r>
      <rPr>
        <b/>
        <sz val="10"/>
        <rFont val="Arial"/>
        <family val="2"/>
        <charset val="204"/>
      </rPr>
      <t>ER316LSi</t>
    </r>
    <r>
      <rPr>
        <b/>
        <sz val="8.3000000000000007"/>
        <rFont val="Arial"/>
        <family val="2"/>
        <charset val="204"/>
      </rPr>
      <t xml:space="preserve">,     </t>
    </r>
    <r>
      <rPr>
        <b/>
        <sz val="10"/>
        <rFont val="Arial"/>
        <family val="2"/>
        <charset val="204"/>
      </rPr>
      <t>1.4430</t>
    </r>
  </si>
  <si>
    <r>
      <t xml:space="preserve">Круг  22"-" мм  -  1,4-2м    клейма </t>
    </r>
    <r>
      <rPr>
        <b/>
        <sz val="10"/>
        <rFont val="Arial"/>
        <family val="2"/>
        <charset val="204"/>
      </rPr>
      <t xml:space="preserve"> </t>
    </r>
    <r>
      <rPr>
        <b/>
        <sz val="10"/>
        <color indexed="10"/>
        <rFont val="Arial"/>
        <family val="2"/>
        <charset val="204"/>
      </rPr>
      <t xml:space="preserve">       </t>
    </r>
    <r>
      <rPr>
        <b/>
        <sz val="10"/>
        <rFont val="Arial"/>
        <family val="2"/>
        <charset val="204"/>
      </rPr>
      <t xml:space="preserve"> ЭП-678увд  </t>
    </r>
  </si>
  <si>
    <t xml:space="preserve">Лист  2,0 мм  - 0,92х1,83м(26кг маркир); 0,93х1,89м(27,4кг); 0,62х1,88м(18,3кг); 0,75х1,87м(22,1кг маркир); 0,9х1,8м(24,6кг маркир) по 1шт  </t>
  </si>
  <si>
    <t>Труба  27 х 3,0 - 3,6+3,6+2,8м=17,8кг; 2,49м(4,3кг); 2,61м(4,5кг); 2,78м(4,8кг) по 1шт</t>
  </si>
  <si>
    <t>Труба  28 х 3,5  - 2,56м(5,3кг); 1,97+2,36+2,5м=14,2кг; 1,12+1,48+1,6м=9кг</t>
  </si>
  <si>
    <t xml:space="preserve">Труба  60 х 5,0  -   1,92м(13,3кг) - 1шт </t>
  </si>
  <si>
    <t>Шина медная - 8х60мм - 7,9кг - 1 бухта,  ориентировочная длина 1,8м</t>
  </si>
  <si>
    <t>Круг  65 мм - 2,98м(83кг); 1,99м(56,5кг); 2,92м(80кг) по 1шт</t>
  </si>
  <si>
    <t>Лента  0,8х50 мм  -  1  рулон 11,1кг     средней жесткости</t>
  </si>
  <si>
    <r>
      <t xml:space="preserve">Труба  73 х 14-15 - 2,13м(44,4кг); 2,06м(43,1кг); 1,92м(39,8кг); 2,08м(43,5кг)  по 1шт        </t>
    </r>
    <r>
      <rPr>
        <b/>
        <sz val="10"/>
        <rFont val="Arial"/>
        <family val="2"/>
        <charset val="204"/>
      </rPr>
      <t>316-L</t>
    </r>
    <r>
      <rPr>
        <b/>
        <sz val="8.5"/>
        <rFont val="Arial"/>
        <family val="2"/>
        <charset val="204"/>
      </rPr>
      <t xml:space="preserve">      </t>
    </r>
    <r>
      <rPr>
        <b/>
        <sz val="10"/>
        <rFont val="Arial"/>
        <family val="2"/>
        <charset val="204"/>
      </rPr>
      <t xml:space="preserve"> </t>
    </r>
  </si>
  <si>
    <t>Круг   60 мм  - 0,4; 0,42; 0,38; 0,38м; 0,24м(6,4кг)  по 1шт</t>
  </si>
  <si>
    <r>
      <t xml:space="preserve">Круг  270 мм  -  12мм(6кг) - 1шт                          </t>
    </r>
    <r>
      <rPr>
        <b/>
        <sz val="10"/>
        <rFont val="Arial"/>
        <family val="2"/>
        <charset val="204"/>
      </rPr>
      <t xml:space="preserve"> 316-я</t>
    </r>
  </si>
  <si>
    <t xml:space="preserve">Труба  114 х 15-16 - 2,04м(73,4) - 1шт </t>
  </si>
  <si>
    <r>
      <t xml:space="preserve">Труба  21 х 2,0 -  2,96-2,98м(9кг)              </t>
    </r>
    <r>
      <rPr>
        <b/>
        <sz val="10"/>
        <rFont val="Arial"/>
        <family val="2"/>
        <charset val="204"/>
      </rPr>
      <t xml:space="preserve"> 316-L</t>
    </r>
  </si>
  <si>
    <r>
      <t xml:space="preserve">Труба  28 х 2,0  -   2,9-3,4м(283,4кг, от 1шт резали 1м)      </t>
    </r>
    <r>
      <rPr>
        <b/>
        <sz val="10"/>
        <rFont val="Arial"/>
        <family val="2"/>
        <charset val="204"/>
      </rPr>
      <t xml:space="preserve"> 316-Ti</t>
    </r>
  </si>
  <si>
    <t>Лента  0,4х395 мм  -  1  рулон 58,8кг        мягкая</t>
  </si>
  <si>
    <t xml:space="preserve">Лента  0,5х400(410) мм  -  рулоны 200,2кг; 79,4кг; 15,5кг по 1шт     жесткая  </t>
  </si>
  <si>
    <t xml:space="preserve">Труба  55 х 5,0 -  2,44-2,45м(87,4кг); 1,4м(8,6кг) - 1шт  </t>
  </si>
  <si>
    <t>Труба 25х2,5 -  3,5м(23,2кг от 1шт резали 1м); 1,7-2,6м(38,5кг)          цветовая маркировка</t>
  </si>
  <si>
    <t xml:space="preserve">Лист медный 3 мм - 0,6х1,5м(23,7кг мягкий)  - 1шт   </t>
  </si>
  <si>
    <t xml:space="preserve">Проволока  1,01 мм   -  7,7кг - 1-й бухта   пружинная   </t>
  </si>
  <si>
    <t>Проволока   1,0мм  - 18,6; 9,7; 9,6; 21,7кг; 7,4кг; 3,2кг  по 1-й бухте</t>
  </si>
  <si>
    <t xml:space="preserve">Труба 7х1,0 -  3,5м(3,7кг несколько шт короче на 10-20см) </t>
  </si>
  <si>
    <t xml:space="preserve">Круг   6 мм - 1,4-1,8м(80,7кг); 2,9-3м(4кг) </t>
  </si>
  <si>
    <t>Проволока   1,6мм  -  6кг - 1 бухта</t>
  </si>
  <si>
    <t>Проволока   3,2мм    -   4,9; 10,9; 3,4; 5; 2,5; 3,4; 6,1; 4; 4,3; 2,9; 3; 5,6; 4,4кг по 1-й  бухте</t>
  </si>
  <si>
    <t>Проволока   6,0 мм  -  5,9кг - 1 бухта</t>
  </si>
  <si>
    <t>вольфрамовая ВА</t>
  </si>
  <si>
    <t xml:space="preserve">Проволока ф1,0 мм - бухты  0,5-1,5кг </t>
  </si>
  <si>
    <t xml:space="preserve">Проволока ф1,5 мм - бухта  1кг </t>
  </si>
  <si>
    <t>Проволока ф2мм -  бухты по 1,5кг  (плюс минус)</t>
  </si>
  <si>
    <t>Проволока  1,2 мм - 9,8кг - 1 бухта     КОПЕЛЬ</t>
  </si>
  <si>
    <t>МНМц43-0,5</t>
  </si>
  <si>
    <t>Проволока  1,2 мм - 34,5кг - 1 бухта     КОПЕЛЬ</t>
  </si>
  <si>
    <t>Круг   40 мм -  0,38м(3,6кг); 0,3+0,3м=5,9кг; 0,16м(по 1,5кг) - 2шт; 0,15м(1,5кг) - 1шт</t>
  </si>
  <si>
    <t>Круг   50 мм -  0,64м  - 1шт</t>
  </si>
  <si>
    <t>Круг  28 мм -  1,1м(2,9кг красный торец); 1,19м(3,1кг)  по 1шт</t>
  </si>
  <si>
    <t>Труба  25 х 2,5  - 1,63м(2,4кг) - 1шт</t>
  </si>
  <si>
    <t>Труба  21 х 2,5  -  2,71м(3,3кг)  - 1шт        316-Ti</t>
  </si>
  <si>
    <t>Труба  28 х 4,0  -  1,9м(4,5кг); 1,61м(3,8кг) по 1шт</t>
  </si>
  <si>
    <r>
      <t xml:space="preserve">Труба  28 х 2,5  -   3-3,4м(58,5кг, отрезали куски 1,1; 0,7м)              </t>
    </r>
    <r>
      <rPr>
        <b/>
        <sz val="10"/>
        <rFont val="Arial"/>
        <family val="2"/>
        <charset val="204"/>
      </rPr>
      <t>316-L</t>
    </r>
  </si>
  <si>
    <t>Лента латунная 0,2х300 мм - 37,8; 3,6кг по 1-му рулону   птв</t>
  </si>
  <si>
    <t>Труба  25 х 1,5  -  2,1м(1,8кг) - 1шт</t>
  </si>
  <si>
    <t>вольфрам с медью</t>
  </si>
  <si>
    <t>Круг  ф35мм  -  120-150мм - 4шт  вольфрам 85-88%, медь 12-15%</t>
  </si>
  <si>
    <t>Проволока  2,0 мм  -  18,8кг мягкая - 1 бухта</t>
  </si>
  <si>
    <t>Проволока  1,2 мм  -  4,9кг   мягкая - 1 бухта</t>
  </si>
  <si>
    <t>Проволока  1,0 мм  -  4,4; 7,9кг   мягкая по 1-й бухте</t>
  </si>
  <si>
    <r>
      <t xml:space="preserve">Проволока  3,0 мм    -  9,8кг  мягкая  -  1 бухта     </t>
    </r>
    <r>
      <rPr>
        <b/>
        <sz val="10"/>
        <rFont val="Arial"/>
        <family val="2"/>
        <charset val="204"/>
      </rPr>
      <t xml:space="preserve">   ЭИ-395</t>
    </r>
  </si>
  <si>
    <r>
      <t xml:space="preserve">Проволока  2,0 мм    -  4,6кг  мягкая  -  1 бухта     </t>
    </r>
    <r>
      <rPr>
        <b/>
        <sz val="10"/>
        <rFont val="Arial"/>
        <family val="2"/>
        <charset val="204"/>
      </rPr>
      <t xml:space="preserve">   ЭИ-395</t>
    </r>
  </si>
  <si>
    <r>
      <t xml:space="preserve">Проволока  4,0  мм    -   56,7кг; 4,9; 22кг по 1-й  бухте     </t>
    </r>
    <r>
      <rPr>
        <b/>
        <sz val="10"/>
        <rFont val="Arial"/>
        <family val="2"/>
        <charset val="204"/>
      </rPr>
      <t>309-я</t>
    </r>
  </si>
  <si>
    <r>
      <t xml:space="preserve">Проволока  3,0  мм    -   8,9кг - 1  бухта      </t>
    </r>
    <r>
      <rPr>
        <b/>
        <sz val="10"/>
        <rFont val="Arial"/>
        <family val="2"/>
        <charset val="204"/>
      </rPr>
      <t>309-я</t>
    </r>
    <r>
      <rPr>
        <b/>
        <sz val="8.3000000000000007"/>
        <rFont val="Arial"/>
        <family val="2"/>
        <charset val="204"/>
      </rPr>
      <t xml:space="preserve">  </t>
    </r>
  </si>
  <si>
    <r>
      <t xml:space="preserve">Проволока  2,0 мм  - 4,5кг - 1  бухта     </t>
    </r>
    <r>
      <rPr>
        <b/>
        <sz val="10"/>
        <rFont val="Arial"/>
        <family val="2"/>
        <charset val="204"/>
      </rPr>
      <t>309-я</t>
    </r>
  </si>
  <si>
    <r>
      <t xml:space="preserve">Круг  38 мм - 2,41-3,05м(124,1кг) - 5шт; 1,02м(8,7кг)  н\о   клеймо    </t>
    </r>
    <r>
      <rPr>
        <b/>
        <sz val="10"/>
        <rFont val="Arial"/>
        <family val="2"/>
        <charset val="204"/>
      </rPr>
      <t>ЭИ-732</t>
    </r>
    <r>
      <rPr>
        <b/>
        <sz val="8.3000000000000007"/>
        <rFont val="Arial"/>
        <family val="2"/>
        <charset val="204"/>
      </rPr>
      <t xml:space="preserve"> (аналог 309-я)</t>
    </r>
  </si>
  <si>
    <r>
      <t xml:space="preserve">Проволока  1,2  мм    -  51,3кг - 1  бухта      </t>
    </r>
    <r>
      <rPr>
        <b/>
        <sz val="10"/>
        <rFont val="Arial"/>
        <family val="2"/>
        <charset val="204"/>
      </rPr>
      <t>309-я</t>
    </r>
    <r>
      <rPr>
        <b/>
        <sz val="8.3000000000000007"/>
        <rFont val="Arial"/>
        <family val="2"/>
        <charset val="204"/>
      </rPr>
      <t xml:space="preserve">  </t>
    </r>
  </si>
  <si>
    <r>
      <t xml:space="preserve">Проволока  2,0 мм    -  4,3кг - 1 бухта     </t>
    </r>
    <r>
      <rPr>
        <b/>
        <sz val="10"/>
        <rFont val="Arial"/>
        <family val="2"/>
        <charset val="204"/>
      </rPr>
      <t>316-я</t>
    </r>
  </si>
  <si>
    <r>
      <t xml:space="preserve">Проволока  1,8 мм    -  34,2кг - 1 бухта     </t>
    </r>
    <r>
      <rPr>
        <b/>
        <sz val="10"/>
        <rFont val="Arial"/>
        <family val="2"/>
        <charset val="204"/>
      </rPr>
      <t>316-я</t>
    </r>
  </si>
  <si>
    <r>
      <t xml:space="preserve">Проволока  2,0 мм    -  31кг - 1 бухта     </t>
    </r>
    <r>
      <rPr>
        <b/>
        <sz val="10"/>
        <rFont val="Arial"/>
        <family val="2"/>
        <charset val="204"/>
      </rPr>
      <t>316-я</t>
    </r>
  </si>
  <si>
    <t>Анод никель 10мм - 0,2х1м(18,2кг) - 1шт</t>
  </si>
  <si>
    <t>Шестигранник №12  -  0,8-1м(43,5г)              0,85-1м(4кг найти!!!!)</t>
  </si>
  <si>
    <t>Лист  16 мм - 0,24х0,46м(13,9кг); 0,24х0,46м(14кг); 0,25х0,46м(14,3+14,1+14,3+14,3+14,3+14,3+14,3+14,3+14,3кг); 0,28х0,47м(16,6кг)  по 1шт</t>
  </si>
  <si>
    <t>Круг   70 мм - 0,27м(8,9кг); 0,2м(6,4кг) по 1шт</t>
  </si>
  <si>
    <t xml:space="preserve">Лист  6 мм - 0,39х1,27м(24,1кг); 0,39х1,28м(23,9+24,1кг); 0,39х1,03м(19,3кг); 0,39х1,44м(26,7кг) по 1шт        </t>
  </si>
  <si>
    <t>Лист 2,5 мм  -  1х2м(23,1; 23; 22,7кг) по 1шт</t>
  </si>
  <si>
    <t xml:space="preserve">Лист 6мм - 0,6х2м(32,5кг маркир); 0,77х0,98м(20,6кг песоч) по 1шт </t>
  </si>
  <si>
    <t>Круг  12 мм  - 2,44м(2,2кг калиброванный) - 1шт       316Тi</t>
  </si>
  <si>
    <t xml:space="preserve">Лист латунный 5,0 мм - 0,59х1,49м(36,9кг); 0,5х1,02м(20,9кг) по 1шт       </t>
  </si>
  <si>
    <t>Труба  45 х 2,0 -   2,75-2,85м(26,1кг); 2,12м(4,6кг) - 1шт</t>
  </si>
  <si>
    <t>Труба 35х8,0 -  2,98-3м(27,8кг, отрезали куски 1; 1,44м; в т.ч. 2,48м)</t>
  </si>
  <si>
    <t xml:space="preserve">Лист бронзовый 2мм - 0,22х1м(108кг, от 1шт отрезали 200мм )  </t>
  </si>
  <si>
    <r>
      <t xml:space="preserve">Круг  14 мм  -  1,55+1,8м=4,1кг </t>
    </r>
    <r>
      <rPr>
        <b/>
        <sz val="10"/>
        <rFont val="Arial"/>
        <family val="2"/>
        <charset val="204"/>
      </rPr>
      <t xml:space="preserve"> </t>
    </r>
    <r>
      <rPr>
        <b/>
        <sz val="8"/>
        <rFont val="Arial"/>
        <family val="2"/>
        <charset val="204"/>
      </rPr>
      <t>н\о</t>
    </r>
    <r>
      <rPr>
        <b/>
        <sz val="10"/>
        <rFont val="Arial"/>
        <family val="2"/>
        <charset val="204"/>
      </rPr>
      <t xml:space="preserve">          ЭП-33вд</t>
    </r>
  </si>
  <si>
    <r>
      <t xml:space="preserve">Квадрат  15х15мм  - 0,9-1,25м(1311,5кг); 0,55-0,72м(143,8кг); 0,4-0,57м(140,5кг)     </t>
    </r>
    <r>
      <rPr>
        <b/>
        <sz val="10"/>
        <rFont val="Arial"/>
        <family val="2"/>
        <charset val="204"/>
      </rPr>
      <t xml:space="preserve">   316-L</t>
    </r>
  </si>
  <si>
    <t>Лист  3 мм - 0,75х0,75м - 10шт      клеймо</t>
  </si>
  <si>
    <t>Лист  5 мм - 0,75х0,75м - 10шт      клеймо</t>
  </si>
  <si>
    <t>Лист  1 мм - 0,75х0,75м - 10шт      клеймо</t>
  </si>
  <si>
    <t>Труба  22 х 2,5  -   4+4,07м=5,4кг</t>
  </si>
  <si>
    <r>
      <t xml:space="preserve">Труба  16 х 1,2 -  5,1-6,2м(13,2кг); 3,2м(1,5кг) - 1шт           </t>
    </r>
    <r>
      <rPr>
        <b/>
        <sz val="10"/>
        <rFont val="Arial"/>
        <family val="2"/>
        <charset val="204"/>
      </rPr>
      <t xml:space="preserve">  316-L</t>
    </r>
  </si>
  <si>
    <t xml:space="preserve">Труба  22 х 3,0   -  2,8-3,2м(6,4кг от 1шт резали 1м); 3,47м(4,8кг) </t>
  </si>
  <si>
    <r>
      <t xml:space="preserve">Проволока  4,0 мм  -  26кг; 11,4кг по 1-й бухте            </t>
    </r>
    <r>
      <rPr>
        <b/>
        <sz val="10"/>
        <rFont val="Arial"/>
        <family val="2"/>
        <charset val="204"/>
      </rPr>
      <t>ЭИ-435</t>
    </r>
  </si>
  <si>
    <t xml:space="preserve">Круг  12 мм  -  3м(1кг); 0,55-0,8м(18кг) </t>
  </si>
  <si>
    <t>Проволока   ф 8,0 мм - 3,7; 3,9; 3,8; 3,9; 3,8; 3,8; 4; 4кг по 1-й бухте    бирки</t>
  </si>
  <si>
    <t xml:space="preserve">Труба  10 х 1,0  -  2,9м(438,1кг, в т.ч. 2,55; 1,9м по 1шт); 2,2-3,3м(11,7кг, в т.ч. 2шт по 1,6м)                             </t>
  </si>
  <si>
    <t>Лист  8 мм -  0,19х0,8м(7кг) - 2шт; 0,18х1м(12,1кг) - 3шт; 0,4х1,1м(18,8кг) - 2шт</t>
  </si>
  <si>
    <t xml:space="preserve">Круг  270 мм  -  30мм(16,2+14,8+13,7кг) по 1шт                           </t>
  </si>
  <si>
    <t xml:space="preserve">Круг  25 мм - 1,6м; 0,8-1,15м(19,1кг); 1,3-1,4м(44,8кг н\о); 0,35м(4кг) - 3шт    (найти 60кг!!!!) </t>
  </si>
  <si>
    <t xml:space="preserve">Круг  200мм  -  2,68м(744кг) - 1шт       клеймо                    </t>
  </si>
  <si>
    <t xml:space="preserve">Круг  10 мм  - 2,8-3,5м(14,6кг клеймо, отрезали куски); 1,5-1,78м(2,7кг) </t>
  </si>
  <si>
    <t xml:space="preserve">Круг  10 мм -  3,3-3,4м(34,1кг светлый) </t>
  </si>
  <si>
    <t>Труба  18 х 3,5"-"  -  6м - 82шт (в т.ч. несколько штук немного короче); 5,7м; 2,75м по 1шт</t>
  </si>
  <si>
    <t xml:space="preserve">Труба  25 х 1,5   -  2,4-3,4м(14кг, от 1шт резали 1м) </t>
  </si>
  <si>
    <t>Лист  50 мм -  0,175х0,4м(47,6кг) - 5шт</t>
  </si>
  <si>
    <t>Труба   60х7,5 мм -   0,56м(5,3кг) - 1шт</t>
  </si>
  <si>
    <t xml:space="preserve">Лента медная рулон  0,2х300мм - 36,3кг - 1шт   очень мягкая </t>
  </si>
  <si>
    <t>Лист латунный 6,0 мм - 0,59х1,01м(30,1кг) - 1шт</t>
  </si>
  <si>
    <t>Труба  17,3 х 2,5   - 1,9м(0,9кг) - 1шт</t>
  </si>
  <si>
    <t xml:space="preserve">Круг  8 мм -  1,9-3,7м(33кг); 2,35м(21кг шлиф); 2,5-4м(19,1кг); 2,6м(4кг) - 4шт; 0,7-0,8м(7,5кг, н\о); 1,87м(6кг)  </t>
  </si>
  <si>
    <t xml:space="preserve">Круг   30 мм  -   0,16м(1кг)  - 1шт                   </t>
  </si>
  <si>
    <t>Круг  37 мм -  0,69м(5,8кг); 0,19м(1,9кг)  по 1шт</t>
  </si>
  <si>
    <t>Круг  40мм  -  0,99м(17,5кг) - 5шт; 0,32м(2,3кг) - 2шт</t>
  </si>
  <si>
    <t>Круг  10 мм -  1,36+1,59+1,72м=2,9кг</t>
  </si>
  <si>
    <t xml:space="preserve">Лист  3,5 мм  -  0,71х1,42м  -  5шт;  0,71х1,21м - 1шт </t>
  </si>
  <si>
    <t>Круг  130 мм - 0,15-0,16м - 15шт; 0,215м - 1шт</t>
  </si>
  <si>
    <t>Проволока   ф 3 мм  - 1,5; 3,7кг по 1-й бухте     птв</t>
  </si>
  <si>
    <t xml:space="preserve">Круг   54 мм  - 1,12м(21,4кг клеймо); 0,6м(11,6кг клеймо)  по 1шт </t>
  </si>
  <si>
    <t xml:space="preserve">Лист  20 мм - 0,5х0,48м(38,6кг)  - 1шт                  </t>
  </si>
  <si>
    <t>Круг  250 мм -  0,16м(22,2кг) - 1шт</t>
  </si>
  <si>
    <t>Труба  16 х 4,0  -  4,85-5,5м(36кг, от 1шт резали 1м)</t>
  </si>
  <si>
    <t xml:space="preserve">Круг  64 мм  -  0,75м(по 18,6-19,2кг) - 4шт    </t>
  </si>
  <si>
    <t>Проволока  4,0 мм  -  26,3; 28,9кг; 6,4; 16; 13,3; 13,2; 9кг; 1,8кг; 20кг; 6,3кг; 13,7кг; 5,6кг    по  1-й бухте</t>
  </si>
  <si>
    <r>
      <t xml:space="preserve">Труба  32 х 7,0 -  4,02м - 2шт; 3,7м - 2шт      маркированы      </t>
    </r>
    <r>
      <rPr>
        <b/>
        <sz val="10"/>
        <rFont val="Arial"/>
        <family val="2"/>
        <charset val="204"/>
      </rPr>
      <t xml:space="preserve"> </t>
    </r>
  </si>
  <si>
    <r>
      <t xml:space="preserve">Круг  80"-" мм - 1,87м(71,2кг); 1,67м(66,2кг); 1,26м(48,7кг); 1,37м(52,5кг); 1,31м(51,4кг); 1,01м(39,8кг); 0,96м(36,8кг); 1,79м(68,3кг) по 1шт </t>
    </r>
    <r>
      <rPr>
        <b/>
        <sz val="10"/>
        <rFont val="Arial"/>
        <family val="2"/>
        <charset val="204"/>
      </rPr>
      <t xml:space="preserve"> клеймо   ЭП-56ш      </t>
    </r>
  </si>
  <si>
    <t xml:space="preserve">Круг  50 мм  - 1,54м(7,6кг); 1,8м(9кг)  по 1шт   </t>
  </si>
  <si>
    <t xml:space="preserve">Круг  80 мм - 1,4м(55,5кг); 1,32м(52,2кг) по 1шт    </t>
  </si>
  <si>
    <t>Труба  27 х 3,5  -  5,07м(10,6кг) - 1шт</t>
  </si>
  <si>
    <t xml:space="preserve">Труба  33 х 4,5   - 2,52-3,33м(61,8кг, в т.ч. 2,05м) </t>
  </si>
  <si>
    <t>Труба  48 х 4,0   -  1,32м - 1шт</t>
  </si>
  <si>
    <r>
      <t xml:space="preserve">Труба  22 х 4,0   -   3м - 3шт; 1,79м - 1шт              </t>
    </r>
    <r>
      <rPr>
        <b/>
        <sz val="10"/>
        <rFont val="Arial"/>
        <family val="2"/>
        <charset val="204"/>
      </rPr>
      <t>316Ті</t>
    </r>
  </si>
  <si>
    <t>Круг  30 мм  - 3,5; 3,78 по 1шт</t>
  </si>
  <si>
    <t>Круг   6 мм  -   2,4-2,6м    мягкий</t>
  </si>
  <si>
    <t xml:space="preserve">Труба  34 х 4,0   -  3-3,02м </t>
  </si>
  <si>
    <t xml:space="preserve">Труба  32 х 2,0  -   2,97; 2,36м(3,4кг); 2,14м(13,3кг) - 4шт; 2,02м(3,1кг); 2,8м - 3шт; 3,2м; 1,4м(2,1кг); 1,99м(2,9кг) </t>
  </si>
  <si>
    <t>Круг  100 мм -   0,16м(11кг); 0,2м(12,2кг); 0,17м(11кг); 0,33м(22,6кг); 0,28м(17,6кг); 0,32м(20,4кг); 0,13м(8,2кг н\о); 80мм(5+5кг н\о) по 1шт</t>
  </si>
  <si>
    <t xml:space="preserve">Шестигранник №14 - 0,77-1,48м(160,2кг);  3,5-3,6м(45,7кг) </t>
  </si>
  <si>
    <t>Круг   70 мм - 90мм(2,6кг); 170мм(4,9кг, ф69мм в г2); 130мм(3,9кг в г2); 125мм(3,8кг в г2) по 1шт</t>
  </si>
  <si>
    <t xml:space="preserve">Круг   40(39) мм  -   0,35м(3,8кг)  - 1шт                </t>
  </si>
  <si>
    <t xml:space="preserve">Круг  45 мм  -  1,33м(16,3кг) - 1шт   </t>
  </si>
  <si>
    <t xml:space="preserve">Круг  140 мм  -  0,63м(74,8кг) - 1шт   </t>
  </si>
  <si>
    <t>Проволока  0,26 мм - 6,4кг; 8кг по 1 катушке алюминий,   твердая</t>
  </si>
  <si>
    <t>Проволока  2,0 мм  -  9,8кг мягкая - 1 бухта</t>
  </si>
  <si>
    <t>Проволока   5 мм  -  34,3кг; 14,5кг   по 1-й бухте    светлая</t>
  </si>
  <si>
    <r>
      <t xml:space="preserve">Лента  0,15х395 мм  -   рулон  27,7кг - 1шт                           </t>
    </r>
    <r>
      <rPr>
        <b/>
        <sz val="10"/>
        <rFont val="Arial"/>
        <family val="2"/>
        <charset val="204"/>
      </rPr>
      <t>ЭИ-435</t>
    </r>
  </si>
  <si>
    <t xml:space="preserve">Припой   ф2мм  - проволока бухты 6; 6,1; 5,6кг  </t>
  </si>
  <si>
    <t>Лист бронзовый 2,0мм - 300х1130мм; 300х1150мм по 1шт      маркированы</t>
  </si>
  <si>
    <t>ПОС-55</t>
  </si>
  <si>
    <t>c5</t>
  </si>
  <si>
    <t>Лента 0,1х150мм - 2,9+6,9кг по 1 рулону</t>
  </si>
  <si>
    <r>
      <t xml:space="preserve">Труба  38 х 3,0  -  6м(15,5кг) - 1шт               </t>
    </r>
    <r>
      <rPr>
        <b/>
        <sz val="10"/>
        <rFont val="Arial"/>
        <family val="2"/>
        <charset val="204"/>
      </rPr>
      <t>316-Ti</t>
    </r>
  </si>
  <si>
    <t xml:space="preserve">Круг  110(109) мм  -  1,1м(46,7кг) - 1шт </t>
  </si>
  <si>
    <r>
      <t xml:space="preserve">Труба  16 х 2,0 - 2,78-3,36м(12,1кг) - 5шт; 2,19м(1,5кг); 1м(0,8кг) по 1шт  </t>
    </r>
    <r>
      <rPr>
        <b/>
        <sz val="10"/>
        <rFont val="Arial"/>
        <family val="2"/>
        <charset val="204"/>
      </rPr>
      <t xml:space="preserve">316-L </t>
    </r>
    <r>
      <rPr>
        <b/>
        <sz val="8"/>
        <rFont val="Arial"/>
        <family val="2"/>
        <charset val="204"/>
      </rPr>
      <t>найти</t>
    </r>
    <r>
      <rPr>
        <b/>
        <sz val="10"/>
        <rFont val="Arial"/>
        <family val="2"/>
        <charset val="204"/>
      </rPr>
      <t xml:space="preserve"> </t>
    </r>
    <r>
      <rPr>
        <b/>
        <sz val="8"/>
        <rFont val="Arial"/>
        <family val="2"/>
        <charset val="204"/>
      </rPr>
      <t>17кг!!!!</t>
    </r>
  </si>
  <si>
    <r>
      <t xml:space="preserve">Труба  16 х 2,0 - 6м(20,6кг) - 5шт; 2,79-3,16м(6,7кг) - 3шт; 1,78+1,79+2,2м=4,5кг  </t>
    </r>
    <r>
      <rPr>
        <b/>
        <sz val="10"/>
        <rFont val="Arial"/>
        <family val="2"/>
        <charset val="204"/>
      </rPr>
      <t>316Ті</t>
    </r>
  </si>
  <si>
    <t xml:space="preserve">Труба 37х3,0  по  3м - 80шт     </t>
  </si>
  <si>
    <t>Круг  30"-" мм  -   1,74+1,79м=6,8кг    клеймо</t>
  </si>
  <si>
    <t xml:space="preserve">Круг   18 мм  -  1,25-1,85м(41,3кг); 1,72+1,77м=7,5кг; 0,42-0,54м(4,2кг); 0,43м(0,9кг) </t>
  </si>
  <si>
    <t xml:space="preserve">Круг  16"-" мм  - 2,35-2,4м(4,4кг, от 1шт резали 1м) </t>
  </si>
  <si>
    <r>
      <t xml:space="preserve">Труба  86 х 16  -  1,68м(46,3кг) - 1шт        </t>
    </r>
    <r>
      <rPr>
        <b/>
        <sz val="10"/>
        <rFont val="Arial"/>
        <family val="2"/>
        <charset val="204"/>
      </rPr>
      <t xml:space="preserve"> 316-L</t>
    </r>
  </si>
  <si>
    <r>
      <t xml:space="preserve">Круг  40 мм  -  0,7; 0,75м по 1шт            </t>
    </r>
    <r>
      <rPr>
        <b/>
        <sz val="10"/>
        <rFont val="Arial"/>
        <family val="2"/>
        <charset val="204"/>
      </rPr>
      <t>316-L</t>
    </r>
  </si>
  <si>
    <t xml:space="preserve">Труба  108 х 6,0  -  1,82м(15,6кг маркирована) - 1шт   </t>
  </si>
  <si>
    <t>Лента бронзовая - 1,0х250мм  -  1 бухта    5,4кг    твердая</t>
  </si>
  <si>
    <t>Труба 16х2,5 -  2,5м(78,9кг)    цветовая маркировка</t>
  </si>
  <si>
    <t>Круг   25 мм  -  0,4м(1,6кг) - 1шт</t>
  </si>
  <si>
    <t>Круг  14,5 мм - 1,63-1,98м(56,3кг осн масса 1,95-1,98м); 0,7-1,23м(7,3кг) калиброваный</t>
  </si>
  <si>
    <t>Труба  12 х 1,5  -  2,59м(1кг) - 1шт</t>
  </si>
  <si>
    <t xml:space="preserve">Круг   22 мм  -  0,47-0,49м </t>
  </si>
  <si>
    <t>Лист медный 1,0 мм -  0,6х1м(5кг) - 1шт   мягкий</t>
  </si>
  <si>
    <t xml:space="preserve">Круг   40 мм  -   0,39-0,4м(77,4кг) </t>
  </si>
  <si>
    <t>Круг   40 мм  -   0,28+0,39+0,39м=12,1кг</t>
  </si>
  <si>
    <t>Круг   45 мм  -   0,21+0,21м=6кг</t>
  </si>
  <si>
    <t xml:space="preserve">Круг   48 мм -  0,38м(5,9кг); 0,41м(6,2кг) по 1шт  </t>
  </si>
  <si>
    <t>Лист  30"+" мм -  0,24х1,5м(29,1кг) - 1шт         2 стороны в пленке</t>
  </si>
  <si>
    <t>Лист  50 мм -  0,24х1,25м(40,4кг) - 1шт         1 сторона в пленке</t>
  </si>
  <si>
    <t>Лист  60 мм -  0,2х0,92м(30,6кг); 0,25х0,94м(37,9кг) по 1шт     1 сторона в пленке</t>
  </si>
  <si>
    <t>Круг   60 мм -  0,5м(11,9кг на г2); 0,26м(6,2кг); 0,17м(4кг); 0,16м(4кг); 0,16м(3,8кг в Г2) по 1шт</t>
  </si>
  <si>
    <t>Труба  34 х 3,0  -   4,73м(10,9кг); 2,63м(6кг) по 1шт</t>
  </si>
  <si>
    <t>Труба  30 х 5,0  -  1,18+1,18+1,05м=10,6кг</t>
  </si>
  <si>
    <t>Труба  28 х 3,5  - 1,18+1,23+1,44м=8кг</t>
  </si>
  <si>
    <t>Труба  28 х 3,0  - 1,43+1,53м=5,4кг</t>
  </si>
  <si>
    <t>Труба  28 х 0,8  -  2,1м(1кг) - 1шт</t>
  </si>
  <si>
    <t>Труба  27 х 3,0  - 2,54м(4,5кг); 1,89м(3,3кг); 1,58м(2,8кг на с4) по 1шт</t>
  </si>
  <si>
    <t>Труба  27 х 1,5  -  1,76м(1,9кг) - 1шт</t>
  </si>
  <si>
    <t>Труба  22 х 3,0   -  1,96м(2,7кг); 2,01м(2,9кг); 1,2+1,55м=3,9кг по 1шт</t>
  </si>
  <si>
    <t xml:space="preserve">Лист  16 мм  -  0,5х0,74м(по 46,7кг) - 5шт                </t>
  </si>
  <si>
    <t>Труба  57 х 3,0  -  2,31+2,58м=19,3кг; 2,5м(9,9кг); 2,43м(10кг)</t>
  </si>
  <si>
    <t>Труба  80 х 9,0 -  4,44м(71,7кг) - 1шт</t>
  </si>
  <si>
    <r>
      <t xml:space="preserve">Труба  30 х 3,0   - 5,3-6,33м(32,8кг); 2,8м(5,8кг) - 1шт          </t>
    </r>
    <r>
      <rPr>
        <b/>
        <sz val="10"/>
        <rFont val="Arial"/>
        <family val="2"/>
        <charset val="204"/>
      </rPr>
      <t>316-L</t>
    </r>
  </si>
  <si>
    <t xml:space="preserve">Труба  32 х 4,0  - 1,3-1,7м(33,8кг); 1,66м(4,6кг) по 1шт </t>
  </si>
  <si>
    <t xml:space="preserve">Труба  34 х 5,0   -  6,4м - 2шт </t>
  </si>
  <si>
    <t>Круг  30 мм  -  1,69+2,06м=21кг</t>
  </si>
  <si>
    <t xml:space="preserve">Круг  30 мм - 1,31+1,17м=14,1кг </t>
  </si>
  <si>
    <t xml:space="preserve">Круг   25 мм  - 1,29м(5,4кг в г3); 0,54м(4,6кг) - 2шт  </t>
  </si>
  <si>
    <t>Проволока   ф 2мм  - 12,8кг -  1  бухта  мягкая</t>
  </si>
  <si>
    <t xml:space="preserve">Припой   ф10мм  - пруток       </t>
  </si>
  <si>
    <t xml:space="preserve">Труба  60 х 4,0  -  6+1,99м(10,3кг на Е7)=40кг </t>
  </si>
  <si>
    <t>Лента медная рулон  1х46мм  -  22кг; 8,5; 5,3; 2,4кг по 1шт    мягкая</t>
  </si>
  <si>
    <t>Труба 95х15-16  -  2,43м - 1шт  клеймо</t>
  </si>
  <si>
    <t xml:space="preserve">Круг  22 мм  - 1,7-1,8м(312,1кг от 1шт отрезали 0,5м) </t>
  </si>
  <si>
    <r>
      <t xml:space="preserve">Круг  140 мм  -   3,51м(428кг клеймо)  -  1шт           </t>
    </r>
    <r>
      <rPr>
        <b/>
        <sz val="10"/>
        <rFont val="Arial"/>
        <family val="2"/>
        <charset val="204"/>
      </rPr>
      <t>склад 6</t>
    </r>
  </si>
  <si>
    <r>
      <t xml:space="preserve">Круг  10 мм  -  3-4м(22,1кг); 1,9-2,2м(1,2кг)  н\о            </t>
    </r>
    <r>
      <rPr>
        <b/>
        <sz val="10"/>
        <rFont val="Arial"/>
        <family val="2"/>
        <charset val="204"/>
      </rPr>
      <t>ЭИ-268</t>
    </r>
  </si>
  <si>
    <t>Лист  1,0 мм - 0,3х0,45м(27,8кг); 0,35х0,45м(7,4кг)</t>
  </si>
  <si>
    <t>Круг  30 мм  -  0,4м(0,8кг) - 1шт</t>
  </si>
  <si>
    <t>Шестигранник №24  - 1,4м(5,8кг); 0,71м(2,9кг); 2,2м(9,2кг); 3м(12,5кг) по 1шт</t>
  </si>
  <si>
    <t xml:space="preserve">Шестигранник №30  - 3,45м(20,4кг) - 1шт </t>
  </si>
  <si>
    <t xml:space="preserve">Лист 4мм -  0,36х1,01м(6,7кг); 0,61х0,72м(7,9кг) по 1шт    </t>
  </si>
  <si>
    <t>Проволока   0,5мм  - 3,1кг - 1 катушка, пластик</t>
  </si>
  <si>
    <t xml:space="preserve">Круг  40 мм -  0,65+0,79м=14,5кг; 0,43м(4,4кг) по 1шт  </t>
  </si>
  <si>
    <t>Лист латунный 3,0 мм - 0,32х1м(8,1кг) - 1шт   твердый</t>
  </si>
  <si>
    <t>Лист латунный 1,5 мм - 0,49х1,49м(8,8кг); 0,49х1,33м(7,8кг) по 1шт   твердый</t>
  </si>
  <si>
    <t>Лист латунный 2,5 мм - 0,49х1,27м(12,9кг) - 1шт   твердый</t>
  </si>
  <si>
    <r>
      <t xml:space="preserve">Лист  80 мм   -  0,54х0,97м(344кг) - 1шт        </t>
    </r>
    <r>
      <rPr>
        <b/>
        <sz val="10"/>
        <rFont val="Arial"/>
        <family val="2"/>
        <charset val="204"/>
      </rPr>
      <t>склад 2</t>
    </r>
  </si>
  <si>
    <r>
      <t xml:space="preserve">Труба  195 х 50  -  4,13м(741кг клеймо)  - 1шт       </t>
    </r>
    <r>
      <rPr>
        <b/>
        <sz val="10"/>
        <rFont val="Arial"/>
        <family val="2"/>
        <charset val="204"/>
      </rPr>
      <t xml:space="preserve"> </t>
    </r>
    <r>
      <rPr>
        <b/>
        <sz val="8.3000000000000007"/>
        <rFont val="Arial"/>
        <family val="2"/>
        <charset val="204"/>
      </rPr>
      <t xml:space="preserve">       </t>
    </r>
    <r>
      <rPr>
        <b/>
        <sz val="10"/>
        <rFont val="Arial"/>
        <family val="2"/>
        <charset val="204"/>
      </rPr>
      <t>склад 2</t>
    </r>
  </si>
  <si>
    <r>
      <t xml:space="preserve">Труба  195 х 50  -  0,79+0,8м=278кг       </t>
    </r>
    <r>
      <rPr>
        <b/>
        <sz val="10"/>
        <rFont val="Arial"/>
        <family val="2"/>
        <charset val="204"/>
      </rPr>
      <t xml:space="preserve"> </t>
    </r>
    <r>
      <rPr>
        <b/>
        <sz val="8.3000000000000007"/>
        <rFont val="Arial"/>
        <family val="2"/>
        <charset val="204"/>
      </rPr>
      <t xml:space="preserve">       </t>
    </r>
    <r>
      <rPr>
        <b/>
        <sz val="10"/>
        <rFont val="Arial"/>
        <family val="2"/>
        <charset val="204"/>
      </rPr>
      <t>склад 2</t>
    </r>
  </si>
  <si>
    <r>
      <t xml:space="preserve">Труба  195 х 50  -  0,24м(43,3кг) - 1шт       </t>
    </r>
    <r>
      <rPr>
        <b/>
        <sz val="10"/>
        <rFont val="Arial"/>
        <family val="2"/>
        <charset val="204"/>
      </rPr>
      <t xml:space="preserve"> </t>
    </r>
    <r>
      <rPr>
        <b/>
        <sz val="8.3000000000000007"/>
        <rFont val="Arial"/>
        <family val="2"/>
        <charset val="204"/>
      </rPr>
      <t xml:space="preserve">       </t>
    </r>
    <r>
      <rPr>
        <b/>
        <sz val="10"/>
        <rFont val="Arial"/>
        <family val="2"/>
        <charset val="204"/>
      </rPr>
      <t xml:space="preserve"> </t>
    </r>
  </si>
  <si>
    <t xml:space="preserve">Труба  102 х 5,0  -  5,81м(70,6кг клеймо); 4,44м(53кг клеймо) по 1шт                               </t>
  </si>
  <si>
    <t xml:space="preserve">Труба  133 х 5,0  -  5,34м(83,3кг маркир) - 1шт                               </t>
  </si>
  <si>
    <t xml:space="preserve">Труба  133 х 5,0  -  3,43м(55кг маркир); 3м(51,5кг маркир) по 1шт                               </t>
  </si>
  <si>
    <t xml:space="preserve">Труба  114 х 5,0  -  1,54м(21,5кг маркир) - 1шт                               </t>
  </si>
  <si>
    <r>
      <t xml:space="preserve">Труба  152 х 6,0 - 6,5м(138,6кг) - 1шт        </t>
    </r>
    <r>
      <rPr>
        <b/>
        <sz val="10"/>
        <rFont val="Arial"/>
        <family val="2"/>
        <charset val="204"/>
      </rPr>
      <t xml:space="preserve">   </t>
    </r>
    <r>
      <rPr>
        <b/>
        <sz val="8.3000000000000007"/>
        <rFont val="Arial"/>
        <family val="2"/>
        <charset val="204"/>
      </rPr>
      <t xml:space="preserve">              </t>
    </r>
  </si>
  <si>
    <t>Круг  30 мм  -  3,89+3,89м=43,8кг н\о; 1,16м(6,6кг); 1,57м(8,5кг клеймо) по 1шт</t>
  </si>
  <si>
    <t xml:space="preserve">Круг  60 мм  -  3,02м(67,6кг) - 1шт  </t>
  </si>
  <si>
    <t xml:space="preserve">Лента бронзовая - 0,3х250мм - бухты  3,9кг; 3,6кг  по 1шт    твердая             </t>
  </si>
  <si>
    <t xml:space="preserve">Труба  21,3 х 4 -  3,3-3,8м(26,4кг, от 2шт резали 2м) </t>
  </si>
  <si>
    <t>Труба 50х5,0 -  3; 3м по 1шт</t>
  </si>
  <si>
    <t>Труба 40х3,5 -  1,72м - 1шт</t>
  </si>
  <si>
    <t xml:space="preserve">Круг  40 мм  -   0,3м(5,9кг) - 2шт </t>
  </si>
  <si>
    <r>
      <t xml:space="preserve">Круг  16 мм   - 1,15-2м(46,2кг); 2,3м(3,7кг); 0,76м(1,2кг) - 1шт         </t>
    </r>
    <r>
      <rPr>
        <b/>
        <sz val="10"/>
        <rFont val="Arial"/>
        <family val="2"/>
        <charset val="204"/>
      </rPr>
      <t>ЭИ-437Б</t>
    </r>
  </si>
  <si>
    <r>
      <t xml:space="preserve">Круг  20 мм   -  4,8м(12,2кг) - 1шт   маркировка     калиброваный     </t>
    </r>
    <r>
      <rPr>
        <b/>
        <sz val="10"/>
        <rFont val="Arial"/>
        <family val="2"/>
        <charset val="204"/>
      </rPr>
      <t xml:space="preserve">ЭИ-437Б-ВД     </t>
    </r>
    <r>
      <rPr>
        <b/>
        <sz val="8.3000000000000007"/>
        <rFont val="Arial"/>
        <family val="2"/>
        <charset val="204"/>
      </rPr>
      <t xml:space="preserve">                               </t>
    </r>
  </si>
  <si>
    <t xml:space="preserve">Труба  18 х 4,0  -  1,15-1,25м </t>
  </si>
  <si>
    <t xml:space="preserve">Труба  48 х 6,0  -  4,54м  - 4шт </t>
  </si>
  <si>
    <t>Труба  57 х 6,0  -  2,03м(15,6кг) - 1шт</t>
  </si>
  <si>
    <t xml:space="preserve">Круг   70 мм - 0,79-0,81м(138кг) - 5шт; 0,77м(27,6кг) - 1шт </t>
  </si>
  <si>
    <t>Круг  80(82) мм - 0,56м(23,3кг); 0,57м(23кг); 0,59м(25,5кг); 0,6м(25кг); 0,33м(14,4кг) по 1шт</t>
  </si>
  <si>
    <t xml:space="preserve">Проволока ф2,5мм    - 16кг(в Г2); 0,5кг; 0,9-2кг(2,9кг)   бухты </t>
  </si>
  <si>
    <t>Проволока ф3мм  -   16,1кг - 1 бухта</t>
  </si>
  <si>
    <t>Лента латунная 0,1х300 мм - 58,9; 9кг(в г3); 1,9кг(в г3); 1,2кг(в г3) по 1 рулону   мягкая</t>
  </si>
  <si>
    <t>Лента  0,4х395 мм  - рулоны 10,2кг - 1шт        мягкая</t>
  </si>
  <si>
    <r>
      <rPr>
        <b/>
        <sz val="8"/>
        <rFont val="Arial"/>
        <family val="2"/>
        <charset val="204"/>
      </rPr>
      <t xml:space="preserve">Шестигранник №14 -  1,94-2м(11,3кг, в т.ч. 1,14м)       </t>
    </r>
    <r>
      <rPr>
        <b/>
        <sz val="10"/>
        <rFont val="Arial"/>
        <family val="2"/>
        <charset val="204"/>
      </rPr>
      <t>ЭП-33вд</t>
    </r>
  </si>
  <si>
    <t xml:space="preserve">Труба  16 х 2,0  -  6-6,1м(37кг, резали куски 3; 1,2м) </t>
  </si>
  <si>
    <r>
      <t xml:space="preserve">Труба  30 х 2,0  -  6-6,9м(73,5кг)        </t>
    </r>
    <r>
      <rPr>
        <b/>
        <sz val="10"/>
        <rFont val="Arial"/>
        <family val="2"/>
        <charset val="204"/>
      </rPr>
      <t xml:space="preserve"> 316-Ti</t>
    </r>
  </si>
  <si>
    <t xml:space="preserve">Круг  70 мм  -  0,23м(4,1кг); 0,21м(3,8кг клеймо) по 1шт  </t>
  </si>
  <si>
    <r>
      <t xml:space="preserve">Проволока  5,0 мм  -   14,5кг  - 1 бухта </t>
    </r>
    <r>
      <rPr>
        <b/>
        <sz val="10"/>
        <rFont val="Arial"/>
        <family val="2"/>
        <charset val="204"/>
      </rPr>
      <t xml:space="preserve">       ЭП-33вд</t>
    </r>
  </si>
  <si>
    <t xml:space="preserve">Круг  30 мм - 1,5м; 1,03м(5,8кг) по 1шт </t>
  </si>
  <si>
    <t>Труба 65х2,0 -   2,9-3м(43,7кг, от 1шт резали 1м)         цветовая маркировка</t>
  </si>
  <si>
    <t xml:space="preserve">Проволока  1,2 мм - 10кг - 1 бухта     </t>
  </si>
  <si>
    <t>Круг  32 мм  -  3,3-3,58м - 10шт; 3м; 2,23м(14кг) по 1шт  н\о, клеймо</t>
  </si>
  <si>
    <t xml:space="preserve">Круг   8 мм  -  2,5-2,7м(243,9кг, от 1шт резали 1м)  </t>
  </si>
  <si>
    <t xml:space="preserve">Труба  16 х 0,8  -  5,5-5,95м(34,3кг, основная масса 5,95м); 3+3,15+3,15м=1,6кг </t>
  </si>
  <si>
    <t>Лист латунный 0,7 мм - 0,6х1,5м(5,4кг) - 1шт     птв</t>
  </si>
  <si>
    <t xml:space="preserve">Труба  16х1,0  -  2-3м(3кг основная масса около 3м) </t>
  </si>
  <si>
    <t>Труба  14 х 2,0  - 3,11м(1,9кг на Е2); 1,3м(0,8кг); 1,33м(0,8кг) - 1шт</t>
  </si>
  <si>
    <t xml:space="preserve">Труба  12 х 2,0   -  5,6-6м(108,9кг отрезал куски) </t>
  </si>
  <si>
    <t xml:space="preserve">Труба  28 х 4,0  -  3,94м(18,5кг) - 2шт; 2,68-3,95м(31,7кг); 3,03м(21,4кг) - 3шт </t>
  </si>
  <si>
    <t xml:space="preserve">Круг  7 мм -  2,18м(1,8кг); 1,45м(0,5кг)  </t>
  </si>
  <si>
    <t>Проволока   ф 6,0 мм - 2,2; 4,2кг  по 1 бухте   бирка</t>
  </si>
  <si>
    <t>Труба  40 х 3,0  -  2,84-3,18м - 6шт</t>
  </si>
  <si>
    <t>Круг  20 мм  - 1м(2,8кг) - 1шт</t>
  </si>
  <si>
    <t xml:space="preserve">Труба  89 х 12  -  5,49м(124кг); 5,27м(120кг); 5,53м(125кг); 5,56м(125,5кг);                3,29м(74,9кг на К2) - 1шт           маркирована                    </t>
  </si>
  <si>
    <r>
      <t xml:space="preserve">Труба  120 х 3,5"+" -  1,63м(16,8кг) - 1шт        </t>
    </r>
    <r>
      <rPr>
        <b/>
        <sz val="10"/>
        <rFont val="Arial"/>
        <family val="2"/>
        <charset val="204"/>
      </rPr>
      <t xml:space="preserve"> </t>
    </r>
  </si>
  <si>
    <t>Круг  10 мм - 2-3,1м(119,4кг); 1,7-2,5м(21,6кг) (найти 2,7кг!!!)</t>
  </si>
  <si>
    <t xml:space="preserve">Труба  38 х 4,0 -  1,22-1,24м </t>
  </si>
  <si>
    <t xml:space="preserve">Проволока  4,0  мм  -  50,2кг; 11; 7,4; 8,5кг; 9,9кг; 4,7кг   по  1-й бухте </t>
  </si>
  <si>
    <t xml:space="preserve">Круг  25 мм    -  0,26+0,32+0,41+0,56м=3,5кг  </t>
  </si>
  <si>
    <r>
      <t xml:space="preserve">Круг  16 мм  -   0,53м(0,9кг) - 1шт              </t>
    </r>
    <r>
      <rPr>
        <b/>
        <sz val="10"/>
        <rFont val="Arial"/>
        <family val="2"/>
        <charset val="204"/>
      </rPr>
      <t>ЭИ-435</t>
    </r>
  </si>
  <si>
    <t>Труба  32 х 3,0   -  1,75м(7,3кг) - 2шт; 2,13м(4,6кг) - 1шт</t>
  </si>
  <si>
    <t>Труба 20х4,0 -  3-3,05м(71,2кг, от 1шт резали 1м)    цветовая маркировка</t>
  </si>
  <si>
    <t>Труба 25х5,0 -   2,42; 2,58; 2,9; 3м по 1шт        цветовая маркировка</t>
  </si>
  <si>
    <t>Лист  2,0 мм  - 0,86х1,96м(26кг); 0,86х1,13м(15,3кг); 0,86х1,9м(25,1кг) по 1шт   н\о</t>
  </si>
  <si>
    <t xml:space="preserve">Труба  25 х 2,0  -  1,1м(6,5кг)  </t>
  </si>
  <si>
    <t xml:space="preserve">Труба  42 х 3,5   -  1,51м(5,1кг) - 1шт       </t>
  </si>
  <si>
    <r>
      <t xml:space="preserve">Лист  1,5 мм -  0,66х0,94м(8,4кг); 0,66х0,95м(8,5кг) по 1шт          </t>
    </r>
    <r>
      <rPr>
        <b/>
        <sz val="10"/>
        <rFont val="Arial"/>
        <family val="2"/>
        <charset val="204"/>
      </rPr>
      <t>ЭИ-868</t>
    </r>
  </si>
  <si>
    <t>Труба  30 х 5,0  -  1,5+1,65м=9,8кг; 0,99м(3кг) - 1шт</t>
  </si>
  <si>
    <t>Труба  45 х 5,0  -  4,38м(21,2кг); 4,25м(20,2кг)  по 1шт</t>
  </si>
  <si>
    <t xml:space="preserve">Труба  32 х 2,5 - 1,59м(3кг); 2,07м(3,8кг); 3,22м(6кг); 2,6+2,88м=10кг; 1,39+1,39м=5кг; 2,32м(4,3кг)  </t>
  </si>
  <si>
    <t>Проволока   ф 2,0мм  -  49,9; 23,7кг по 1-й  бухте</t>
  </si>
  <si>
    <t>Шестигранник №7  - 2,5-2,6м</t>
  </si>
  <si>
    <t>Шестигранник №8  -   бухта 11,5кг - 1шт</t>
  </si>
  <si>
    <t>Круг   60 мм -   0,12м(2,8+2,7кг); 0,24м(5,2кг); 95мм(2,1кг ф61мм)  по 1шт</t>
  </si>
  <si>
    <t>Труба  16 х 3,0  -  6,7-6,78м(85,6кг от некоторых отрезали куски)</t>
  </si>
  <si>
    <t>Шестигранник №19  -  1м(23,5кг)  - 9шт</t>
  </si>
  <si>
    <t>Шестигранник №14  -  1+1+0,9м=4,1кг</t>
  </si>
  <si>
    <t>Лента латунная 0,3х200 мм - 16,9кг - 1 рулон   мягкий</t>
  </si>
  <si>
    <t xml:space="preserve">Труба  102 х 7,5-8,5 -  2,1м(37,6кг); 2,25м(39,8кг) по 1шт  </t>
  </si>
  <si>
    <t xml:space="preserve">Лист бронзовый 25мм - 150х500мм(14,2кг) - 1шт </t>
  </si>
  <si>
    <t xml:space="preserve">Труба  60 х 5,0  -   4,5м(30,3кг) - 1шт </t>
  </si>
  <si>
    <t>Труба  57 х 2,5 -  1,9м(6,5кг) - 1шт</t>
  </si>
  <si>
    <r>
      <t xml:space="preserve">Труба  57 х 3,5  -   3,18м(14кг); 1,72м(7,8кг) по 1шт                         </t>
    </r>
    <r>
      <rPr>
        <b/>
        <sz val="10"/>
        <rFont val="Arial"/>
        <family val="2"/>
        <charset val="204"/>
      </rPr>
      <t xml:space="preserve">   ЭП-794</t>
    </r>
  </si>
  <si>
    <t>Труба  42 х 3,5   -  2,8м(8,9кг); 2,69м(8,5кг) по 1шт</t>
  </si>
  <si>
    <t xml:space="preserve">Труба  38 х 2,0 -   2,2-2,4м(37,1кг); 1,32-1,84м(2,4кг); 1,85+2м=7,5кг; 2,45+2,61м=9,2кг  </t>
  </si>
  <si>
    <t>Труба  33 х 4,5   - 1,34м(4,3кг) - 1шт</t>
  </si>
  <si>
    <t xml:space="preserve">Труба  32 х 7,0 -  0,9м(3,8кг) - 1шт               </t>
  </si>
  <si>
    <t>Труба  20 х 1,5  -  1,6м(1,2кг); 1,5м(1,3кг); 2,05м(1,5кг) по 1шт</t>
  </si>
  <si>
    <t>л1</t>
  </si>
  <si>
    <t xml:space="preserve">Лист 14мм -  0,34х0,65м(14,2кг) - 1шт </t>
  </si>
  <si>
    <t xml:space="preserve">Лист  3,0 мм  -  0,95х0,95м(20,9+21кг) по 1шт   </t>
  </si>
  <si>
    <t>Круг  70(69) мм  -  0,48м(13,8кг) - 1шт</t>
  </si>
  <si>
    <r>
      <t xml:space="preserve">Круг  70(68) мм  -   0,42м(12кг) - 1шт   клеймо                </t>
    </r>
    <r>
      <rPr>
        <b/>
        <sz val="10"/>
        <rFont val="Arial"/>
        <family val="2"/>
        <charset val="204"/>
      </rPr>
      <t xml:space="preserve"> ЭП-222                                </t>
    </r>
  </si>
  <si>
    <r>
      <t xml:space="preserve">Круг  70(69)мм  -  0,76м(22,7кг клеймо) - 1шт  </t>
    </r>
    <r>
      <rPr>
        <b/>
        <sz val="10"/>
        <rFont val="Arial"/>
        <family val="2"/>
        <charset val="204"/>
      </rPr>
      <t xml:space="preserve"> </t>
    </r>
  </si>
  <si>
    <r>
      <t xml:space="preserve">Круг  44-46мм  -  2,14м(27,8кг клеймо) - 1шт  </t>
    </r>
    <r>
      <rPr>
        <b/>
        <sz val="10"/>
        <rFont val="Arial"/>
        <family val="2"/>
        <charset val="204"/>
      </rPr>
      <t xml:space="preserve">    ЭП-769ш</t>
    </r>
  </si>
  <si>
    <t>45Г14Н8Х3ЮФ</t>
  </si>
  <si>
    <r>
      <t xml:space="preserve">Круг  44-46мм  -  2-2,5м  клеймо -  5шт  </t>
    </r>
    <r>
      <rPr>
        <b/>
        <sz val="10"/>
        <rFont val="Arial"/>
        <family val="2"/>
        <charset val="204"/>
      </rPr>
      <t xml:space="preserve">    ЭП-769ш</t>
    </r>
  </si>
  <si>
    <t>Круг  80 мм  - 0,9м(36кг); 1,19м(47,5+47,5кг); 1,99м(79кг); 1,55м(61,7кг); 1,01м(40,1кг) по 1шт</t>
  </si>
  <si>
    <t xml:space="preserve">Круг  150 мм - 0,4м(55,4кг н\о) - 1шт </t>
  </si>
  <si>
    <t>Труба  48"+" х 2-3,7  -  2,01м(3,7+3,7кг) по 1шт    разностенная</t>
  </si>
  <si>
    <r>
      <t xml:space="preserve">Круг  215 мм  - 150мм(43,4кг); 100мм(29кг); 60мм(17,9кг); 30мм(8,3кг); 45мм(12,7кг); 30мм(9,7кг) по 1шт                          </t>
    </r>
    <r>
      <rPr>
        <b/>
        <sz val="10"/>
        <rFont val="Arial"/>
        <family val="2"/>
        <charset val="204"/>
      </rPr>
      <t xml:space="preserve"> 316</t>
    </r>
    <r>
      <rPr>
        <b/>
        <sz val="8.5"/>
        <rFont val="Arial"/>
        <family val="2"/>
        <charset val="204"/>
      </rPr>
      <t>-я</t>
    </r>
  </si>
  <si>
    <t xml:space="preserve">Труба  50 х 3,0   - 2,9м(10,2кг) - 1шт </t>
  </si>
  <si>
    <t xml:space="preserve">Круг  198 мм  -  70мм(17,4кг); 0,13мм(31,6кг)  по 1шт    точеные                       </t>
  </si>
  <si>
    <t>Труба  89 х 4,5-5 - 2,5; 1,95; 2,24м  по 1шт</t>
  </si>
  <si>
    <t xml:space="preserve">Труба 140х25  -  1,05м(26,4кг); 0,64м(16кг) по 1шт  </t>
  </si>
  <si>
    <t>Труба  18 х 2,0   -  4,85м; 3,21м(2,4кг) по 1шт</t>
  </si>
  <si>
    <r>
      <t xml:space="preserve">Труба  57 х 3,0  -  1,7-1,72м(118,7кг от 1шт резали 55мм)          </t>
    </r>
    <r>
      <rPr>
        <b/>
        <sz val="10"/>
        <rFont val="Arial"/>
        <family val="2"/>
        <charset val="204"/>
      </rPr>
      <t xml:space="preserve">316-Ті   </t>
    </r>
  </si>
  <si>
    <r>
      <t xml:space="preserve">Труба  214 х 22 -  1,19м(127кг) - 1шт           </t>
    </r>
    <r>
      <rPr>
        <b/>
        <sz val="10"/>
        <rFont val="Arial"/>
        <family val="2"/>
        <charset val="204"/>
      </rPr>
      <t xml:space="preserve">   </t>
    </r>
    <r>
      <rPr>
        <b/>
        <sz val="8.3000000000000007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склад 6</t>
    </r>
  </si>
  <si>
    <t>Проволока   ф 2,0мм - 68; 11,7; 44кг по  1-й бухте  бирки</t>
  </si>
  <si>
    <r>
      <t xml:space="preserve">Труба  2 х 0,5  -   2,5-2,6м       </t>
    </r>
    <r>
      <rPr>
        <b/>
        <sz val="10"/>
        <rFont val="Arial"/>
        <family val="2"/>
        <charset val="204"/>
      </rPr>
      <t xml:space="preserve">  </t>
    </r>
    <r>
      <rPr>
        <b/>
        <sz val="8.3000000000000007"/>
        <rFont val="Arial"/>
        <family val="2"/>
        <charset val="204"/>
      </rPr>
      <t xml:space="preserve">  </t>
    </r>
  </si>
  <si>
    <t xml:space="preserve">Труба  8 х 1,0  -  2,5-3,2м </t>
  </si>
  <si>
    <t>Труба  14 х 3,0  -  1,8-2,9м</t>
  </si>
  <si>
    <t>Круг   70(69) мм -  0,25м(8кг) - 1шт</t>
  </si>
  <si>
    <t>Проволока   ф 2,2 мм  - 10,5кг - 1 бухта</t>
  </si>
  <si>
    <t>Лист латунный 2,0 мм - 0,45х1,45м(10,4кг) - 1шт   твердый</t>
  </si>
  <si>
    <t>Труба  34 х 2,0  -  1,45м(2,1кг) - 1шт</t>
  </si>
  <si>
    <t xml:space="preserve">Круг  60  мм -  0,72м - 1шт   </t>
  </si>
  <si>
    <t>Круг  35 мм  - 2,24-3,9м;  2,94; 1,42м по 1шт    клейма</t>
  </si>
  <si>
    <t>Труба  36 х 2,0  -   1,57+2,45м=6,8кг; 2,78м(5кг на Е2)  по 1шт</t>
  </si>
  <si>
    <t xml:space="preserve">Труба  18 х 2,0  -  1,42м; 1,71+1,89м=3кг; 1,97м(1,5кг) </t>
  </si>
  <si>
    <t>Лента  0,25х310мм  -  рулон 16,8кг - 1шт   мягкая</t>
  </si>
  <si>
    <t xml:space="preserve">Труба  63 х 9,0  -  3,03; 3,13; 2,98; 3,25; 2,58м  по 1шт  </t>
  </si>
  <si>
    <t xml:space="preserve">Труба  63 х 9,0  -  0,33м(3,9кг)  - 1шт  </t>
  </si>
  <si>
    <r>
      <t xml:space="preserve">Труба  35 х 1,5  -   2,31м - 2шт; 2,76; 3,5; 3,62м по 1шт           </t>
    </r>
    <r>
      <rPr>
        <b/>
        <sz val="10"/>
        <rFont val="Arial"/>
        <family val="2"/>
        <charset val="204"/>
      </rPr>
      <t xml:space="preserve"> 316-Ti</t>
    </r>
  </si>
  <si>
    <r>
      <t xml:space="preserve">Труба  35 х 1,5  -   1,15-1,22м          </t>
    </r>
    <r>
      <rPr>
        <b/>
        <sz val="10"/>
        <rFont val="Arial"/>
        <family val="2"/>
        <charset val="204"/>
      </rPr>
      <t xml:space="preserve">   316-Ti             найти 5кг!!!!!</t>
    </r>
  </si>
  <si>
    <t>Круг   100 мм -  0,67м(39,4кг) - 1шт</t>
  </si>
  <si>
    <t>Круг   70 мм -  1,2м(34,5кг) - 1шт</t>
  </si>
  <si>
    <t>Круг   75(74) мм -  1,1м(39,6кг клеймо) - 1шт</t>
  </si>
  <si>
    <r>
      <t xml:space="preserve">Круг  67(64) мм -  1,6м(43,6кг клеймо кованый) - 1шт     </t>
    </r>
    <r>
      <rPr>
        <b/>
        <sz val="10"/>
        <rFont val="Arial"/>
        <family val="2"/>
        <charset val="204"/>
      </rPr>
      <t xml:space="preserve">     ЭП-310</t>
    </r>
    <r>
      <rPr>
        <b/>
        <sz val="8.3000000000000007"/>
        <rFont val="Arial"/>
        <family val="2"/>
        <charset val="204"/>
      </rPr>
      <t>ш</t>
    </r>
  </si>
  <si>
    <r>
      <t xml:space="preserve">Круг  67(60) мм -  1,7м(44,8кг клеймо  кованый) - 1шт     </t>
    </r>
    <r>
      <rPr>
        <b/>
        <sz val="10"/>
        <rFont val="Arial"/>
        <family val="2"/>
        <charset val="204"/>
      </rPr>
      <t xml:space="preserve">     ЭП-310</t>
    </r>
    <r>
      <rPr>
        <b/>
        <sz val="8.3000000000000007"/>
        <rFont val="Arial"/>
        <family val="2"/>
        <charset val="204"/>
      </rPr>
      <t>ш</t>
    </r>
  </si>
  <si>
    <r>
      <t xml:space="preserve">Круг  82 мм -  1,55м(64кг); 1,57м(64,6кг клеймо) по 1шт     </t>
    </r>
    <r>
      <rPr>
        <b/>
        <sz val="10"/>
        <rFont val="Arial"/>
        <family val="2"/>
        <charset val="204"/>
      </rPr>
      <t xml:space="preserve">     ЭП-310</t>
    </r>
    <r>
      <rPr>
        <b/>
        <sz val="8.3000000000000007"/>
        <rFont val="Arial"/>
        <family val="2"/>
        <charset val="204"/>
      </rPr>
      <t>ш</t>
    </r>
  </si>
  <si>
    <t>36КНМ</t>
  </si>
  <si>
    <t xml:space="preserve">Круг  69(68) мм  -  1,46м(44,8кг клеймо) - 1шт     </t>
  </si>
  <si>
    <t>Труба 65х12,5  -  3,05м(17,3кг) - 1шт        цветовая маркировка</t>
  </si>
  <si>
    <t>Круг  45 мм  -  1,36м; 1,49м - 2шт; 1,22м - 1шт     клейма</t>
  </si>
  <si>
    <t>Проволока   0,8мм  - 0,3; 0,3кг  по 1-й  бухте</t>
  </si>
  <si>
    <t>Труба  73х11,0  -  2,3м - 1шт</t>
  </si>
  <si>
    <r>
      <t xml:space="preserve">Лист медный 55 мм -  0,39х0,37м - 1шт     </t>
    </r>
    <r>
      <rPr>
        <b/>
        <sz val="12"/>
        <rFont val="Arial"/>
        <family val="2"/>
        <charset val="204"/>
      </rPr>
      <t xml:space="preserve">    склад 2</t>
    </r>
    <r>
      <rPr>
        <b/>
        <sz val="10"/>
        <rFont val="Arial"/>
        <family val="2"/>
        <charset val="204"/>
      </rPr>
      <t xml:space="preserve">  </t>
    </r>
    <r>
      <rPr>
        <b/>
        <sz val="12"/>
        <rFont val="Arial"/>
        <family val="2"/>
        <charset val="204"/>
      </rPr>
      <t>режем нужный размер</t>
    </r>
  </si>
  <si>
    <r>
      <t xml:space="preserve">Труба  133 х 5,0   -  1,44м(23,3кг) - 1шт                    </t>
    </r>
    <r>
      <rPr>
        <b/>
        <sz val="10"/>
        <rFont val="Arial"/>
        <family val="2"/>
        <charset val="204"/>
      </rPr>
      <t xml:space="preserve"> </t>
    </r>
  </si>
  <si>
    <r>
      <t xml:space="preserve">Труба  168 х 7,0 -  2,51м(67кг) - 1шт           </t>
    </r>
    <r>
      <rPr>
        <b/>
        <sz val="10"/>
        <rFont val="Arial"/>
        <family val="2"/>
        <charset val="204"/>
      </rPr>
      <t xml:space="preserve">   </t>
    </r>
  </si>
  <si>
    <t>Труба  10х0,5  - 157,9кг - 1 бухта, мягкая</t>
  </si>
  <si>
    <t xml:space="preserve">Труба  32 х 3,0  -  3,66-5,2м </t>
  </si>
  <si>
    <t xml:space="preserve">Лист 19мм -  0,35х0,63м(19,3кг) - 1шт </t>
  </si>
  <si>
    <t>Труба  42 х 7,0  -  1,08м(6,6кг) - 1шт</t>
  </si>
  <si>
    <t>Труба  48 х 7,5  -  0,94м(6,9кг) - 1шт</t>
  </si>
  <si>
    <t xml:space="preserve">Труба  45 х 3,5  -  3,6м(12,3кг); 3,41м(12,6кг); 1,94м(7кг); 2,77м(10,2кг); 6,84м(17,2кг) </t>
  </si>
  <si>
    <t>Труба  42 х 4"+"  - 2,17м(8,5кг) - 1шт</t>
  </si>
  <si>
    <t>Труба  45 х 6,0  - 1,11м(6,6кг) - 1шт</t>
  </si>
  <si>
    <t>Труба  48 х 6,5-7  -  1,56м(10,7кг) - 1шт</t>
  </si>
  <si>
    <t>Труба  40 х 5,0  - 2,37м(9,7кг); 2,59м(10,7кг); 2,38м(9,9кг) по 1шт</t>
  </si>
  <si>
    <t>Труба  32 х 2,5  -  3,8+4,28+4,2м=21,8кг</t>
  </si>
  <si>
    <t>к7</t>
  </si>
  <si>
    <t>Труба  32 х 2,0  -  2+2м=5,6кг</t>
  </si>
  <si>
    <t>Труба  30 х 1,0  -  2,29м(1,8кг) - 1шт</t>
  </si>
  <si>
    <t>Труба  28 х 2,0  -  1,92м(2,5кг) - 1шт</t>
  </si>
  <si>
    <t>Труба  28 х 2,5  -  1,95м(3,3кг) - 1шт</t>
  </si>
  <si>
    <t>Труба  28 х 4,0  -  2,09м(4,8кг) - 1шт</t>
  </si>
  <si>
    <t>Труба  22 х 2,0  -  1,71м(1,8кг) - 1шт</t>
  </si>
  <si>
    <t xml:space="preserve">Труба  20 х 2,0  - 2,45-3,1м(10,2кг на Е2); 2,76м(2,6кг на Е2); 1,91м(1,8кг); 1,14м(1кг)  </t>
  </si>
  <si>
    <t>Труба  19 х 2,5  -  3,2м(3,3кг) - 1шт</t>
  </si>
  <si>
    <t xml:space="preserve">Труба  18 х 2,5"-"  -  3-3,3м </t>
  </si>
  <si>
    <t>Труба  18 х 2,0  -  1,7+2м=3,3кг</t>
  </si>
  <si>
    <t xml:space="preserve">Труба  18 х 1,5  -  3,1м(1,9кг); 2,2м(1,4кг); 2,5+3,1м=4,1кг; 2,35м(1,5кг); 2,3м(1,4кг); 2,4м(1,5кг) </t>
  </si>
  <si>
    <r>
      <t xml:space="preserve">Квадрат  60х60мм -  0,7м(19,5кг) - 1шт                   </t>
    </r>
    <r>
      <rPr>
        <b/>
        <sz val="10"/>
        <rFont val="Arial"/>
        <family val="2"/>
        <charset val="204"/>
      </rPr>
      <t xml:space="preserve">        </t>
    </r>
  </si>
  <si>
    <t>Труба  82 х 4,5-5  -  2,25м(20,2кг) - 1шт</t>
  </si>
  <si>
    <t xml:space="preserve">Шестигранник №7  - 1,45-1,5м(3,4кг) </t>
  </si>
  <si>
    <t>Лист латунный 5,0 мм - 1х2м(82; 84,8; 83; 85,3; 83,4; 82,1кг) по 1шт</t>
  </si>
  <si>
    <t xml:space="preserve">Круг   30 мм -  2,55-3м(48,6кг резали куски) </t>
  </si>
  <si>
    <r>
      <t xml:space="preserve">Труба  76 х 12-13 -  1,71м(33,7кг) - 1шт            </t>
    </r>
    <r>
      <rPr>
        <b/>
        <sz val="10"/>
        <rFont val="Arial"/>
        <family val="2"/>
        <charset val="204"/>
      </rPr>
      <t xml:space="preserve"> </t>
    </r>
    <r>
      <rPr>
        <b/>
        <sz val="8.3000000000000007"/>
        <rFont val="Arial"/>
        <family val="2"/>
        <charset val="204"/>
      </rPr>
      <t xml:space="preserve">  </t>
    </r>
  </si>
  <si>
    <r>
      <t xml:space="preserve">Лист  30мм -  0,29х3,56м(246кг) - 1шт                </t>
    </r>
    <r>
      <rPr>
        <b/>
        <sz val="10"/>
        <rFont val="Arial"/>
        <family val="2"/>
        <charset val="204"/>
      </rPr>
      <t>склад 6</t>
    </r>
    <r>
      <rPr>
        <b/>
        <sz val="8.3000000000000007"/>
        <rFont val="Arial"/>
        <family val="2"/>
        <charset val="204"/>
      </rPr>
      <t xml:space="preserve">     режем нужный размер!!!</t>
    </r>
  </si>
  <si>
    <t>Проволока ф3мм  -  40,9кг(бирка) - 1 бухта</t>
  </si>
  <si>
    <t xml:space="preserve">Труба  124 х 9,5-10  -  1,55м(43,7; 43,7; 43,9; 43; 42,1; 42,5кг) по 1шт            </t>
  </si>
  <si>
    <t>Круг  16 мм  - 1,75м(1кг) - 1шт</t>
  </si>
  <si>
    <t>Круг  36 мм  -  3,05м(8,5кг клеймо) - 1шт</t>
  </si>
  <si>
    <r>
      <t xml:space="preserve">Круг  8,5(8,2) мм  -  все по  3м, от 1шт отрезали 1м                      </t>
    </r>
    <r>
      <rPr>
        <b/>
        <sz val="10"/>
        <rFont val="Arial"/>
        <family val="2"/>
        <charset val="204"/>
      </rPr>
      <t xml:space="preserve">ЭИ-961ш      </t>
    </r>
  </si>
  <si>
    <t>Лист  1 мм - 1,2х3,02м(65,5кг) - 7шт   клеймо</t>
  </si>
  <si>
    <t xml:space="preserve">Труба  108 х 26  -   0,12м(7кг) - 1шт                      </t>
  </si>
  <si>
    <t>Труба  245 х 25 -  0,33м(по 45,5кг) - 2шт    клеймо</t>
  </si>
  <si>
    <t xml:space="preserve">Труба  133 х 14-15   -  2,37м - 1шт      </t>
  </si>
  <si>
    <t xml:space="preserve">Труба  8 х 1,0   -   4,2-4,8м(13,1кг, от 1шт отрезали 1м) </t>
  </si>
  <si>
    <t>Лист  39 мм  -  блины ф360мм(33,4кг) - 1шт</t>
  </si>
  <si>
    <t xml:space="preserve">Труба  108 х 14-15   -  1,01м - 1шт      </t>
  </si>
  <si>
    <t>Труба  219 х 3,0  -  2м(30кг) - 1шт     сварная</t>
  </si>
  <si>
    <t>Проволока  4,0  мм    -  3,4кг; 26,4кг по 1-й  бухте,    жесткая</t>
  </si>
  <si>
    <t>Труба  89 х 4,5  - 5,7м(53,3кг); 3,14м - 4шт; 3м - 1шт</t>
  </si>
  <si>
    <t>Проволока   ф 4,0 мм -  43,7кг; 13,9кг; 38,6кг по 1-й бухте,   бирка</t>
  </si>
  <si>
    <t>Проволока   ф 3,0 мм -  19,2кг; 31кг по 1-й бухте   бирки</t>
  </si>
  <si>
    <t>Круг   19 мм  -  0,38м(0,8кг) - 1шт</t>
  </si>
  <si>
    <t>Лист латунный 12"-" мм - 0,59х0,74м(41,5кг); 0,59х0,5м(28,2) по 1шт</t>
  </si>
  <si>
    <t>Лента бронзовая - 0,3х250мм  -  41,5кг - 1 бухта  твердая</t>
  </si>
  <si>
    <t xml:space="preserve">Круг   50 мм  -  0,24+0,26+0,28м=11,5кг  по 1шт  </t>
  </si>
  <si>
    <t>Шестигранник №17 -  2,7-2,9м(59,7кг); 0,5-2,5м(29кг); 0,95-1,1м(48,7кг); 0,43м(0,9кг)</t>
  </si>
  <si>
    <t xml:space="preserve">Круг   5,5 мм  по  1,4м </t>
  </si>
  <si>
    <r>
      <t xml:space="preserve">Круг  28 мм -  1,04; 1,44; 1,74; 3,03м по 1шт   клеймо       </t>
    </r>
    <r>
      <rPr>
        <b/>
        <sz val="10"/>
        <rFont val="Arial"/>
        <family val="2"/>
        <charset val="204"/>
      </rPr>
      <t xml:space="preserve">  ЭИ-961ш      </t>
    </r>
  </si>
  <si>
    <t>Труба  108(109) х 12  -  3,01м(85,5кг) - 1шт</t>
  </si>
  <si>
    <t xml:space="preserve">Круг  215мм  -   59мм(по 16,9кг) - 11шт; 65мм(18,4кг); 59мм(17,4кг); 85мм(25кг) по 1шт                           </t>
  </si>
  <si>
    <r>
      <t xml:space="preserve">Труба  219 х 16,0  -  3,06м(249кг); 4,62; 2,05м(167кг) по 1шт   маркированы     </t>
    </r>
    <r>
      <rPr>
        <b/>
        <sz val="10"/>
        <rFont val="Arial"/>
        <family val="2"/>
        <charset val="204"/>
      </rPr>
      <t xml:space="preserve"> склад 2   </t>
    </r>
  </si>
  <si>
    <t>Проволока ф1мм    -  4,1кг - 1 бухта</t>
  </si>
  <si>
    <t>Труба  14 х 2,0  - 5-7м(715,6кг, есть немного короче, от некоторых отрезали куски)</t>
  </si>
  <si>
    <t>Труба  16 х 2,0  -  1,68м(1,1кг) - 1шт</t>
  </si>
  <si>
    <t xml:space="preserve">Труба  16 х 4,0   -  5,5-5,53м - 3шт </t>
  </si>
  <si>
    <t>Круг  35 мм -  0,39м - 3шт; 0,46м - 1шт</t>
  </si>
  <si>
    <t xml:space="preserve">Труба  42 х 4,0  -  3,72+4,2+4,25+3,41м=60кг; 2,56м(9,8кг); 2,3м(7,7кг); 1,91м(7,8кг); 2,57м(9,5кг); 1,65м(6,3кг); 1,77+2,3+2,43м=24,2кг </t>
  </si>
  <si>
    <t xml:space="preserve">Круг  12 мм   -  0,6-1,3м(основная масса длиннее 1м)  </t>
  </si>
  <si>
    <t xml:space="preserve">Круг  210мм  -  75мм(21,6кг); 80мм(22,5 + 22кг - н\о); 85мм(24,5кг)  по 1шт                           </t>
  </si>
  <si>
    <t xml:space="preserve">Проволока   ф 3,0 мм  -  10,3кг - 1 бухта бирка </t>
  </si>
  <si>
    <t>Круг  128 мм  -  0,41м(47,3кг); 0,25м(29,4кг клеймо) по 1шт</t>
  </si>
  <si>
    <t>Круг  42 мм  -   1,01м(11,4кг) - 1шт</t>
  </si>
  <si>
    <t>Круг  30 мм  -   0,72+1,05м=10кг  клеймо</t>
  </si>
  <si>
    <r>
      <t xml:space="preserve">Круг  32 мм  -  1,09; 1,09; 1,54; 1,59м по 1шт </t>
    </r>
    <r>
      <rPr>
        <b/>
        <sz val="10"/>
        <color indexed="10"/>
        <rFont val="Arial"/>
        <family val="2"/>
        <charset val="204"/>
      </rPr>
      <t xml:space="preserve">   </t>
    </r>
    <r>
      <rPr>
        <b/>
        <sz val="10"/>
        <rFont val="Arial"/>
        <family val="2"/>
        <charset val="204"/>
      </rPr>
      <t xml:space="preserve"> ЭП-678увд  </t>
    </r>
    <r>
      <rPr>
        <b/>
        <sz val="8.3000000000000007"/>
        <rFont val="Arial"/>
        <family val="2"/>
        <charset val="204"/>
      </rPr>
      <t xml:space="preserve">  клеймо</t>
    </r>
  </si>
  <si>
    <t>Круг  25 мм  -  0,45м(1,8кг) - 1шт</t>
  </si>
  <si>
    <t xml:space="preserve">Круг  25 мм  -  0,74м(3кг) - 1шт </t>
  </si>
  <si>
    <t>Круг  25 мм  -  1,05-1,93м   клеймо</t>
  </si>
  <si>
    <t>Круг  22 мм  -   1,36-1,4м</t>
  </si>
  <si>
    <r>
      <t xml:space="preserve">Круг  18 мм -   1,34-1,46м                 </t>
    </r>
    <r>
      <rPr>
        <b/>
        <sz val="10"/>
        <rFont val="Arial"/>
        <family val="2"/>
        <charset val="204"/>
      </rPr>
      <t xml:space="preserve">    ЭП-56   </t>
    </r>
  </si>
  <si>
    <t>Проволока   ф 4,0 мм -  41,5кг - 1 бухта,   бирка</t>
  </si>
  <si>
    <r>
      <t xml:space="preserve">Лист  30мм  - 0,53х1,02м(135кг) - 1шт                </t>
    </r>
    <r>
      <rPr>
        <b/>
        <sz val="10"/>
        <rFont val="Arial"/>
        <family val="2"/>
        <charset val="204"/>
      </rPr>
      <t>склад 6</t>
    </r>
    <r>
      <rPr>
        <b/>
        <sz val="8.3000000000000007"/>
        <rFont val="Arial"/>
        <family val="2"/>
        <charset val="204"/>
      </rPr>
      <t xml:space="preserve">      режем нужный размер!!!</t>
    </r>
  </si>
  <si>
    <t>Лента латунная 0,5х200 мм - 65,5кг; 66,6кг по 1 рулону   птв</t>
  </si>
  <si>
    <t>Никель лист 1 мм - 120х380-650мм(1,7кг)</t>
  </si>
  <si>
    <t xml:space="preserve">Круг  30 мм  -   0,41м(1,3кг) -  1шт </t>
  </si>
  <si>
    <t>Круг ф8мм - 0,86-1м(1,8кг в т.ч. 0,6м)</t>
  </si>
  <si>
    <t xml:space="preserve">Круг  30 мм - 1,11м(6,9кг); 0,98-1м(18,3кг); 0,63м(3,9кг) </t>
  </si>
  <si>
    <t>Труба  10х1,0  - 2,9-3м(10,9кг от 2шт резали 0,5 и 1м)   (2,3кг - найти!!!)</t>
  </si>
  <si>
    <t xml:space="preserve">Проволока   ф 1,6 мм -  9,5; 32,1кг по 1-й бухте, бирк, сварочная   </t>
  </si>
  <si>
    <t>Проволока  2,6 мм    -  6,3; 7,1кг по 1 бухте,   средней твердости</t>
  </si>
  <si>
    <t>Круг  45(44) мм  -   0,86м(5,9кг); 0,92м(6,3кг); 0,36м(2,5кг найти!!!!) по 1шт</t>
  </si>
  <si>
    <t>Круг  45(44) мм - 0,6м(4,1кг) - 1шт</t>
  </si>
  <si>
    <r>
      <t xml:space="preserve">Труба  121 х 5-5,5 -  4,11м(61,8кг); 4,09м(61,1кг) по 1шт        </t>
    </r>
    <r>
      <rPr>
        <b/>
        <sz val="10"/>
        <rFont val="Arial"/>
        <family val="2"/>
        <charset val="204"/>
      </rPr>
      <t xml:space="preserve"> </t>
    </r>
    <r>
      <rPr>
        <b/>
        <sz val="8.3000000000000007"/>
        <rFont val="Arial"/>
        <family val="2"/>
        <charset val="204"/>
      </rPr>
      <t>маркирована</t>
    </r>
  </si>
  <si>
    <r>
      <t xml:space="preserve">Труба  102(103) х 16 -  1,69м(57,8кг); 2,4м(79,2кг) по 1шт        </t>
    </r>
    <r>
      <rPr>
        <b/>
        <sz val="10"/>
        <rFont val="Arial"/>
        <family val="2"/>
        <charset val="204"/>
      </rPr>
      <t xml:space="preserve"> </t>
    </r>
    <r>
      <rPr>
        <b/>
        <sz val="8.3000000000000007"/>
        <rFont val="Arial"/>
        <family val="2"/>
        <charset val="204"/>
      </rPr>
      <t xml:space="preserve"> </t>
    </r>
  </si>
  <si>
    <t xml:space="preserve">Труба  16 х 1,0 -  1,9-3,7м  </t>
  </si>
  <si>
    <t xml:space="preserve">Труба  14 х 1,5 -  5,7-6м  </t>
  </si>
  <si>
    <t xml:space="preserve">Труба  20 х 1,0 -  4,1-4,8м  </t>
  </si>
  <si>
    <t xml:space="preserve">Труба  20 х 1,2  по  3м - 10шт  </t>
  </si>
  <si>
    <t>Труба  16 х 3,0 -  5,75-5,85м</t>
  </si>
  <si>
    <t>Труба  18 х 2,0   -  4,4-6м</t>
  </si>
  <si>
    <t>Труба  22 х 3,0   -  6,35м(16,5кг) - 2шт; 2,27м(3,3кг) - 1шт</t>
  </si>
  <si>
    <t>Труба  18 х 3,0  -  5,07-5,8м - 4шт</t>
  </si>
  <si>
    <t>Труба  10 х 1,5  -  3,4-4,4м(16,4кг); 1,5-2,7м(5,5кг)</t>
  </si>
  <si>
    <t>Труба  27 х 3,0   -  5м(9,1кг маркирована) - 1шт</t>
  </si>
  <si>
    <t>Труба  42 х 6,0   -  3,36м(18,1кг) - 1шт</t>
  </si>
  <si>
    <t>Труба  42 х 4,0   -  1,97+3,19+3,54м=31,8кг</t>
  </si>
  <si>
    <t>Труба  14 х 3,0 -  1,65м(1,2кг) - 1шт</t>
  </si>
  <si>
    <t xml:space="preserve">Труба  20 х 1,5  -  5,7м(3,7кг) - 1шт </t>
  </si>
  <si>
    <t>Круг  16 мм  -  4,7м - 4шт</t>
  </si>
  <si>
    <t>Круг  16 мм  -  0,98+2,53+3,27м=10,8кг</t>
  </si>
  <si>
    <t xml:space="preserve">Круг   80(79) мм - 0,55м(20,3кг); 0,33м(12,6кг); 0,35м(13,4кг); 0,36м(13,8кг); 0,27м(10,2кг)  по 1шт                          </t>
  </si>
  <si>
    <t xml:space="preserve">Лента  0,15х395 мм  -  рулоны  40,8; 6; 15,7; 19,3; 23; 25; 26; 28,2; 14,4; 16,8; 4кг по 1шт       жесткая </t>
  </si>
  <si>
    <t>Круг  30 мм  -  1,09м(6,3кг) - 1шт</t>
  </si>
  <si>
    <t>Лист  1,5 мм - 0,75х0,75м - 1шт    маркировка</t>
  </si>
  <si>
    <t xml:space="preserve">Круг  25 мм  -  1,2м(4,4кг) - 1шт  </t>
  </si>
  <si>
    <t>Труба  18 х 2,5   -   1,71м(1кг); 1,4м(0,7кг)  по 1шт</t>
  </si>
  <si>
    <t>Круг  25 мм  -  1,26-1,7м(15,1кг  от 1шт резали 0,6м)</t>
  </si>
  <si>
    <t>Круг   30 мм  -  0,42м(2,5кг) - 1шт</t>
  </si>
  <si>
    <t>Круг   45 мм -  0,62м(9,1кг); 0,63м(9кг) по 1шт</t>
  </si>
  <si>
    <t>Лента медная рулон  0,1х40мм - 7,2кг - 1шт   мягкая</t>
  </si>
  <si>
    <t xml:space="preserve">Круг   37 мм  -  0,12м(1,1кг) - 1шт   </t>
  </si>
  <si>
    <r>
      <t xml:space="preserve">Круг  25 мм   - 1,22м(5,3кг); 1,23+1,25м=10кг   по 1шт              </t>
    </r>
    <r>
      <rPr>
        <b/>
        <sz val="10"/>
        <rFont val="Arial"/>
        <family val="2"/>
        <charset val="204"/>
      </rPr>
      <t>ЭИ-437</t>
    </r>
  </si>
  <si>
    <r>
      <t xml:space="preserve">Труба  72 х 18  -  2,94+1,92м=118,5кг; 2,62м(63,5кг) по 1шт                            </t>
    </r>
    <r>
      <rPr>
        <b/>
        <sz val="10"/>
        <rFont val="Arial"/>
        <family val="2"/>
        <charset val="204"/>
      </rPr>
      <t xml:space="preserve">   316-L </t>
    </r>
  </si>
  <si>
    <t>Проволока   0,7мм  -  2,2кг - 1 бухта</t>
  </si>
  <si>
    <t>Проволока   ф 1,0мм  -  23,6; 22,7; 33,3кг по 1-й  бухте   птв</t>
  </si>
  <si>
    <t>Труба  45 х 4,0   - 6,5м - 2шт; 5,5м - 2шт; 1м(3,7кг) - 1шт</t>
  </si>
  <si>
    <t>Лента бронзовая - 0,1х54мм  -  1 бухта    11,7кг    твердая</t>
  </si>
  <si>
    <t>Труба  21,3 х 3,2  по  7,2м                316-L</t>
  </si>
  <si>
    <t>Труба  15 х 1,5  по  5,2м                316-L</t>
  </si>
  <si>
    <t>Труба  10 х 2,0  по  6,5м                316-L</t>
  </si>
  <si>
    <r>
      <t xml:space="preserve">Труба  36 х 2,0  -   6м(19,5кг) - 2шт            </t>
    </r>
    <r>
      <rPr>
        <b/>
        <sz val="10"/>
        <rFont val="Arial"/>
        <family val="2"/>
        <charset val="204"/>
      </rPr>
      <t xml:space="preserve"> 316-L</t>
    </r>
  </si>
  <si>
    <r>
      <t xml:space="preserve">Труба  35 х 4-4,5  - 6м(36,3кг) - 2шт        </t>
    </r>
    <r>
      <rPr>
        <b/>
        <sz val="10"/>
        <rFont val="Arial"/>
        <family val="2"/>
        <charset val="204"/>
      </rPr>
      <t>316-Тi</t>
    </r>
  </si>
  <si>
    <r>
      <t xml:space="preserve">Труба  30 х 1,5  -  5,9-6,2м        </t>
    </r>
    <r>
      <rPr>
        <b/>
        <sz val="10"/>
        <rFont val="Arial"/>
        <family val="2"/>
        <charset val="204"/>
      </rPr>
      <t>316-Ti</t>
    </r>
  </si>
  <si>
    <r>
      <t xml:space="preserve">Труба  22 х 3,5  - 2,16-3,4м       </t>
    </r>
    <r>
      <rPr>
        <b/>
        <sz val="10"/>
        <rFont val="Arial"/>
        <family val="2"/>
        <charset val="204"/>
      </rPr>
      <t>316-Тi</t>
    </r>
  </si>
  <si>
    <r>
      <t xml:space="preserve">Труба  28 х 4,0  -  6,22-6,3м       </t>
    </r>
    <r>
      <rPr>
        <b/>
        <sz val="10"/>
        <rFont val="Arial"/>
        <family val="2"/>
        <charset val="204"/>
      </rPr>
      <t>316-Тi</t>
    </r>
  </si>
  <si>
    <r>
      <t xml:space="preserve">Труба  35 х 3,5  -  6м(17,3кг) - 1шт       </t>
    </r>
    <r>
      <rPr>
        <b/>
        <sz val="10"/>
        <rFont val="Arial"/>
        <family val="2"/>
        <charset val="204"/>
      </rPr>
      <t>316-Тi</t>
    </r>
  </si>
  <si>
    <r>
      <t xml:space="preserve">Труба  60 х 7-8  -  2,51; 2,68; 2,7м по 1шт      </t>
    </r>
    <r>
      <rPr>
        <b/>
        <sz val="10"/>
        <rFont val="Arial"/>
        <family val="2"/>
        <charset val="204"/>
      </rPr>
      <t>316-Тi</t>
    </r>
  </si>
  <si>
    <t>Труба  12 х 1,5  по  6,2м                316-L</t>
  </si>
  <si>
    <t>Труба  10 х 1,7  по  6,2м                316-L</t>
  </si>
  <si>
    <t>Труба  33,4 х 2,5  -  5,08+5,55м=20,6кг              316-L</t>
  </si>
  <si>
    <t>Труба  18 х 1,7  -  6,02м - 2шт            316-L</t>
  </si>
  <si>
    <t>Труба  33,4 х 6,0  -  4,2+4,25+4,29м=54кг               316-L</t>
  </si>
  <si>
    <t>Труба  30 х 6,0  -  5,36+5,45м=38кг; 5,87+6,42м=43,8кг               316-L</t>
  </si>
  <si>
    <t>Труба  33,4 х 6,5  -  5,57м(24,1кг) - 1шт             316-L</t>
  </si>
  <si>
    <t>Труба  10 х 1,5  -  6,2-6,5м                316-L</t>
  </si>
  <si>
    <t xml:space="preserve">Труба  42 х 3,0   -  7,36м(20кг); 6+8м=39,5кг </t>
  </si>
  <si>
    <t>Труба  18 х 1,5   по  6м</t>
  </si>
  <si>
    <t>Труба  12 х 1,5   по  6м</t>
  </si>
  <si>
    <t>Труба  81 х 10-10,5   -  4,33мм(77,8кг); 4,35м(78,3+78кг); 4,2м(75,2кг) по 1шт</t>
  </si>
  <si>
    <t>Круг   100(99) мм -  70мм(4,2кг) - 1шт</t>
  </si>
  <si>
    <t>Труба  26,7 х 5,5-6  -  6,13+7,49м=39,8кг                316-L</t>
  </si>
  <si>
    <r>
      <t xml:space="preserve">Лист  10 мм - 0,72х1,5м(83кг); 0,81х1м(63кг без 1 угла 170х170мм, на </t>
    </r>
    <r>
      <rPr>
        <b/>
        <sz val="10"/>
        <rFont val="Arial"/>
        <family val="2"/>
        <charset val="204"/>
      </rPr>
      <t>Л6</t>
    </r>
    <r>
      <rPr>
        <b/>
        <sz val="8.5"/>
        <rFont val="Arial"/>
        <family val="2"/>
        <charset val="204"/>
      </rPr>
      <t xml:space="preserve">) по 1шт             </t>
    </r>
  </si>
  <si>
    <t xml:space="preserve">Лист  10 мм -  0,47х0,74м(28кг) - 1шт             </t>
  </si>
  <si>
    <t>Шина медная - 6х80мм - 10,6кг бухта,  ориентировочная длина 1,75м</t>
  </si>
  <si>
    <t>Полоса        1х60мм    бухты 20кг и 17,3кг - по 1шт</t>
  </si>
  <si>
    <t xml:space="preserve">Круг   108 мм - 0,19м(13,1кг) - 1шт; 0,1м(81,7кг) - 11шт </t>
  </si>
  <si>
    <t xml:space="preserve">Круг  20 мм - 1-4м(85,2кг н\о и светлый); 0,73-0,83м(27,3кг н\о) </t>
  </si>
  <si>
    <t>Круг  44 мм  - 1,38; 1,85; 1,95; 2,68м по 1шт  клеймо</t>
  </si>
  <si>
    <t>Труба  53 х 6,5   - 2,2м(16,3кг); 2,09+2,12м=30,8кг по 1шт</t>
  </si>
  <si>
    <t>Круг   25 мм  -  0,31; 0,39м; 0,21+0,33м=2,2кг(в г2)  по 1шт</t>
  </si>
  <si>
    <t xml:space="preserve">Круг  14 мм  - 1,5-2,2м(3,1кг); 0,75-1,5м(159,7кг) </t>
  </si>
  <si>
    <t xml:space="preserve">Круг  10 мм  -  3,8-3,9м(162,1кг); 3-4,5м(42,3кг)   н\о  клейма </t>
  </si>
  <si>
    <r>
      <t xml:space="preserve">Лист  1,5 мм -  1х1,3м(16,1кг)  - 1шт       </t>
    </r>
    <r>
      <rPr>
        <b/>
        <sz val="10"/>
        <rFont val="Arial"/>
        <family val="2"/>
        <charset val="204"/>
      </rPr>
      <t>ЭИ-435</t>
    </r>
  </si>
  <si>
    <t>Шестигранник №36  -  0,97м(8,5кг) - 1шт</t>
  </si>
  <si>
    <r>
      <t xml:space="preserve">Круг  15 мм -  1,45-1,8м                             </t>
    </r>
    <r>
      <rPr>
        <b/>
        <sz val="10"/>
        <rFont val="Arial"/>
        <family val="2"/>
        <charset val="204"/>
      </rPr>
      <t xml:space="preserve">     ЭП-56   </t>
    </r>
  </si>
  <si>
    <r>
      <t xml:space="preserve">Шестигранник №24  -  1,83м - 4шт            </t>
    </r>
    <r>
      <rPr>
        <b/>
        <sz val="10"/>
        <rFont val="Arial"/>
        <family val="2"/>
        <charset val="204"/>
      </rPr>
      <t>ЭП-288</t>
    </r>
  </si>
  <si>
    <r>
      <t xml:space="preserve">Труба  34 х 3,0  - 6,5+6,5+6,44м=42,8кг; 6м(13,5кг) по 1шт         </t>
    </r>
    <r>
      <rPr>
        <b/>
        <sz val="10"/>
        <rFont val="Arial"/>
        <family val="2"/>
        <charset val="204"/>
      </rPr>
      <t>316-Тi</t>
    </r>
  </si>
  <si>
    <r>
      <t xml:space="preserve">Труба  36 х 2,5"-"  -   6м(11,4кг) - 1шт            </t>
    </r>
    <r>
      <rPr>
        <b/>
        <sz val="10"/>
        <rFont val="Arial"/>
        <family val="2"/>
        <charset val="204"/>
      </rPr>
      <t xml:space="preserve"> 316-L</t>
    </r>
  </si>
  <si>
    <r>
      <t xml:space="preserve">Труба  33,7 х 3,2  -   6м(14,5кг) - 1шт            </t>
    </r>
    <r>
      <rPr>
        <b/>
        <sz val="10"/>
        <rFont val="Arial"/>
        <family val="2"/>
        <charset val="204"/>
      </rPr>
      <t xml:space="preserve"> 316-L</t>
    </r>
  </si>
  <si>
    <r>
      <t xml:space="preserve">Труба  42 х 2,0  -  5,92м(12,3кг) - 1шт            </t>
    </r>
    <r>
      <rPr>
        <b/>
        <sz val="10"/>
        <rFont val="Arial"/>
        <family val="2"/>
        <charset val="204"/>
      </rPr>
      <t xml:space="preserve"> 316-L</t>
    </r>
  </si>
  <si>
    <r>
      <t xml:space="preserve">Труба  15 х 1,0  -  6м(10,7кг) - 5шт            </t>
    </r>
    <r>
      <rPr>
        <b/>
        <sz val="10"/>
        <rFont val="Arial"/>
        <family val="2"/>
        <charset val="204"/>
      </rPr>
      <t xml:space="preserve"> 316-L</t>
    </r>
  </si>
  <si>
    <t>Труба  40 х 3,0   - 3м - 2шт</t>
  </si>
  <si>
    <t>Труба  25,4 х 3,4 -  6,66м(12,5кг); 8,2м(17кг); 6,64м(12,6кг) по 1шт</t>
  </si>
  <si>
    <t>Труба  18 х 2,0 -  6м - 4шт</t>
  </si>
  <si>
    <t>Труба  25 х 4,0 -  6,14м(13кг) - 1шт</t>
  </si>
  <si>
    <t>Труба  21,3 х 3,2  -  5,96м(8,7кг) - 1шт                316-L</t>
  </si>
  <si>
    <t>Труба  33,4 х 2,5  -  4,12м(8,1кг) - 1шт             316-L</t>
  </si>
  <si>
    <t>Труба  12 х 1,5  -  6,5-6,9м                316-L</t>
  </si>
  <si>
    <t>Труба  16 х 1,0 -  6,3м(4,9кг) - 2шт</t>
  </si>
  <si>
    <t>Труба  13,5 х 2,3 -  6м(7,7кг) - 2шт</t>
  </si>
  <si>
    <t>Труба  22 х 1,5  -  6м(4,3кг) - 1шт</t>
  </si>
  <si>
    <t>Труба  10 х 1,0  -  6,15м(1,5кг) - 1шт</t>
  </si>
  <si>
    <t>Труба  15 х 3,0  -  6,6м(6кг) - 1шт</t>
  </si>
  <si>
    <t>Труба  15 х 4,0  -  6,8м(7,3кг) - 1шт</t>
  </si>
  <si>
    <t xml:space="preserve">Труба  28 х 4,0  -  5,8-6,2м(412,7кг, отрезали куски) </t>
  </si>
  <si>
    <t xml:space="preserve">Труба  33,7 х 3,2  -   6,04м(14,8кг) - 1шт            </t>
  </si>
  <si>
    <t>Труба  48,3 х 2,5  -  5,51м(16,5кг) - 1шт</t>
  </si>
  <si>
    <t>Труба  12 х 1,0  -  6м(12кг); 6,3м(5,4кг) - 3шт                316-L</t>
  </si>
  <si>
    <r>
      <t xml:space="preserve">Труба  18 х 1,5 -  6м(4кг) - 1шт     </t>
    </r>
    <r>
      <rPr>
        <b/>
        <sz val="10"/>
        <rFont val="Arial"/>
        <family val="2"/>
        <charset val="204"/>
      </rPr>
      <t xml:space="preserve"> 316Тi</t>
    </r>
  </si>
  <si>
    <t>Труба  8 х 1,0  -  6м(1кг) - 1шт                316-L</t>
  </si>
  <si>
    <t>Труба  8 х 1,5  -  6м(1,5кг) - 1шт                316-Ti</t>
  </si>
  <si>
    <t>Труба  10 х 1,5  -  6,2м(2кг) - 1шт</t>
  </si>
  <si>
    <t>Труба  12 х 1,0  -  6,1-6,4м</t>
  </si>
  <si>
    <t>Труба  33,8 х 2,6  -  4,3м - 5шт</t>
  </si>
  <si>
    <t xml:space="preserve">Труба  15 х 2,0  -  5-6,9м </t>
  </si>
  <si>
    <t>Труба  42 х 2,0   -  6м - 4шт</t>
  </si>
  <si>
    <t>Труба  48,3 х 2"+"  -  5,45м - 3шт; 5,91м - 2шт                316-L</t>
  </si>
  <si>
    <t>Труба  33,4 х 4,7-4,8  -  7,58+7,69+7,69м=76,6кг; 7,41м(24,6кг) по 1шт                316-L</t>
  </si>
  <si>
    <t>Труба  10,2 х 1,8 -  5,3-7,3м</t>
  </si>
  <si>
    <t>Труба 24х2,0 -  2м(63,1кг)         цветовая маркировка</t>
  </si>
  <si>
    <t>Труба 10х2,0 -  2,95-3м(2,4кг)    цветовая маркировка</t>
  </si>
  <si>
    <t>Труба  42 х 2,0  - 2,62-3,22м - 2шт; 3,92м - 1шт</t>
  </si>
  <si>
    <t xml:space="preserve">Труба  25 х 1,5  -  5,2-6,3м(118,1кг  отрезали куски 1,5; 2; 1,5; 1,5м); 4,12+4,23м=6,8кг; 2,5-3,3м(62,1кг)  </t>
  </si>
  <si>
    <t>Проволока  2,0 мм    -  6,1; 7,3; 7,4; 7,4; 7; 6,4кг по 1 бухте    птв</t>
  </si>
  <si>
    <t xml:space="preserve">Полоса        1х12мм    бухты  5кг; 3,4кг по 1шт   </t>
  </si>
  <si>
    <t>Проволока   1,2мм  -  33,3кг; 10кг; 6,6кг  по  1-й  бухте</t>
  </si>
  <si>
    <r>
      <t xml:space="preserve">Круг  18 мм  -  1,68-1,73м(6,8кг)    </t>
    </r>
    <r>
      <rPr>
        <b/>
        <sz val="10"/>
        <rFont val="Arial"/>
        <family val="2"/>
        <charset val="204"/>
      </rPr>
      <t xml:space="preserve">        ЭП-33вд</t>
    </r>
  </si>
  <si>
    <t>Круг  30 мм  -  1,2м(6,8кг) - 1шт</t>
  </si>
  <si>
    <t xml:space="preserve">Круг  55 мм -   1,67м(31,4кг) - 1шт </t>
  </si>
  <si>
    <t>Круг ф32мм - 0,5+0,52м=8,1кг</t>
  </si>
  <si>
    <t xml:space="preserve">Лист  10 мм -  100х790; 100х850; 100х880; 100х890мм  по 1шт          </t>
  </si>
  <si>
    <t>Проволока  4,0  мм - 13; 14,2; 14,2; 13,5; 11,9; 8,5; 14; 14,2; 11,4; 19,6; 22; 11,5; 9,7; 12,2; 12,6; 11,5; 7,3; 12,3; 21,3; 12,8; 15; 24,3; 12; 12,2кг  по  1-й бухте</t>
  </si>
  <si>
    <t>Труба  32 х 7,0 -  5,1м(22кг) - 1шт  маркированы</t>
  </si>
  <si>
    <t xml:space="preserve">Круг  30 мм  - 1-1,1м(84,5кг, в т.ч. 0,87м); 0,95м(5,3кг на С1) - 1шт </t>
  </si>
  <si>
    <t>Круг  60 мм  - 0,34м(7,7кг); 0,44м(10кг) по 1шт</t>
  </si>
  <si>
    <t>Труба  14 х 2,0  - 1,3м - 1шт</t>
  </si>
  <si>
    <r>
      <t xml:space="preserve">Лист латунный 22 мм - 0,6х0,82м(89кг); 0,59х1,5м; 0,53х1,53м по 1шт   режем нужный размер </t>
    </r>
    <r>
      <rPr>
        <b/>
        <sz val="12"/>
        <rFont val="Arial"/>
        <family val="2"/>
        <charset val="204"/>
      </rPr>
      <t>склад 2</t>
    </r>
  </si>
  <si>
    <r>
      <t xml:space="preserve">Лист 0,5мм - </t>
    </r>
    <r>
      <rPr>
        <b/>
        <sz val="8.3000000000000007"/>
        <color indexed="10"/>
        <rFont val="Arial"/>
        <family val="2"/>
        <charset val="204"/>
      </rPr>
      <t xml:space="preserve"> </t>
    </r>
    <r>
      <rPr>
        <b/>
        <sz val="8.3000000000000007"/>
        <rFont val="Arial"/>
        <family val="2"/>
        <charset val="204"/>
      </rPr>
      <t xml:space="preserve">0,6х2м - 12шт </t>
    </r>
  </si>
  <si>
    <t xml:space="preserve">Круг   30 мм  -   0,63м - 1шт </t>
  </si>
  <si>
    <t>Круг   29 мм  -  0,19м(1кг) - 1шт</t>
  </si>
  <si>
    <t xml:space="preserve">Круг   26 мм - 2; 1,9; 1,24; 1,4; 1,1м по 1шт </t>
  </si>
  <si>
    <t>Труба  26,7 х 5,7 -  6,2-6,5м( отрезали куски)</t>
  </si>
  <si>
    <r>
      <t xml:space="preserve">Круг  38 мм - 2,6-3м(512,2кг)    </t>
    </r>
    <r>
      <rPr>
        <b/>
        <sz val="10"/>
        <rFont val="Arial"/>
        <family val="2"/>
        <charset val="204"/>
      </rPr>
      <t xml:space="preserve">ЭИ-961ш   </t>
    </r>
    <r>
      <rPr>
        <b/>
        <sz val="9"/>
        <rFont val="Arial"/>
        <family val="2"/>
        <charset val="204"/>
      </rPr>
      <t xml:space="preserve">клейма и маркировки   </t>
    </r>
    <r>
      <rPr>
        <b/>
        <sz val="10"/>
        <rFont val="Arial"/>
        <family val="2"/>
        <charset val="204"/>
      </rPr>
      <t xml:space="preserve">   </t>
    </r>
  </si>
  <si>
    <t>Круг  40 мм  -  0,88-1,1м(63,4кг)</t>
  </si>
  <si>
    <t>Круг  32 мм -  0,93-1м(79,4кг)</t>
  </si>
  <si>
    <t>Труба 85х7,5 -  1,69; 1,83; 1,95; 2,04; 2,05; 2,01м по 1шт    клеймо</t>
  </si>
  <si>
    <t>Труба 45х10 -  2,32; 2,36; 2,27м по 1шт    цветовая маркировка</t>
  </si>
  <si>
    <t>Труба 65х8,0 -  3,01м(11,5кг) - 1шт    цветовая маркировка</t>
  </si>
  <si>
    <t>Лист латунный 6,0 мм - 0,3х0,5м(7,4кг) - 1шт</t>
  </si>
  <si>
    <t xml:space="preserve">Круг   22 мм  - 2,86-3,56м(202,2кг, отрезали куски 2; 1,5м, в т.ч. 2,02; 1,75м) </t>
  </si>
  <si>
    <t>Круг   40 мм - 0,5м(5,3кг); 0,25м(2,6кг) по 1шт</t>
  </si>
  <si>
    <t>Труба  21,3 х 2,6  -  5,9+6,04м=14,4кг; 5,98м(7,2кг) по 1шт</t>
  </si>
  <si>
    <t>Труба  22 х 2,0  -  4,72м(4,5кг) - 1шт</t>
  </si>
  <si>
    <t>Труба  12 х 2,0  -  5,2-6,6м</t>
  </si>
  <si>
    <t>Труба  10,2 х 2,0  -  5,3-6,3м</t>
  </si>
  <si>
    <t>Труба  6 х 1,0   -   3-6,7м</t>
  </si>
  <si>
    <t>Труба  8 х 1,0   -   4,97-6м(12,3кг); 6,6м(3,9кг)</t>
  </si>
  <si>
    <t>Труба  62 х 6-6,5  - 2,96; 2,57; 3,37м по 1шт</t>
  </si>
  <si>
    <t>Труба  60 х 6,5  -  3,52м(31,3кг) - 1шт</t>
  </si>
  <si>
    <r>
      <t xml:space="preserve">Труба  6 х 0,6   -  1,8-2,5м               </t>
    </r>
    <r>
      <rPr>
        <b/>
        <sz val="10"/>
        <rFont val="Arial"/>
        <family val="2"/>
        <charset val="204"/>
      </rPr>
      <t>316-Ti</t>
    </r>
  </si>
  <si>
    <r>
      <t xml:space="preserve">Труба  7 х 1,0   -  6м               </t>
    </r>
    <r>
      <rPr>
        <b/>
        <sz val="10"/>
        <rFont val="Arial"/>
        <family val="2"/>
        <charset val="204"/>
      </rPr>
      <t>316-Ti</t>
    </r>
  </si>
  <si>
    <r>
      <t xml:space="preserve">Труба  6 х 1,0   -  6м                 </t>
    </r>
    <r>
      <rPr>
        <b/>
        <sz val="10"/>
        <rFont val="Arial"/>
        <family val="2"/>
        <charset val="204"/>
      </rPr>
      <t>316-я</t>
    </r>
  </si>
  <si>
    <r>
      <t xml:space="preserve">Труба  4 х 1,0   -  6-6,6м                 </t>
    </r>
    <r>
      <rPr>
        <b/>
        <sz val="10"/>
        <rFont val="Arial"/>
        <family val="2"/>
        <charset val="204"/>
      </rPr>
      <t>316-я</t>
    </r>
  </si>
  <si>
    <r>
      <t xml:space="preserve">Труба  3 х 1,0   -  5,8-6,2м                 </t>
    </r>
    <r>
      <rPr>
        <b/>
        <sz val="10"/>
        <rFont val="Arial"/>
        <family val="2"/>
        <charset val="204"/>
      </rPr>
      <t>316-я</t>
    </r>
  </si>
  <si>
    <r>
      <t xml:space="preserve">Труба  4 х 0,5  -   6м       </t>
    </r>
    <r>
      <rPr>
        <b/>
        <sz val="10"/>
        <rFont val="Arial"/>
        <family val="2"/>
        <charset val="204"/>
      </rPr>
      <t xml:space="preserve"> 316-Ti </t>
    </r>
    <r>
      <rPr>
        <b/>
        <sz val="8.3000000000000007"/>
        <rFont val="Arial"/>
        <family val="2"/>
        <charset val="204"/>
      </rPr>
      <t xml:space="preserve">    </t>
    </r>
  </si>
  <si>
    <r>
      <t xml:space="preserve">Труба  6 х 2,0   -  6м - 3шт                 </t>
    </r>
    <r>
      <rPr>
        <b/>
        <sz val="10"/>
        <rFont val="Arial"/>
        <family val="2"/>
        <charset val="204"/>
      </rPr>
      <t xml:space="preserve"> </t>
    </r>
  </si>
  <si>
    <t>Труба 48х2,5 -  1,8-2,47м       цветовая маркировка</t>
  </si>
  <si>
    <t>Труба  36 х 6,0  -  1,41-1,95м(19кг) - 3шт; 1,95м(8,7кг) - 1шт</t>
  </si>
  <si>
    <t xml:space="preserve">Круг   90(89) мм - 0,69м(31,7кг) - 1шт </t>
  </si>
  <si>
    <r>
      <t xml:space="preserve">Лист  30мм  - 1,18х0,89м(249кг) - 1шт                </t>
    </r>
    <r>
      <rPr>
        <b/>
        <sz val="10"/>
        <rFont val="Arial"/>
        <family val="2"/>
        <charset val="204"/>
      </rPr>
      <t>склад 2</t>
    </r>
  </si>
  <si>
    <t xml:space="preserve">Труба  38 х 2-2,2 -  2-5,13м(19кг); 2,3м(8,9кг) - 2шт; 1,94м(3,7кг) - 1шт </t>
  </si>
  <si>
    <t xml:space="preserve">Круг  230 мм  -  100мм(34,2кг); 105мм(34,9+36кг); 95мм(33,2кг) по 1шт   </t>
  </si>
  <si>
    <t>Труба 65х15 -   4,35м - 1шт   клеймо</t>
  </si>
  <si>
    <t xml:space="preserve">Круг  50 мм -  0,25-0,27м </t>
  </si>
  <si>
    <t>Круг  50 мм -  0,39-0,4м=136,8кг; 0,3м(4,8кг); 0,42м(6,8кг на с2);  0,29м(4,5кг) по 1шт</t>
  </si>
  <si>
    <t>Лента бронзовая - 0,5х250мм -  бухта  43кг  - 1шт     твердая</t>
  </si>
  <si>
    <t xml:space="preserve">Лист 15мм -  0,63х1,03м(44,6кг) - 1шт </t>
  </si>
  <si>
    <r>
      <t xml:space="preserve">Круг  40 мм  - 1,61+1,47м=30,4кг    клейма      </t>
    </r>
    <r>
      <rPr>
        <b/>
        <sz val="10"/>
        <rFont val="Arial"/>
        <family val="2"/>
        <charset val="204"/>
      </rPr>
      <t>ЭП-56ш</t>
    </r>
  </si>
  <si>
    <r>
      <t xml:space="preserve">Круг  65 мм  - 1,24; 1,49; 1,57; 1,65; 1,47; 1,67; 1,51; 1,5; 1,52; 1,64; 1,66; 1,57м по 1шт   клеймо    </t>
    </r>
    <r>
      <rPr>
        <b/>
        <sz val="10"/>
        <rFont val="Arial"/>
        <family val="2"/>
        <charset val="204"/>
      </rPr>
      <t>ЭП-56</t>
    </r>
  </si>
  <si>
    <t xml:space="preserve">Круг  16 мм  - 3,36-3,9м(119,3кг клейма); 4,1м - 2шт; 1,8-1,95м(24,8кг) </t>
  </si>
  <si>
    <t>Труба  28 х 4,0  -  1,16м(2,8кг) - 1шт</t>
  </si>
  <si>
    <t>Труба 26х2,5 -  2,9-2,95м(3,2кг, от 1шт отрезали 1м)          цветовая маркировка</t>
  </si>
  <si>
    <t>Труба 25х1,5 - 2,3-2,5м(119,1кг, от 1шт резали 1м)      цветовая маркировка</t>
  </si>
  <si>
    <t>Труба  48 х 4,0   -  2,4м(10,7кг) - 1шт</t>
  </si>
  <si>
    <t>Труба  95 х 8-8,5   -  1,1м(19,5кг) - 1шт</t>
  </si>
  <si>
    <t>Труба  168(167) х 27   -  0,17м(15,6кг); 0,18м(16,2кг) по 1шт</t>
  </si>
  <si>
    <t>Наименование  от 19.10.26г.</t>
  </si>
  <si>
    <t xml:space="preserve">Круг   50(49) мм - 130-150мм(11,9кг) - 5шт; 180мм(2,6кг) - 1шт; 0,14м(2кг)                        0,35м(5,1кг найти!!!!)  </t>
  </si>
  <si>
    <t>Товариство З Обмеженою Відповідальністю</t>
  </si>
  <si>
    <t>«УСМ ДНІПРО»</t>
  </si>
  <si>
    <t>Андрій: (099) 144-25-64</t>
  </si>
  <si>
    <t>E-mail: usm.dp.ua@gmail.com</t>
  </si>
  <si>
    <t>Наименование</t>
  </si>
  <si>
    <t>запорная арматура</t>
  </si>
  <si>
    <t>быстрорез</t>
  </si>
  <si>
    <t>Наменование</t>
  </si>
  <si>
    <t>Наш сайт: https://usm.dp.ua/ua/product_list</t>
  </si>
  <si>
    <t>Наш сайт: hhttps://usm.dp.ua/ua/product_list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</si>
</sst>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9" x14ac:knownFonts="1">
    <font>
      <sz val="10"/>
      <name val="Arial"/>
    </font>
    <font>
      <sz val="10"/>
      <name val="Arial"/>
    </font>
    <font>
      <b/>
      <sz val="10"/>
      <name val="Arial"/>
      <family val="2"/>
      <charset val="204"/>
    </font>
    <font>
      <b/>
      <sz val="8.3000000000000007"/>
      <name val="Arial"/>
      <family val="2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0"/>
      <name val="Arial"/>
      <family val="2"/>
      <charset val="204"/>
    </font>
    <font>
      <sz val="9.5"/>
      <name val="Arial"/>
      <family val="2"/>
      <charset val="204"/>
    </font>
    <font>
      <b/>
      <sz val="9"/>
      <name val="Arial"/>
      <family val="2"/>
      <charset val="204"/>
    </font>
    <font>
      <sz val="8.3000000000000007"/>
      <name val="Arial"/>
      <family val="2"/>
      <charset val="204"/>
    </font>
    <font>
      <sz val="8.5"/>
      <name val="Arial"/>
      <family val="2"/>
      <charset val="204"/>
    </font>
    <font>
      <b/>
      <sz val="8"/>
      <name val="Arial"/>
      <family val="2"/>
      <charset val="204"/>
    </font>
    <font>
      <b/>
      <sz val="8.5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  <font>
      <u/>
      <sz val="9.5"/>
      <color indexed="12"/>
      <name val="Arial"/>
      <family val="2"/>
      <charset val="204"/>
    </font>
    <font>
      <b/>
      <sz val="9.5"/>
      <name val="Arial"/>
      <family val="2"/>
      <charset val="204"/>
    </font>
    <font>
      <sz val="8.3000000000000007"/>
      <name val="Arial"/>
      <family val="2"/>
      <charset val="204"/>
    </font>
    <font>
      <b/>
      <sz val="8.3000000000000007"/>
      <name val="Arial"/>
      <family val="2"/>
      <charset val="204"/>
    </font>
    <font>
      <b/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8"/>
      <name val="Arial"/>
      <family val="2"/>
      <charset val="204"/>
    </font>
    <font>
      <b/>
      <sz val="7"/>
      <name val="Arial"/>
      <family val="2"/>
      <charset val="204"/>
    </font>
    <font>
      <b/>
      <sz val="8.3000000000000007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8.3000000000000007"/>
      <color indexed="30"/>
      <name val="Arial"/>
      <family val="2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u/>
      <sz val="9.5"/>
      <name val="Arial"/>
      <family val="2"/>
      <charset val="204"/>
    </font>
    <font>
      <sz val="8.5"/>
      <color rgb="FFFF0000"/>
      <name val="Arial"/>
      <family val="2"/>
      <charset val="204"/>
    </font>
    <font>
      <i/>
      <sz val="11"/>
      <color rgb="FF22769A"/>
      <name val="Calibri"/>
    </font>
    <font>
      <b/>
      <i/>
      <sz val="15"/>
      <color rgb="FF164E89"/>
      <name val="Calibri"/>
    </font>
    <font>
      <sz val="11"/>
      <name val="Calibri"/>
    </font>
    <font>
      <u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356">
    <xf numFmtId="0" fontId="0" fillId="0" borderId="0" xfId="0"/>
    <xf numFmtId="0" fontId="6" fillId="0" borderId="0" xfId="0" applyFont="1"/>
    <xf numFmtId="0" fontId="6" fillId="0" borderId="1" xfId="0" applyFont="1" applyBorder="1"/>
    <xf numFmtId="0" fontId="10" fillId="0" borderId="0" xfId="0" applyFont="1"/>
    <xf numFmtId="0" fontId="10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" fillId="0" borderId="0" xfId="0" applyFont="1"/>
    <xf numFmtId="0" fontId="19" fillId="0" borderId="2" xfId="0" applyFont="1" applyBorder="1"/>
    <xf numFmtId="0" fontId="19" fillId="0" borderId="0" xfId="0" applyFont="1" applyBorder="1"/>
    <xf numFmtId="0" fontId="9" fillId="0" borderId="0" xfId="0" applyFont="1" applyBorder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164" fontId="2" fillId="2" borderId="0" xfId="0" applyNumberFormat="1" applyFont="1" applyFill="1" applyBorder="1" applyAlignment="1">
      <alignment horizontal="center"/>
    </xf>
    <xf numFmtId="0" fontId="6" fillId="2" borderId="0" xfId="0" applyFont="1" applyFill="1"/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24" fillId="2" borderId="0" xfId="0" applyFont="1" applyFill="1" applyBorder="1"/>
    <xf numFmtId="0" fontId="6" fillId="2" borderId="0" xfId="0" applyFont="1" applyFill="1" applyBorder="1"/>
    <xf numFmtId="0" fontId="17" fillId="0" borderId="0" xfId="1" applyBorder="1" applyAlignment="1" applyProtection="1">
      <alignment horizontal="center" vertical="center" wrapText="1"/>
    </xf>
    <xf numFmtId="0" fontId="0" fillId="2" borderId="0" xfId="0" applyFill="1"/>
    <xf numFmtId="0" fontId="24" fillId="2" borderId="0" xfId="0" applyFont="1" applyFill="1"/>
    <xf numFmtId="0" fontId="34" fillId="2" borderId="0" xfId="0" applyFont="1" applyFill="1" applyAlignment="1">
      <alignment horizontal="center"/>
    </xf>
    <xf numFmtId="0" fontId="2" fillId="2" borderId="0" xfId="0" applyFont="1" applyFill="1"/>
    <xf numFmtId="164" fontId="3" fillId="2" borderId="0" xfId="0" applyNumberFormat="1" applyFont="1" applyFill="1" applyBorder="1" applyAlignment="1">
      <alignment horizontal="center"/>
    </xf>
    <xf numFmtId="0" fontId="12" fillId="2" borderId="0" xfId="0" applyFont="1" applyFill="1"/>
    <xf numFmtId="0" fontId="7" fillId="2" borderId="0" xfId="0" applyFont="1" applyFill="1"/>
    <xf numFmtId="0" fontId="6" fillId="2" borderId="0" xfId="0" applyFont="1" applyFill="1" applyAlignment="1">
      <alignment vertical="center"/>
    </xf>
    <xf numFmtId="0" fontId="13" fillId="0" borderId="0" xfId="0" applyFont="1" applyBorder="1" applyAlignment="1">
      <alignment horizontal="center"/>
    </xf>
    <xf numFmtId="164" fontId="20" fillId="2" borderId="4" xfId="0" applyNumberFormat="1" applyFont="1" applyFill="1" applyBorder="1" applyAlignment="1">
      <alignment horizontal="center"/>
    </xf>
    <xf numFmtId="164" fontId="20" fillId="2" borderId="3" xfId="0" applyNumberFormat="1" applyFont="1" applyFill="1" applyBorder="1" applyAlignment="1">
      <alignment horizontal="center"/>
    </xf>
    <xf numFmtId="0" fontId="1" fillId="2" borderId="0" xfId="0" applyFont="1" applyFill="1"/>
    <xf numFmtId="49" fontId="1" fillId="0" borderId="0" xfId="0" applyNumberFormat="1" applyFont="1"/>
    <xf numFmtId="0" fontId="6" fillId="0" borderId="0" xfId="0" applyNumberFormat="1" applyFont="1"/>
    <xf numFmtId="164" fontId="20" fillId="2" borderId="4" xfId="0" applyNumberFormat="1" applyFont="1" applyFill="1" applyBorder="1" applyAlignment="1">
      <alignment horizontal="center"/>
    </xf>
    <xf numFmtId="164" fontId="20" fillId="2" borderId="3" xfId="0" applyNumberFormat="1" applyFont="1" applyFill="1" applyBorder="1" applyAlignment="1">
      <alignment horizontal="center"/>
    </xf>
    <xf numFmtId="164" fontId="10" fillId="2" borderId="5" xfId="0" applyNumberFormat="1" applyFont="1" applyFill="1" applyBorder="1" applyAlignment="1">
      <alignment horizontal="center" vertical="center" wrapText="1"/>
    </xf>
    <xf numFmtId="164" fontId="20" fillId="2" borderId="3" xfId="0" applyNumberFormat="1" applyFont="1" applyFill="1" applyBorder="1" applyAlignment="1">
      <alignment horizontal="center"/>
    </xf>
    <xf numFmtId="164" fontId="20" fillId="2" borderId="4" xfId="0" applyNumberFormat="1" applyFont="1" applyFill="1" applyBorder="1" applyAlignment="1">
      <alignment horizontal="center"/>
    </xf>
    <xf numFmtId="0" fontId="0" fillId="2" borderId="0" xfId="0" applyFill="1" applyAlignment="1">
      <alignment vertical="center"/>
    </xf>
    <xf numFmtId="0" fontId="9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7" fillId="2" borderId="0" xfId="1" applyFill="1" applyBorder="1" applyAlignment="1" applyProtection="1">
      <alignment horizontal="center" vertical="center" wrapText="1"/>
    </xf>
    <xf numFmtId="0" fontId="10" fillId="2" borderId="5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29" fillId="2" borderId="0" xfId="0" applyFont="1" applyFill="1"/>
    <xf numFmtId="0" fontId="6" fillId="2" borderId="2" xfId="0" applyFont="1" applyFill="1" applyBorder="1"/>
    <xf numFmtId="0" fontId="13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/>
    </xf>
    <xf numFmtId="0" fontId="15" fillId="2" borderId="0" xfId="0" applyFont="1" applyFill="1" applyAlignment="1">
      <alignment vertic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/>
    <xf numFmtId="0" fontId="9" fillId="2" borderId="4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11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2" fillId="2" borderId="11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/>
    </xf>
    <xf numFmtId="0" fontId="13" fillId="2" borderId="0" xfId="0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164" fontId="10" fillId="2" borderId="0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6" fillId="2" borderId="12" xfId="0" applyFont="1" applyFill="1" applyBorder="1"/>
    <xf numFmtId="0" fontId="2" fillId="2" borderId="12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/>
    </xf>
    <xf numFmtId="49" fontId="2" fillId="2" borderId="0" xfId="0" applyNumberFormat="1" applyFont="1" applyFill="1" applyBorder="1" applyAlignment="1">
      <alignment horizontal="center"/>
    </xf>
    <xf numFmtId="0" fontId="33" fillId="2" borderId="0" xfId="1" applyFont="1" applyFill="1" applyBorder="1" applyAlignment="1" applyProtection="1">
      <alignment horizontal="center" vertical="center" wrapText="1"/>
    </xf>
    <xf numFmtId="0" fontId="6" fillId="2" borderId="1" xfId="0" applyFont="1" applyFill="1" applyBorder="1"/>
    <xf numFmtId="0" fontId="2" fillId="2" borderId="10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2" fillId="2" borderId="2" xfId="0" applyFont="1" applyFill="1" applyBorder="1"/>
    <xf numFmtId="0" fontId="12" fillId="2" borderId="0" xfId="0" applyFont="1" applyFill="1" applyBorder="1" applyAlignment="1">
      <alignment horizontal="left"/>
    </xf>
    <xf numFmtId="2" fontId="3" fillId="2" borderId="0" xfId="0" applyNumberFormat="1" applyFont="1" applyFill="1" applyBorder="1" applyAlignment="1">
      <alignment horizontal="center"/>
    </xf>
    <xf numFmtId="0" fontId="3" fillId="2" borderId="2" xfId="0" applyFont="1" applyFill="1" applyBorder="1"/>
    <xf numFmtId="0" fontId="12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/>
    <xf numFmtId="0" fontId="11" fillId="2" borderId="1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1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11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1" fillId="2" borderId="11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12" fillId="2" borderId="2" xfId="0" applyNumberFormat="1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164" fontId="12" fillId="2" borderId="4" xfId="0" applyNumberFormat="1" applyFont="1" applyFill="1" applyBorder="1" applyAlignment="1">
      <alignment horizontal="center" vertical="center" wrapText="1"/>
    </xf>
    <xf numFmtId="164" fontId="12" fillId="2" borderId="11" xfId="0" applyNumberFormat="1" applyFont="1" applyFill="1" applyBorder="1" applyAlignment="1">
      <alignment horizontal="center" vertical="center" wrapText="1"/>
    </xf>
    <xf numFmtId="2" fontId="12" fillId="2" borderId="4" xfId="0" applyNumberFormat="1" applyFont="1" applyFill="1" applyBorder="1" applyAlignment="1">
      <alignment horizontal="center" vertical="center" wrapText="1"/>
    </xf>
    <xf numFmtId="2" fontId="12" fillId="2" borderId="11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0" fillId="2" borderId="3" xfId="0" applyFont="1" applyFill="1" applyBorder="1" applyAlignment="1">
      <alignment horizontal="left" vertical="center" wrapText="1"/>
    </xf>
    <xf numFmtId="0" fontId="20" fillId="2" borderId="11" xfId="0" applyFont="1" applyFill="1" applyBorder="1" applyAlignment="1">
      <alignment horizontal="left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1" xfId="0" applyNumberFormat="1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left" vertical="center" wrapText="1"/>
    </xf>
    <xf numFmtId="0" fontId="25" fillId="2" borderId="11" xfId="0" applyFont="1" applyFill="1" applyBorder="1" applyAlignment="1">
      <alignment horizontal="left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2" fillId="2" borderId="1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vertical="center" wrapText="1"/>
    </xf>
    <xf numFmtId="0" fontId="12" fillId="2" borderId="3" xfId="0" applyFont="1" applyFill="1" applyBorder="1" applyAlignment="1">
      <alignment vertical="center" wrapText="1"/>
    </xf>
    <xf numFmtId="0" fontId="12" fillId="2" borderId="11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left" vertical="center" wrapText="1"/>
    </xf>
    <xf numFmtId="164" fontId="20" fillId="2" borderId="4" xfId="0" applyNumberFormat="1" applyFont="1" applyFill="1" applyBorder="1" applyAlignment="1">
      <alignment horizontal="center" vertical="center" wrapText="1"/>
    </xf>
    <xf numFmtId="164" fontId="20" fillId="2" borderId="11" xfId="0" applyNumberFormat="1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3" fillId="2" borderId="11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5" xfId="0" applyFill="1" applyBorder="1" applyAlignment="1">
      <alignment vertical="center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right" vertical="center"/>
    </xf>
    <xf numFmtId="0" fontId="38" fillId="0" borderId="0" xfId="0" applyFont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64" fontId="13" fillId="2" borderId="4" xfId="0" applyNumberFormat="1" applyFont="1" applyFill="1" applyBorder="1" applyAlignment="1">
      <alignment horizontal="center" vertical="center" wrapText="1"/>
    </xf>
    <xf numFmtId="164" fontId="13" fillId="2" borderId="1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1" xfId="0" applyNumberFormat="1" applyFont="1" applyFill="1" applyBorder="1" applyAlignment="1">
      <alignment horizontal="center" vertical="center" wrapText="1"/>
    </xf>
    <xf numFmtId="164" fontId="13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2" fontId="13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/>
    </xf>
    <xf numFmtId="0" fontId="16" fillId="2" borderId="13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2" fillId="2" borderId="4" xfId="0" applyNumberFormat="1" applyFont="1" applyFill="1" applyBorder="1" applyAlignment="1">
      <alignment horizontal="left" vertical="center" wrapText="1"/>
    </xf>
    <xf numFmtId="0" fontId="2" fillId="2" borderId="3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6" fillId="2" borderId="0" xfId="0" applyFont="1" applyFill="1"/>
    <xf numFmtId="164" fontId="3" fillId="2" borderId="4" xfId="0" applyNumberFormat="1" applyFont="1" applyFill="1" applyBorder="1" applyAlignment="1">
      <alignment horizontal="center"/>
    </xf>
    <xf numFmtId="164" fontId="3" fillId="2" borderId="11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left"/>
    </xf>
    <xf numFmtId="0" fontId="12" fillId="2" borderId="2" xfId="0" applyFont="1" applyFill="1" applyBorder="1" applyAlignment="1">
      <alignment horizontal="left"/>
    </xf>
    <xf numFmtId="0" fontId="12" fillId="2" borderId="15" xfId="0" applyFont="1" applyFill="1" applyBorder="1" applyAlignment="1">
      <alignment horizontal="left"/>
    </xf>
    <xf numFmtId="49" fontId="2" fillId="2" borderId="11" xfId="0" applyNumberFormat="1" applyFont="1" applyFill="1" applyBorder="1" applyAlignment="1">
      <alignment horizontal="center"/>
    </xf>
    <xf numFmtId="49" fontId="2" fillId="2" borderId="4" xfId="0" applyNumberFormat="1" applyFont="1" applyFill="1" applyBorder="1" applyAlignment="1">
      <alignment horizontal="center"/>
    </xf>
    <xf numFmtId="2" fontId="12" fillId="2" borderId="2" xfId="0" applyNumberFormat="1" applyFont="1" applyFill="1" applyBorder="1" applyAlignment="1">
      <alignment horizontal="center"/>
    </xf>
    <xf numFmtId="164" fontId="12" fillId="2" borderId="4" xfId="0" applyNumberFormat="1" applyFont="1" applyFill="1" applyBorder="1" applyAlignment="1">
      <alignment horizontal="center"/>
    </xf>
    <xf numFmtId="164" fontId="12" fillId="2" borderId="11" xfId="0" applyNumberFormat="1" applyFont="1" applyFill="1" applyBorder="1" applyAlignment="1">
      <alignment horizontal="center"/>
    </xf>
    <xf numFmtId="0" fontId="3" fillId="2" borderId="16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17" xfId="0" applyFont="1" applyFill="1" applyBorder="1" applyAlignment="1">
      <alignment horizontal="left"/>
    </xf>
    <xf numFmtId="164" fontId="12" fillId="2" borderId="2" xfId="0" applyNumberFormat="1" applyFont="1" applyFill="1" applyBorder="1" applyAlignment="1">
      <alignment horizontal="center"/>
    </xf>
    <xf numFmtId="0" fontId="12" fillId="2" borderId="16" xfId="0" applyFont="1" applyFill="1" applyBorder="1" applyAlignment="1">
      <alignment horizontal="left"/>
    </xf>
    <xf numFmtId="0" fontId="12" fillId="2" borderId="3" xfId="0" applyFont="1" applyFill="1" applyBorder="1" applyAlignment="1">
      <alignment horizontal="left"/>
    </xf>
    <xf numFmtId="0" fontId="12" fillId="2" borderId="17" xfId="0" applyFont="1" applyFill="1" applyBorder="1" applyAlignment="1">
      <alignment horizontal="left"/>
    </xf>
    <xf numFmtId="0" fontId="3" fillId="2" borderId="16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164" fontId="3" fillId="2" borderId="20" xfId="0" applyNumberFormat="1" applyFont="1" applyFill="1" applyBorder="1" applyAlignment="1">
      <alignment horizontal="center"/>
    </xf>
    <xf numFmtId="164" fontId="3" fillId="2" borderId="21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2" borderId="32" xfId="0" applyFont="1" applyFill="1" applyBorder="1" applyAlignment="1">
      <alignment horizontal="left"/>
    </xf>
    <xf numFmtId="0" fontId="3" fillId="2" borderId="33" xfId="0" applyFont="1" applyFill="1" applyBorder="1" applyAlignment="1">
      <alignment horizontal="left"/>
    </xf>
    <xf numFmtId="0" fontId="3" fillId="2" borderId="30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31" xfId="0" applyFont="1" applyFill="1" applyBorder="1" applyAlignment="1">
      <alignment horizontal="left"/>
    </xf>
    <xf numFmtId="0" fontId="2" fillId="2" borderId="34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164" fontId="12" fillId="2" borderId="26" xfId="0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center"/>
    </xf>
    <xf numFmtId="0" fontId="12" fillId="2" borderId="25" xfId="0" applyFont="1" applyFill="1" applyBorder="1" applyAlignment="1">
      <alignment horizontal="left"/>
    </xf>
    <xf numFmtId="0" fontId="12" fillId="2" borderId="26" xfId="0" applyFont="1" applyFill="1" applyBorder="1" applyAlignment="1">
      <alignment horizontal="left"/>
    </xf>
    <xf numFmtId="0" fontId="12" fillId="2" borderId="27" xfId="0" applyFont="1" applyFill="1" applyBorder="1" applyAlignment="1">
      <alignment horizontal="left"/>
    </xf>
    <xf numFmtId="49" fontId="2" fillId="2" borderId="28" xfId="0" applyNumberFormat="1" applyFont="1" applyFill="1" applyBorder="1" applyAlignment="1">
      <alignment horizontal="center"/>
    </xf>
    <xf numFmtId="49" fontId="2" fillId="2" borderId="29" xfId="0" applyNumberFormat="1" applyFont="1" applyFill="1" applyBorder="1" applyAlignment="1">
      <alignment horizontal="center"/>
    </xf>
    <xf numFmtId="0" fontId="13" fillId="2" borderId="10" xfId="0" applyFont="1" applyFill="1" applyBorder="1" applyAlignment="1">
      <alignment horizontal="center"/>
    </xf>
    <xf numFmtId="0" fontId="13" fillId="2" borderId="23" xfId="0" applyFont="1" applyFill="1" applyBorder="1" applyAlignment="1">
      <alignment horizontal="center"/>
    </xf>
    <xf numFmtId="0" fontId="10" fillId="2" borderId="0" xfId="0" applyFont="1" applyFill="1"/>
    <xf numFmtId="0" fontId="10" fillId="2" borderId="0" xfId="0" applyFont="1" applyFill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center"/>
    </xf>
    <xf numFmtId="2" fontId="12" fillId="2" borderId="4" xfId="0" applyNumberFormat="1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/>
    </xf>
    <xf numFmtId="10" fontId="2" fillId="2" borderId="4" xfId="0" applyNumberFormat="1" applyFont="1" applyFill="1" applyBorder="1" applyAlignment="1">
      <alignment horizontal="center"/>
    </xf>
    <xf numFmtId="2" fontId="3" fillId="2" borderId="2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left"/>
    </xf>
    <xf numFmtId="0" fontId="0" fillId="2" borderId="0" xfId="0" applyFill="1"/>
    <xf numFmtId="0" fontId="3" fillId="2" borderId="4" xfId="0" applyFont="1" applyFill="1" applyBorder="1" applyAlignment="1">
      <alignment horizontal="left"/>
    </xf>
    <xf numFmtId="0" fontId="12" fillId="2" borderId="4" xfId="0" applyFont="1" applyFill="1" applyBorder="1" applyAlignment="1">
      <alignment horizontal="left"/>
    </xf>
    <xf numFmtId="0" fontId="12" fillId="2" borderId="11" xfId="0" applyFont="1" applyFill="1" applyBorder="1" applyAlignment="1">
      <alignment horizontal="left"/>
    </xf>
    <xf numFmtId="0" fontId="11" fillId="2" borderId="4" xfId="0" applyFont="1" applyFill="1" applyBorder="1" applyAlignment="1">
      <alignment horizontal="left"/>
    </xf>
    <xf numFmtId="0" fontId="11" fillId="2" borderId="3" xfId="0" applyFont="1" applyFill="1" applyBorder="1" applyAlignment="1">
      <alignment horizontal="left"/>
    </xf>
    <xf numFmtId="0" fontId="11" fillId="2" borderId="1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3" fillId="2" borderId="11" xfId="0" applyFont="1" applyFill="1" applyBorder="1" applyAlignment="1">
      <alignment horizontal="left" wrapText="1"/>
    </xf>
    <xf numFmtId="0" fontId="12" fillId="2" borderId="4" xfId="0" applyFont="1" applyFill="1" applyBorder="1" applyAlignment="1">
      <alignment horizontal="left" wrapText="1"/>
    </xf>
    <xf numFmtId="0" fontId="12" fillId="2" borderId="3" xfId="0" applyFont="1" applyFill="1" applyBorder="1" applyAlignment="1">
      <alignment horizontal="left" wrapText="1"/>
    </xf>
    <xf numFmtId="0" fontId="12" fillId="2" borderId="11" xfId="0" applyFont="1" applyFill="1" applyBorder="1" applyAlignment="1">
      <alignment horizontal="left" wrapText="1"/>
    </xf>
    <xf numFmtId="164" fontId="3" fillId="2" borderId="29" xfId="0" applyNumberFormat="1" applyFont="1" applyFill="1" applyBorder="1" applyAlignment="1">
      <alignment horizontal="center"/>
    </xf>
    <xf numFmtId="164" fontId="3" fillId="2" borderId="35" xfId="0" applyNumberFormat="1" applyFont="1" applyFill="1" applyBorder="1" applyAlignment="1">
      <alignment horizontal="center"/>
    </xf>
    <xf numFmtId="0" fontId="3" fillId="2" borderId="29" xfId="0" applyFont="1" applyFill="1" applyBorder="1" applyAlignment="1">
      <alignment horizontal="left"/>
    </xf>
    <xf numFmtId="0" fontId="3" fillId="2" borderId="35" xfId="0" applyFont="1" applyFill="1" applyBorder="1" applyAlignment="1">
      <alignment horizontal="left"/>
    </xf>
    <xf numFmtId="0" fontId="3" fillId="2" borderId="28" xfId="0" applyFont="1" applyFill="1" applyBorder="1" applyAlignment="1">
      <alignment horizontal="left"/>
    </xf>
    <xf numFmtId="0" fontId="2" fillId="2" borderId="29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164" fontId="3" fillId="2" borderId="4" xfId="0" applyNumberFormat="1" applyFont="1" applyFill="1" applyBorder="1" applyAlignment="1">
      <alignment horizontal="center" wrapText="1"/>
    </xf>
    <xf numFmtId="164" fontId="3" fillId="2" borderId="3" xfId="0" applyNumberFormat="1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left" indent="2"/>
    </xf>
    <xf numFmtId="164" fontId="3" fillId="2" borderId="3" xfId="0" applyNumberFormat="1" applyFont="1" applyFill="1" applyBorder="1" applyAlignment="1">
      <alignment horizontal="left" indent="2"/>
    </xf>
    <xf numFmtId="164" fontId="3" fillId="2" borderId="3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/>
    </xf>
    <xf numFmtId="0" fontId="14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/>
    </xf>
    <xf numFmtId="0" fontId="1" fillId="0" borderId="0" xfId="0" applyFont="1"/>
    <xf numFmtId="0" fontId="3" fillId="0" borderId="4" xfId="0" applyFont="1" applyBorder="1" applyAlignment="1">
      <alignment horizontal="left"/>
    </xf>
    <xf numFmtId="0" fontId="20" fillId="0" borderId="3" xfId="0" applyFont="1" applyBorder="1" applyAlignment="1">
      <alignment horizontal="left"/>
    </xf>
    <xf numFmtId="0" fontId="20" fillId="0" borderId="11" xfId="0" applyFont="1" applyBorder="1" applyAlignment="1">
      <alignment horizontal="left"/>
    </xf>
    <xf numFmtId="0" fontId="21" fillId="0" borderId="4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20" fillId="0" borderId="3" xfId="0" applyNumberFormat="1" applyFont="1" applyBorder="1" applyAlignment="1">
      <alignment horizontal="center"/>
    </xf>
    <xf numFmtId="164" fontId="20" fillId="0" borderId="4" xfId="0" applyNumberFormat="1" applyFont="1" applyBorder="1" applyAlignment="1">
      <alignment horizontal="center"/>
    </xf>
    <xf numFmtId="0" fontId="20" fillId="0" borderId="4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49" fontId="2" fillId="0" borderId="4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2" fillId="0" borderId="2" xfId="0" applyFont="1" applyBorder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center"/>
    </xf>
    <xf numFmtId="0" fontId="6" fillId="2" borderId="36" xfId="0" applyFont="1" applyFill="1" applyBorder="1" applyAlignment="1">
      <alignment vertical="center"/>
    </xf>
    <xf numFmtId="0" fontId="2" fillId="2" borderId="37" xfId="0" applyFon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6" fillId="2" borderId="36" xfId="0" applyFont="1" applyFill="1" applyBorder="1"/>
    <xf numFmtId="0" fontId="2" fillId="2" borderId="37" xfId="0" applyFont="1" applyFill="1" applyBorder="1"/>
    <xf numFmtId="0" fontId="0" fillId="2" borderId="0" xfId="0" applyFill="1" applyBorder="1"/>
    <xf numFmtId="0" fontId="2" fillId="2" borderId="0" xfId="0" applyFont="1" applyFill="1" applyBorder="1"/>
    <xf numFmtId="0" fontId="1" fillId="0" borderId="38" xfId="0" applyFont="1" applyBorder="1"/>
    <xf numFmtId="0" fontId="1" fillId="0" borderId="36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36" xfId="0" applyFont="1" applyBorder="1" applyAlignment="1">
      <alignment horizontal="center" vertical="center" wrapText="1"/>
    </xf>
    <xf numFmtId="0" fontId="1" fillId="0" borderId="4" xfId="0" applyFont="1" applyBorder="1"/>
    <xf numFmtId="0" fontId="1" fillId="0" borderId="3" xfId="0" applyFont="1" applyBorder="1"/>
    <xf numFmtId="0" fontId="16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1" xfId="0" applyFont="1" applyBorder="1"/>
    <xf numFmtId="0" fontId="6" fillId="0" borderId="13" xfId="0" applyFont="1" applyBorder="1" applyAlignment="1">
      <alignment horizontal="center"/>
    </xf>
    <xf numFmtId="49" fontId="2" fillId="2" borderId="3" xfId="0" applyNumberFormat="1" applyFont="1" applyFill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/>
    </xf>
    <xf numFmtId="0" fontId="1" fillId="0" borderId="40" xfId="0" applyFont="1" applyBorder="1"/>
    <xf numFmtId="0" fontId="1" fillId="0" borderId="41" xfId="0" applyFont="1" applyBorder="1"/>
    <xf numFmtId="0" fontId="16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105613</xdr:colOff>
      <xdr:row>1</xdr:row>
      <xdr:rowOff>51955</xdr:rowOff>
    </xdr:from>
    <xdr:ext cx="1409728" cy="1350816"/>
    <xdr:pic>
      <xdr:nvPicPr>
        <xdr:cNvPr id="2" name="Логотип УСМ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613" y="207819"/>
          <a:ext cx="1409728" cy="1350816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199159</xdr:colOff>
      <xdr:row>1</xdr:row>
      <xdr:rowOff>155864</xdr:rowOff>
    </xdr:from>
    <xdr:ext cx="1409728" cy="1350816"/>
    <xdr:pic>
      <xdr:nvPicPr>
        <xdr:cNvPr id="3" name="Логотип УСМ">
          <a:extLst>
            <a:ext uri="{FF2B5EF4-FFF2-40B4-BE49-F238E27FC236}">
              <a16:creationId xmlns:a16="http://schemas.microsoft.com/office/drawing/2014/main" id="{F707E52D-AC84-4334-B7AB-93FDBA02547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9159" y="406978"/>
          <a:ext cx="1409728" cy="1350816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114</xdr:row>
      <xdr:rowOff>0</xdr:rowOff>
    </xdr:from>
    <xdr:ext cx="1409728" cy="1350816"/>
    <xdr:pic>
      <xdr:nvPicPr>
        <xdr:cNvPr id="3" name="Логотип УСМ">
          <a:extLst>
            <a:ext uri="{FF2B5EF4-FFF2-40B4-BE49-F238E27FC236}">
              <a16:creationId xmlns:a16="http://schemas.microsoft.com/office/drawing/2014/main" id="{0AA07A34-A91D-458A-8AB8-D92BF7D022E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76313" y="18534063"/>
          <a:ext cx="1409728" cy="1350816"/>
        </a:xfrm>
        <a:prstGeom prst="rect">
          <a:avLst/>
        </a:prstGeom>
      </xdr:spPr>
    </xdr:pic>
    <xdr:clientData/>
  </xdr:oneCellAnchor>
  <xdr:oneCellAnchor>
    <xdr:from>
      <xdr:col>0</xdr:col>
      <xdr:colOff>166688</xdr:colOff>
      <xdr:row>1</xdr:row>
      <xdr:rowOff>127000</xdr:rowOff>
    </xdr:from>
    <xdr:ext cx="1409728" cy="1350816"/>
    <xdr:pic>
      <xdr:nvPicPr>
        <xdr:cNvPr id="4" name="Логотип УСМ">
          <a:extLst>
            <a:ext uri="{FF2B5EF4-FFF2-40B4-BE49-F238E27FC236}">
              <a16:creationId xmlns:a16="http://schemas.microsoft.com/office/drawing/2014/main" id="{4AB94E44-B4A9-4FE6-9382-9D64982002C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688" y="373063"/>
          <a:ext cx="1409728" cy="1350816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158750</xdr:rowOff>
    </xdr:from>
    <xdr:ext cx="1409728" cy="1350816"/>
    <xdr:pic>
      <xdr:nvPicPr>
        <xdr:cNvPr id="3" name="Логотип УСМ">
          <a:extLst>
            <a:ext uri="{FF2B5EF4-FFF2-40B4-BE49-F238E27FC236}">
              <a16:creationId xmlns:a16="http://schemas.microsoft.com/office/drawing/2014/main" id="{A86C9781-C070-4F6C-9E41-83663E20A0A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404813"/>
          <a:ext cx="1409728" cy="1350816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233795</xdr:colOff>
      <xdr:row>1</xdr:row>
      <xdr:rowOff>121227</xdr:rowOff>
    </xdr:from>
    <xdr:ext cx="1409728" cy="1350816"/>
    <xdr:pic>
      <xdr:nvPicPr>
        <xdr:cNvPr id="3" name="Логотип УСМ">
          <a:extLst>
            <a:ext uri="{FF2B5EF4-FFF2-40B4-BE49-F238E27FC236}">
              <a16:creationId xmlns:a16="http://schemas.microsoft.com/office/drawing/2014/main" id="{52EC8E36-F184-4018-9028-220F5E72DA7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795" y="372341"/>
          <a:ext cx="1409728" cy="1350816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1</xdr:row>
      <xdr:rowOff>214313</xdr:rowOff>
    </xdr:from>
    <xdr:ext cx="1409728" cy="1350816"/>
    <xdr:pic>
      <xdr:nvPicPr>
        <xdr:cNvPr id="3" name="Логотип УСМ">
          <a:extLst>
            <a:ext uri="{FF2B5EF4-FFF2-40B4-BE49-F238E27FC236}">
              <a16:creationId xmlns:a16="http://schemas.microsoft.com/office/drawing/2014/main" id="{24E396E4-0CE3-411B-ADC8-B864874E3FA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460376"/>
          <a:ext cx="1409728" cy="1350816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166688</xdr:colOff>
      <xdr:row>1</xdr:row>
      <xdr:rowOff>190500</xdr:rowOff>
    </xdr:from>
    <xdr:ext cx="1409728" cy="1350816"/>
    <xdr:pic>
      <xdr:nvPicPr>
        <xdr:cNvPr id="3" name="Логотип УСМ">
          <a:extLst>
            <a:ext uri="{FF2B5EF4-FFF2-40B4-BE49-F238E27FC236}">
              <a16:creationId xmlns:a16="http://schemas.microsoft.com/office/drawing/2014/main" id="{58AF4A1E-0101-4158-B1CF-A1F13D58879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688" y="436563"/>
          <a:ext cx="1409728" cy="1350816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119062</xdr:colOff>
      <xdr:row>1</xdr:row>
      <xdr:rowOff>127000</xdr:rowOff>
    </xdr:from>
    <xdr:ext cx="1409728" cy="1350816"/>
    <xdr:pic>
      <xdr:nvPicPr>
        <xdr:cNvPr id="3" name="Логотип УСМ">
          <a:extLst>
            <a:ext uri="{FF2B5EF4-FFF2-40B4-BE49-F238E27FC236}">
              <a16:creationId xmlns:a16="http://schemas.microsoft.com/office/drawing/2014/main" id="{C524AE52-A231-4519-A365-161013027D7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" y="373063"/>
          <a:ext cx="1409728" cy="135081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usm.dp.ua/ua/" TargetMode="External"/><Relationship Id="rId1" Type="http://schemas.openxmlformats.org/officeDocument/2006/relationships/hyperlink" Target="mailto:usm.dp.ua@gmail.com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usm.dp.ua/ua/" TargetMode="External"/><Relationship Id="rId1" Type="http://schemas.openxmlformats.org/officeDocument/2006/relationships/hyperlink" Target="mailto:usm.dp.ua@gmail.com" TargetMode="External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usm.dp.ua/ua/" TargetMode="External"/><Relationship Id="rId1" Type="http://schemas.openxmlformats.org/officeDocument/2006/relationships/hyperlink" Target="mailto:usm.dp.ua@gmail.com" TargetMode="External"/><Relationship Id="rId6" Type="http://schemas.openxmlformats.org/officeDocument/2006/relationships/comments" Target="../comments3.xml"/><Relationship Id="rId5" Type="http://schemas.openxmlformats.org/officeDocument/2006/relationships/vmlDrawing" Target="../drawings/vmlDrawing3.vm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usm.dp.ua/ua/" TargetMode="External"/><Relationship Id="rId1" Type="http://schemas.openxmlformats.org/officeDocument/2006/relationships/hyperlink" Target="mailto:usm.dp.ua@gmail.com" TargetMode="External"/><Relationship Id="rId6" Type="http://schemas.openxmlformats.org/officeDocument/2006/relationships/comments" Target="../comments4.xml"/><Relationship Id="rId5" Type="http://schemas.openxmlformats.org/officeDocument/2006/relationships/vmlDrawing" Target="../drawings/vmlDrawing4.vm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usm.dp.ua/ua/" TargetMode="External"/><Relationship Id="rId1" Type="http://schemas.openxmlformats.org/officeDocument/2006/relationships/hyperlink" Target="mailto:usm.dp.ua@gmail.com" TargetMode="External"/><Relationship Id="rId6" Type="http://schemas.openxmlformats.org/officeDocument/2006/relationships/comments" Target="../comments5.xml"/><Relationship Id="rId5" Type="http://schemas.openxmlformats.org/officeDocument/2006/relationships/vmlDrawing" Target="../drawings/vmlDrawing5.vml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usm.dp.ua/ua/" TargetMode="External"/><Relationship Id="rId1" Type="http://schemas.openxmlformats.org/officeDocument/2006/relationships/hyperlink" Target="mailto:usm.dp.ua@gmail.com" TargetMode="External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usm.dp.ua/ua/" TargetMode="External"/><Relationship Id="rId1" Type="http://schemas.openxmlformats.org/officeDocument/2006/relationships/hyperlink" Target="mailto:usm.dp.ua@gmail.com" TargetMode="External"/><Relationship Id="rId6" Type="http://schemas.openxmlformats.org/officeDocument/2006/relationships/comments" Target="../comments6.xml"/><Relationship Id="rId5" Type="http://schemas.openxmlformats.org/officeDocument/2006/relationships/vmlDrawing" Target="../drawings/vmlDrawing6.vml"/><Relationship Id="rId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usm.dp.ua/ua/" TargetMode="External"/><Relationship Id="rId1" Type="http://schemas.openxmlformats.org/officeDocument/2006/relationships/hyperlink" Target="mailto:usm.dp.ua@gmail.com" TargetMode="External"/><Relationship Id="rId4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97"/>
  <sheetViews>
    <sheetView tabSelected="1" zoomScale="110" zoomScaleNormal="110" workbookViewId="0">
      <pane ySplit="1" topLeftCell="A2" activePane="bottomLeft" state="frozen"/>
      <selection pane="bottomLeft" activeCell="S23" sqref="S23"/>
    </sheetView>
  </sheetViews>
  <sheetFormatPr defaultColWidth="9.140625" defaultRowHeight="12.75" x14ac:dyDescent="0.2"/>
  <cols>
    <col min="1" max="1" width="5.5703125" style="41" customWidth="1"/>
    <col min="2" max="2" width="4.28515625" style="78" customWidth="1"/>
    <col min="3" max="4" width="9.140625" style="41"/>
    <col min="5" max="5" width="52.5703125" style="41" customWidth="1"/>
    <col min="6" max="6" width="9.140625" style="41"/>
    <col min="7" max="7" width="8.7109375" style="41" customWidth="1"/>
    <col min="8" max="8" width="8.85546875" style="90" customWidth="1"/>
    <col min="9" max="9" width="2.5703125" style="91" customWidth="1"/>
    <col min="10" max="16384" width="9.140625" style="22"/>
  </cols>
  <sheetData>
    <row r="1" spans="1:9" ht="12" customHeight="1" x14ac:dyDescent="0.2">
      <c r="A1" s="333"/>
      <c r="B1" s="63"/>
      <c r="C1" s="181" t="s">
        <v>5410</v>
      </c>
      <c r="D1" s="182"/>
      <c r="E1" s="182"/>
      <c r="F1" s="182"/>
      <c r="G1" s="182"/>
      <c r="H1" s="183"/>
    </row>
    <row r="2" spans="1:9" ht="24" customHeight="1" x14ac:dyDescent="0.2">
      <c r="A2" s="333"/>
      <c r="B2" s="63"/>
      <c r="C2" s="184" t="s">
        <v>5411</v>
      </c>
      <c r="D2" s="182"/>
      <c r="E2" s="182"/>
      <c r="F2" s="182"/>
      <c r="G2" s="182"/>
      <c r="H2" s="183"/>
    </row>
    <row r="3" spans="1:9" ht="23.1" customHeight="1" x14ac:dyDescent="0.2">
      <c r="A3" s="333"/>
      <c r="B3" s="63"/>
      <c r="D3" s="185"/>
      <c r="E3" s="182"/>
      <c r="F3" s="182"/>
      <c r="G3" s="182"/>
      <c r="H3" s="183"/>
    </row>
    <row r="4" spans="1:9" ht="21.95" customHeight="1" x14ac:dyDescent="0.2">
      <c r="A4" s="333"/>
      <c r="B4" s="63"/>
      <c r="D4" s="185" t="s">
        <v>5412</v>
      </c>
      <c r="E4" s="182"/>
      <c r="F4" s="182"/>
      <c r="G4" s="182"/>
      <c r="H4" s="183"/>
    </row>
    <row r="5" spans="1:9" ht="23.1" customHeight="1" x14ac:dyDescent="0.2">
      <c r="A5" s="333"/>
      <c r="B5" s="63"/>
      <c r="D5" s="186" t="s">
        <v>5413</v>
      </c>
      <c r="E5" s="182"/>
      <c r="F5" s="182"/>
      <c r="G5" s="182"/>
      <c r="H5" s="183"/>
    </row>
    <row r="6" spans="1:9" ht="14.1" customHeight="1" x14ac:dyDescent="0.2">
      <c r="A6" s="333"/>
      <c r="B6" s="63"/>
    </row>
    <row r="7" spans="1:9" ht="13.5" customHeight="1" thickBot="1" x14ac:dyDescent="0.25">
      <c r="A7" s="333"/>
      <c r="B7" s="63"/>
      <c r="D7" s="186" t="s">
        <v>5418</v>
      </c>
      <c r="E7" s="182"/>
      <c r="F7" s="182"/>
      <c r="G7" s="182"/>
      <c r="H7" s="183"/>
    </row>
    <row r="8" spans="1:9" ht="9" hidden="1" customHeight="1" thickBot="1" x14ac:dyDescent="0.25">
      <c r="A8" s="333"/>
      <c r="B8" s="63"/>
    </row>
    <row r="9" spans="1:9" s="16" customFormat="1" ht="13.5" thickBot="1" x14ac:dyDescent="0.25">
      <c r="A9" s="331" t="s">
        <v>78</v>
      </c>
      <c r="B9" s="332"/>
      <c r="C9" s="172" t="s">
        <v>5408</v>
      </c>
      <c r="D9" s="173"/>
      <c r="E9" s="173"/>
      <c r="F9" s="170" t="s">
        <v>77</v>
      </c>
      <c r="G9" s="171"/>
      <c r="H9" s="168" t="s">
        <v>79</v>
      </c>
      <c r="I9" s="169"/>
    </row>
    <row r="10" spans="1:9" s="16" customFormat="1" ht="12" customHeight="1" x14ac:dyDescent="0.2">
      <c r="A10" s="65">
        <v>1</v>
      </c>
      <c r="B10" s="60" t="s">
        <v>3666</v>
      </c>
      <c r="C10" s="112" t="s">
        <v>5116</v>
      </c>
      <c r="D10" s="112"/>
      <c r="E10" s="112"/>
      <c r="F10" s="113" t="s">
        <v>29</v>
      </c>
      <c r="G10" s="114"/>
      <c r="H10" s="123">
        <f>46.1-0.4</f>
        <v>45.7</v>
      </c>
      <c r="I10" s="123"/>
    </row>
    <row r="11" spans="1:9" s="17" customFormat="1" ht="11.25" customHeight="1" x14ac:dyDescent="0.2">
      <c r="A11" s="65">
        <v>2</v>
      </c>
      <c r="B11" s="60" t="s">
        <v>3539</v>
      </c>
      <c r="C11" s="120" t="s">
        <v>5385</v>
      </c>
      <c r="D11" s="120"/>
      <c r="E11" s="120"/>
      <c r="F11" s="124" t="s">
        <v>245</v>
      </c>
      <c r="G11" s="124"/>
      <c r="H11" s="123">
        <v>21.8</v>
      </c>
      <c r="I11" s="123"/>
    </row>
    <row r="12" spans="1:9" s="16" customFormat="1" ht="12" customHeight="1" x14ac:dyDescent="0.2">
      <c r="A12" s="65">
        <v>3</v>
      </c>
      <c r="B12" s="60" t="s">
        <v>3666</v>
      </c>
      <c r="C12" s="112" t="s">
        <v>4792</v>
      </c>
      <c r="D12" s="112"/>
      <c r="E12" s="112"/>
      <c r="F12" s="124" t="s">
        <v>71</v>
      </c>
      <c r="G12" s="124"/>
      <c r="H12" s="129">
        <v>5.0999999999999996</v>
      </c>
      <c r="I12" s="129"/>
    </row>
    <row r="13" spans="1:9" s="16" customFormat="1" ht="12" customHeight="1" x14ac:dyDescent="0.2">
      <c r="A13" s="65">
        <v>4</v>
      </c>
      <c r="B13" s="60" t="s">
        <v>3539</v>
      </c>
      <c r="C13" s="112" t="s">
        <v>5386</v>
      </c>
      <c r="D13" s="112"/>
      <c r="E13" s="112"/>
      <c r="F13" s="124" t="s">
        <v>71</v>
      </c>
      <c r="G13" s="124"/>
      <c r="H13" s="129">
        <v>7.4</v>
      </c>
      <c r="I13" s="129"/>
    </row>
    <row r="14" spans="1:9" s="17" customFormat="1" ht="11.25" customHeight="1" x14ac:dyDescent="0.2">
      <c r="A14" s="65">
        <v>5</v>
      </c>
      <c r="B14" s="60" t="s">
        <v>3539</v>
      </c>
      <c r="C14" s="120" t="s">
        <v>5384</v>
      </c>
      <c r="D14" s="120"/>
      <c r="E14" s="120"/>
      <c r="F14" s="124" t="s">
        <v>245</v>
      </c>
      <c r="G14" s="124"/>
      <c r="H14" s="123">
        <v>14.1</v>
      </c>
      <c r="I14" s="123"/>
    </row>
    <row r="15" spans="1:9" s="16" customFormat="1" ht="12" customHeight="1" x14ac:dyDescent="0.2">
      <c r="A15" s="65">
        <v>6</v>
      </c>
      <c r="B15" s="60" t="s">
        <v>2570</v>
      </c>
      <c r="C15" s="112" t="s">
        <v>4793</v>
      </c>
      <c r="D15" s="112"/>
      <c r="E15" s="112"/>
      <c r="F15" s="113" t="s">
        <v>29</v>
      </c>
      <c r="G15" s="114"/>
      <c r="H15" s="129">
        <f>5.8-1.2</f>
        <v>4.5999999999999996</v>
      </c>
      <c r="I15" s="129"/>
    </row>
    <row r="16" spans="1:9" s="17" customFormat="1" ht="11.25" customHeight="1" x14ac:dyDescent="0.2">
      <c r="A16" s="65">
        <v>7</v>
      </c>
      <c r="B16" s="60"/>
      <c r="C16" s="120" t="s">
        <v>5381</v>
      </c>
      <c r="D16" s="126"/>
      <c r="E16" s="127"/>
      <c r="F16" s="124" t="s">
        <v>71</v>
      </c>
      <c r="G16" s="122"/>
      <c r="H16" s="123">
        <v>14.7</v>
      </c>
      <c r="I16" s="116"/>
    </row>
    <row r="17" spans="1:9" s="17" customFormat="1" ht="12.75" customHeight="1" x14ac:dyDescent="0.2">
      <c r="A17" s="65">
        <v>8</v>
      </c>
      <c r="B17" s="60" t="s">
        <v>2224</v>
      </c>
      <c r="C17" s="117" t="s">
        <v>1245</v>
      </c>
      <c r="D17" s="118"/>
      <c r="E17" s="119"/>
      <c r="F17" s="113" t="s">
        <v>29</v>
      </c>
      <c r="G17" s="114"/>
      <c r="H17" s="115">
        <f>115-0.3-1.7-2.6-0.3-2.3-0.5-2.2-0.3-0.3-0.7-2.1-2.5-2-1-0.8-5-0.2-0.6-0.5-0.4-1-12-3.3-0.3-0.2+110-0.2-0.4-1.5-0.1-0.2-0.4-0.3-0.3-0.3-0.7-0.3-0.4-0.5-0.9-0.2-3.8-0.8-0.3-20-0.3-2-0.2-0.6+2-0.8-0.2-0.2-1.3-0.1-1.5-1.6-0.5-0.8-5-1.6-1.3-0.2-0.3-0.4-0.4-2.7-0.8-0.8-0.7-7.5-0.4-1.2-0.05-3.5-1.5</f>
        <v>113.84999999999995</v>
      </c>
      <c r="I17" s="116"/>
    </row>
    <row r="18" spans="1:9" s="17" customFormat="1" ht="11.25" customHeight="1" x14ac:dyDescent="0.2">
      <c r="A18" s="65">
        <v>9</v>
      </c>
      <c r="B18" s="60"/>
      <c r="C18" s="120" t="s">
        <v>4312</v>
      </c>
      <c r="D18" s="120"/>
      <c r="E18" s="120"/>
      <c r="F18" s="124" t="s">
        <v>245</v>
      </c>
      <c r="G18" s="124"/>
      <c r="H18" s="123">
        <f>6-2.3-0.3-0.4-0.3-0.4-0.2-0.6-0.3-0.7-1.2+1.2</f>
        <v>0.50000000000000044</v>
      </c>
      <c r="I18" s="123"/>
    </row>
    <row r="19" spans="1:9" s="17" customFormat="1" ht="11.25" customHeight="1" x14ac:dyDescent="0.2">
      <c r="A19" s="65">
        <v>10</v>
      </c>
      <c r="B19" s="60" t="s">
        <v>3539</v>
      </c>
      <c r="C19" s="120" t="s">
        <v>5383</v>
      </c>
      <c r="D19" s="120"/>
      <c r="E19" s="120"/>
      <c r="F19" s="124" t="s">
        <v>245</v>
      </c>
      <c r="G19" s="124"/>
      <c r="H19" s="123">
        <v>6.8</v>
      </c>
      <c r="I19" s="123"/>
    </row>
    <row r="20" spans="1:9" s="17" customFormat="1" ht="12.75" customHeight="1" x14ac:dyDescent="0.2">
      <c r="A20" s="65">
        <v>11</v>
      </c>
      <c r="B20" s="60" t="s">
        <v>2876</v>
      </c>
      <c r="C20" s="112" t="s">
        <v>5377</v>
      </c>
      <c r="D20" s="112"/>
      <c r="E20" s="112"/>
      <c r="F20" s="124" t="s">
        <v>45</v>
      </c>
      <c r="G20" s="124"/>
      <c r="H20" s="123">
        <v>59.6</v>
      </c>
      <c r="I20" s="123"/>
    </row>
    <row r="21" spans="1:9" s="17" customFormat="1" ht="12.75" customHeight="1" x14ac:dyDescent="0.2">
      <c r="A21" s="65">
        <v>12</v>
      </c>
      <c r="B21" s="60" t="s">
        <v>2224</v>
      </c>
      <c r="C21" s="120" t="s">
        <v>4428</v>
      </c>
      <c r="D21" s="120"/>
      <c r="E21" s="120"/>
      <c r="F21" s="125" t="s">
        <v>62</v>
      </c>
      <c r="G21" s="125"/>
      <c r="H21" s="115">
        <v>10.9</v>
      </c>
      <c r="I21" s="116"/>
    </row>
    <row r="22" spans="1:9" s="17" customFormat="1" ht="12.75" customHeight="1" x14ac:dyDescent="0.2">
      <c r="A22" s="65">
        <v>13</v>
      </c>
      <c r="B22" s="60" t="s">
        <v>3666</v>
      </c>
      <c r="C22" s="112" t="s">
        <v>4794</v>
      </c>
      <c r="D22" s="112"/>
      <c r="E22" s="112"/>
      <c r="F22" s="125" t="s">
        <v>140</v>
      </c>
      <c r="G22" s="125"/>
      <c r="H22" s="123">
        <v>8.1999999999999993</v>
      </c>
      <c r="I22" s="123"/>
    </row>
    <row r="23" spans="1:9" s="17" customFormat="1" ht="12.75" customHeight="1" x14ac:dyDescent="0.2">
      <c r="A23" s="65">
        <v>14</v>
      </c>
      <c r="B23" s="60" t="s">
        <v>3666</v>
      </c>
      <c r="C23" s="112" t="s">
        <v>4788</v>
      </c>
      <c r="D23" s="112"/>
      <c r="E23" s="112"/>
      <c r="F23" s="125" t="s">
        <v>29</v>
      </c>
      <c r="G23" s="125"/>
      <c r="H23" s="123">
        <v>32</v>
      </c>
      <c r="I23" s="123"/>
    </row>
    <row r="24" spans="1:9" s="17" customFormat="1" ht="12.75" customHeight="1" x14ac:dyDescent="0.2">
      <c r="A24" s="65">
        <v>15</v>
      </c>
      <c r="B24" s="60" t="s">
        <v>2876</v>
      </c>
      <c r="C24" s="112" t="s">
        <v>4795</v>
      </c>
      <c r="D24" s="112"/>
      <c r="E24" s="112"/>
      <c r="F24" s="125" t="s">
        <v>29</v>
      </c>
      <c r="G24" s="125"/>
      <c r="H24" s="123">
        <f>16.4-1</f>
        <v>15.399999999999999</v>
      </c>
      <c r="I24" s="123"/>
    </row>
    <row r="25" spans="1:9" s="17" customFormat="1" ht="11.25" customHeight="1" x14ac:dyDescent="0.2">
      <c r="A25" s="65">
        <v>16</v>
      </c>
      <c r="B25" s="60" t="s">
        <v>3539</v>
      </c>
      <c r="C25" s="120" t="s">
        <v>5387</v>
      </c>
      <c r="D25" s="120"/>
      <c r="E25" s="120"/>
      <c r="F25" s="125" t="s">
        <v>140</v>
      </c>
      <c r="G25" s="125"/>
      <c r="H25" s="123">
        <v>3.6</v>
      </c>
      <c r="I25" s="123"/>
    </row>
    <row r="26" spans="1:9" s="16" customFormat="1" ht="12" customHeight="1" x14ac:dyDescent="0.2">
      <c r="A26" s="65">
        <v>17</v>
      </c>
      <c r="B26" s="60"/>
      <c r="C26" s="112" t="s">
        <v>322</v>
      </c>
      <c r="D26" s="112"/>
      <c r="E26" s="112"/>
      <c r="F26" s="125" t="s">
        <v>59</v>
      </c>
      <c r="G26" s="125"/>
      <c r="H26" s="123"/>
      <c r="I26" s="123"/>
    </row>
    <row r="27" spans="1:9" s="17" customFormat="1" ht="11.25" customHeight="1" x14ac:dyDescent="0.2">
      <c r="A27" s="65">
        <v>18</v>
      </c>
      <c r="B27" s="60" t="s">
        <v>3539</v>
      </c>
      <c r="C27" s="120" t="s">
        <v>5382</v>
      </c>
      <c r="D27" s="126"/>
      <c r="E27" s="127"/>
      <c r="F27" s="124" t="s">
        <v>71</v>
      </c>
      <c r="G27" s="122"/>
      <c r="H27" s="123">
        <v>7.4</v>
      </c>
      <c r="I27" s="116"/>
    </row>
    <row r="28" spans="1:9" s="17" customFormat="1" ht="12.75" customHeight="1" x14ac:dyDescent="0.2">
      <c r="A28" s="65">
        <v>19</v>
      </c>
      <c r="B28" s="60" t="s">
        <v>2241</v>
      </c>
      <c r="C28" s="117" t="s">
        <v>5117</v>
      </c>
      <c r="D28" s="118"/>
      <c r="E28" s="119"/>
      <c r="F28" s="113" t="s">
        <v>76</v>
      </c>
      <c r="G28" s="114"/>
      <c r="H28" s="115">
        <v>50</v>
      </c>
      <c r="I28" s="116"/>
    </row>
    <row r="29" spans="1:9" s="17" customFormat="1" ht="12.75" customHeight="1" x14ac:dyDescent="0.2">
      <c r="A29" s="65">
        <v>20</v>
      </c>
      <c r="B29" s="60" t="s">
        <v>2241</v>
      </c>
      <c r="C29" s="117" t="s">
        <v>4679</v>
      </c>
      <c r="D29" s="118"/>
      <c r="E29" s="119"/>
      <c r="F29" s="113" t="s">
        <v>76</v>
      </c>
      <c r="G29" s="114"/>
      <c r="H29" s="115">
        <f>8.2-0.2+2.4-2.3-0.9-0.4-0.3+27-0.2-2.3-0.5+3.3-0.6-0.2-3.7-0.3-17.7-0.5-6+0.7-0.7-0.7+6.2-0.7-0.2-0.4</f>
        <v>8.9999999999999947</v>
      </c>
      <c r="I29" s="116"/>
    </row>
    <row r="30" spans="1:9" s="17" customFormat="1" ht="11.25" customHeight="1" x14ac:dyDescent="0.2">
      <c r="A30" s="65">
        <v>21</v>
      </c>
      <c r="B30" s="60"/>
      <c r="C30" s="120" t="s">
        <v>2083</v>
      </c>
      <c r="D30" s="126"/>
      <c r="E30" s="127"/>
      <c r="F30" s="124" t="s">
        <v>71</v>
      </c>
      <c r="G30" s="122"/>
      <c r="H30" s="123">
        <f>131.3-1.8-6.8-1.4-0.6-0.2-0.2-0.2-4.6-5.8-0.6-1-1.5-0.4-1-0.4-1-0.8-0.5-0.8-7.4-3.6-1-0.6-7.2-0.2-1.1-0.1-36-0.2-2.2-2-0.2-2.2-15-12.5-0.4-0.2-1.8-2</f>
        <v>5.8000000000000034</v>
      </c>
      <c r="I30" s="116"/>
    </row>
    <row r="31" spans="1:9" s="17" customFormat="1" ht="12.75" customHeight="1" x14ac:dyDescent="0.2">
      <c r="A31" s="65">
        <v>22</v>
      </c>
      <c r="B31" s="60" t="s">
        <v>2241</v>
      </c>
      <c r="C31" s="120" t="s">
        <v>5331</v>
      </c>
      <c r="D31" s="120"/>
      <c r="E31" s="120"/>
      <c r="F31" s="121" t="s">
        <v>271</v>
      </c>
      <c r="G31" s="122"/>
      <c r="H31" s="123">
        <v>1</v>
      </c>
      <c r="I31" s="123"/>
    </row>
    <row r="32" spans="1:9" s="17" customFormat="1" ht="12.75" customHeight="1" x14ac:dyDescent="0.2">
      <c r="A32" s="65">
        <v>23</v>
      </c>
      <c r="B32" s="60" t="s">
        <v>2224</v>
      </c>
      <c r="C32" s="112" t="s">
        <v>5186</v>
      </c>
      <c r="D32" s="112"/>
      <c r="E32" s="112"/>
      <c r="F32" s="124" t="s">
        <v>45</v>
      </c>
      <c r="G32" s="124"/>
      <c r="H32" s="123">
        <f>29.3-3.5-0.2-0.9-1.5-0.6-0.6-0.6-0.5-0.5-0.5-0.6-1.5-0.2-0.6-0.7-0.2-0.6-0.2-0.6-0.8-0.8</f>
        <v>13.099999999999998</v>
      </c>
      <c r="I32" s="123"/>
    </row>
    <row r="33" spans="1:9" s="17" customFormat="1" ht="12.75" customHeight="1" x14ac:dyDescent="0.2">
      <c r="A33" s="65">
        <v>24</v>
      </c>
      <c r="B33" s="60" t="s">
        <v>3539</v>
      </c>
      <c r="C33" s="112" t="s">
        <v>5378</v>
      </c>
      <c r="D33" s="112"/>
      <c r="E33" s="112"/>
      <c r="F33" s="124" t="s">
        <v>45</v>
      </c>
      <c r="G33" s="124"/>
      <c r="H33" s="123">
        <f>12.3+3.9</f>
        <v>16.2</v>
      </c>
      <c r="I33" s="123"/>
    </row>
    <row r="34" spans="1:9" s="17" customFormat="1" ht="12.75" customHeight="1" x14ac:dyDescent="0.2">
      <c r="A34" s="65">
        <v>25</v>
      </c>
      <c r="B34" s="60" t="s">
        <v>3601</v>
      </c>
      <c r="C34" s="117" t="s">
        <v>4791</v>
      </c>
      <c r="D34" s="118"/>
      <c r="E34" s="119"/>
      <c r="F34" s="124" t="s">
        <v>43</v>
      </c>
      <c r="G34" s="124"/>
      <c r="H34" s="123">
        <v>8.1999999999999993</v>
      </c>
      <c r="I34" s="123"/>
    </row>
    <row r="35" spans="1:9" s="17" customFormat="1" ht="12.75" customHeight="1" x14ac:dyDescent="0.2">
      <c r="A35" s="65">
        <v>26</v>
      </c>
      <c r="B35" s="60" t="s">
        <v>2876</v>
      </c>
      <c r="C35" s="112" t="s">
        <v>4799</v>
      </c>
      <c r="D35" s="112"/>
      <c r="E35" s="112"/>
      <c r="F35" s="125" t="s">
        <v>29</v>
      </c>
      <c r="G35" s="125"/>
      <c r="H35" s="123">
        <f>18.8-0.2</f>
        <v>18.600000000000001</v>
      </c>
      <c r="I35" s="123"/>
    </row>
    <row r="36" spans="1:9" s="17" customFormat="1" ht="12.75" customHeight="1" x14ac:dyDescent="0.2">
      <c r="A36" s="65">
        <v>27</v>
      </c>
      <c r="B36" s="60" t="s">
        <v>2258</v>
      </c>
      <c r="C36" s="117" t="s">
        <v>3046</v>
      </c>
      <c r="D36" s="118"/>
      <c r="E36" s="119"/>
      <c r="F36" s="113" t="s">
        <v>76</v>
      </c>
      <c r="G36" s="114"/>
      <c r="H36" s="115">
        <f>30.8-3.2-3-0.3+206+8.5-1.5-1.3-3-0.8-18-0.3-0.3-0.3-0.6-0.8-0.6-1-0.8-0.7-2-1.3-1-3-5-0.7-3-2.9-1.5-6-2.4-2.3-11.6-2.5-0.6-0.7+10.8-11.9-2.1-35-4-0.6-1.7-0.3-7.5-1.5-0.6-1.5-4.2-6.6+32-1-0.3-4-5.5-4-1.6-0.6-5-4.1-2.5-2.7-6-2.5-12.5-13.7-5-1.7-1.8-0.3-4.8-3.7-0.6-1-1.4-0.7</f>
        <v>40.599999999999994</v>
      </c>
      <c r="I36" s="116"/>
    </row>
    <row r="37" spans="1:9" s="17" customFormat="1" ht="12.75" customHeight="1" x14ac:dyDescent="0.2">
      <c r="A37" s="65">
        <v>28</v>
      </c>
      <c r="B37" s="60" t="s">
        <v>3666</v>
      </c>
      <c r="C37" s="117" t="s">
        <v>4789</v>
      </c>
      <c r="D37" s="118"/>
      <c r="E37" s="119"/>
      <c r="F37" s="125" t="s">
        <v>140</v>
      </c>
      <c r="G37" s="125"/>
      <c r="H37" s="123">
        <f>22.7-1.6</f>
        <v>21.099999999999998</v>
      </c>
      <c r="I37" s="123"/>
    </row>
    <row r="38" spans="1:9" s="17" customFormat="1" ht="12.75" customHeight="1" x14ac:dyDescent="0.2">
      <c r="A38" s="65">
        <v>29</v>
      </c>
      <c r="B38" s="60"/>
      <c r="C38" s="117" t="s">
        <v>1198</v>
      </c>
      <c r="D38" s="118"/>
      <c r="E38" s="119"/>
      <c r="F38" s="113" t="s">
        <v>59</v>
      </c>
      <c r="G38" s="114"/>
      <c r="H38" s="115">
        <f>4.3-0.6-0.9-0.9-0.8-0.2-0.2</f>
        <v>0.7</v>
      </c>
      <c r="I38" s="116"/>
    </row>
    <row r="39" spans="1:9" s="17" customFormat="1" ht="12.75" customHeight="1" x14ac:dyDescent="0.2">
      <c r="A39" s="65">
        <v>30</v>
      </c>
      <c r="B39" s="60" t="s">
        <v>2241</v>
      </c>
      <c r="C39" s="120" t="s">
        <v>5332</v>
      </c>
      <c r="D39" s="120"/>
      <c r="E39" s="120"/>
      <c r="F39" s="121" t="s">
        <v>291</v>
      </c>
      <c r="G39" s="122"/>
      <c r="H39" s="123">
        <v>1.5</v>
      </c>
      <c r="I39" s="123"/>
    </row>
    <row r="40" spans="1:9" s="17" customFormat="1" ht="12.75" customHeight="1" x14ac:dyDescent="0.2">
      <c r="A40" s="65">
        <v>31</v>
      </c>
      <c r="B40" s="60" t="s">
        <v>3666</v>
      </c>
      <c r="C40" s="112" t="s">
        <v>4800</v>
      </c>
      <c r="D40" s="112"/>
      <c r="E40" s="112"/>
      <c r="F40" s="125" t="s">
        <v>140</v>
      </c>
      <c r="G40" s="125"/>
      <c r="H40" s="123">
        <v>5.9</v>
      </c>
      <c r="I40" s="123"/>
    </row>
    <row r="41" spans="1:9" s="17" customFormat="1" ht="12.75" customHeight="1" x14ac:dyDescent="0.2">
      <c r="A41" s="65">
        <v>32</v>
      </c>
      <c r="B41" s="60" t="s">
        <v>2876</v>
      </c>
      <c r="C41" s="112" t="s">
        <v>4801</v>
      </c>
      <c r="D41" s="112"/>
      <c r="E41" s="112"/>
      <c r="F41" s="125" t="s">
        <v>140</v>
      </c>
      <c r="G41" s="125"/>
      <c r="H41" s="123">
        <v>184.5</v>
      </c>
      <c r="I41" s="123"/>
    </row>
    <row r="42" spans="1:9" s="17" customFormat="1" ht="12.75" customHeight="1" x14ac:dyDescent="0.2">
      <c r="A42" s="65">
        <v>33</v>
      </c>
      <c r="B42" s="60" t="s">
        <v>2241</v>
      </c>
      <c r="C42" s="117" t="s">
        <v>4897</v>
      </c>
      <c r="D42" s="118"/>
      <c r="E42" s="119"/>
      <c r="F42" s="113" t="s">
        <v>76</v>
      </c>
      <c r="G42" s="114"/>
      <c r="H42" s="115">
        <f>3.3+477-6.9-0.7-2.7-7.2+11.7-0.3-5.9-4-14.5</f>
        <v>449.80000000000007</v>
      </c>
      <c r="I42" s="116"/>
    </row>
    <row r="43" spans="1:9" s="17" customFormat="1" ht="12.75" customHeight="1" x14ac:dyDescent="0.2">
      <c r="A43" s="65">
        <v>34</v>
      </c>
      <c r="B43" s="60" t="s">
        <v>2934</v>
      </c>
      <c r="C43" s="117" t="s">
        <v>5323</v>
      </c>
      <c r="D43" s="118"/>
      <c r="E43" s="119"/>
      <c r="F43" s="113" t="s">
        <v>184</v>
      </c>
      <c r="G43" s="114"/>
      <c r="H43" s="123">
        <v>1.5</v>
      </c>
      <c r="I43" s="123"/>
    </row>
    <row r="44" spans="1:9" s="16" customFormat="1" ht="12" customHeight="1" x14ac:dyDescent="0.2">
      <c r="A44" s="65">
        <v>35</v>
      </c>
      <c r="B44" s="60"/>
      <c r="C44" s="112" t="s">
        <v>828</v>
      </c>
      <c r="D44" s="112"/>
      <c r="E44" s="112"/>
      <c r="F44" s="125" t="s">
        <v>76</v>
      </c>
      <c r="G44" s="125"/>
      <c r="H44" s="123"/>
      <c r="I44" s="123"/>
    </row>
    <row r="45" spans="1:9" s="17" customFormat="1" ht="11.25" customHeight="1" x14ac:dyDescent="0.2">
      <c r="A45" s="65">
        <v>36</v>
      </c>
      <c r="B45" s="60"/>
      <c r="C45" s="120" t="s">
        <v>1605</v>
      </c>
      <c r="D45" s="126"/>
      <c r="E45" s="127"/>
      <c r="F45" s="124" t="s">
        <v>71</v>
      </c>
      <c r="G45" s="122"/>
      <c r="H45" s="115">
        <f>53.2-3.4-1.2-1.8-2.9-3.8-0.6-4.5-2.3-6.7-0.6-0.6</f>
        <v>24.800000000000008</v>
      </c>
      <c r="I45" s="116"/>
    </row>
    <row r="46" spans="1:9" s="17" customFormat="1" ht="12.75" customHeight="1" x14ac:dyDescent="0.2">
      <c r="A46" s="65">
        <v>37</v>
      </c>
      <c r="B46" s="60" t="s">
        <v>3539</v>
      </c>
      <c r="C46" s="112" t="s">
        <v>5340</v>
      </c>
      <c r="D46" s="112"/>
      <c r="E46" s="112"/>
      <c r="F46" s="113" t="s">
        <v>57</v>
      </c>
      <c r="G46" s="114"/>
      <c r="H46" s="123">
        <v>34.4</v>
      </c>
      <c r="I46" s="123"/>
    </row>
    <row r="47" spans="1:9" s="17" customFormat="1" ht="12.75" customHeight="1" x14ac:dyDescent="0.2">
      <c r="A47" s="65">
        <v>38</v>
      </c>
      <c r="B47" s="60" t="s">
        <v>2242</v>
      </c>
      <c r="C47" s="117" t="s">
        <v>5244</v>
      </c>
      <c r="D47" s="118"/>
      <c r="E47" s="119"/>
      <c r="F47" s="113" t="s">
        <v>76</v>
      </c>
      <c r="G47" s="114"/>
      <c r="H47" s="115">
        <v>21.9</v>
      </c>
      <c r="I47" s="116"/>
    </row>
    <row r="48" spans="1:9" s="17" customFormat="1" ht="12.75" customHeight="1" x14ac:dyDescent="0.2">
      <c r="A48" s="65">
        <v>39</v>
      </c>
      <c r="B48" s="60" t="s">
        <v>2242</v>
      </c>
      <c r="C48" s="117" t="s">
        <v>4695</v>
      </c>
      <c r="D48" s="118"/>
      <c r="E48" s="119"/>
      <c r="F48" s="113" t="s">
        <v>76</v>
      </c>
      <c r="G48" s="114"/>
      <c r="H48" s="115">
        <f>8.7-2-0.4-2.8</f>
        <v>3.4999999999999991</v>
      </c>
      <c r="I48" s="116"/>
    </row>
    <row r="49" spans="1:9" s="17" customFormat="1" ht="12.75" customHeight="1" x14ac:dyDescent="0.2">
      <c r="A49" s="65">
        <v>40</v>
      </c>
      <c r="B49" s="60" t="s">
        <v>2876</v>
      </c>
      <c r="C49" s="117" t="s">
        <v>5333</v>
      </c>
      <c r="D49" s="118"/>
      <c r="E49" s="119"/>
      <c r="F49" s="113" t="s">
        <v>184</v>
      </c>
      <c r="G49" s="114"/>
      <c r="H49" s="123">
        <v>2</v>
      </c>
      <c r="I49" s="123"/>
    </row>
    <row r="50" spans="1:9" s="17" customFormat="1" ht="11.25" customHeight="1" x14ac:dyDescent="0.2">
      <c r="A50" s="65">
        <v>41</v>
      </c>
      <c r="B50" s="60"/>
      <c r="C50" s="120" t="s">
        <v>1606</v>
      </c>
      <c r="D50" s="126"/>
      <c r="E50" s="127"/>
      <c r="F50" s="124" t="s">
        <v>71</v>
      </c>
      <c r="G50" s="122"/>
      <c r="H50" s="123">
        <f>12.8-0.7-0.7-1-1-4.7</f>
        <v>4.700000000000002</v>
      </c>
      <c r="I50" s="116"/>
    </row>
    <row r="51" spans="1:9" s="17" customFormat="1" ht="12.75" customHeight="1" x14ac:dyDescent="0.2">
      <c r="A51" s="65">
        <v>42</v>
      </c>
      <c r="B51" s="60" t="s">
        <v>2876</v>
      </c>
      <c r="C51" s="120" t="s">
        <v>5286</v>
      </c>
      <c r="D51" s="120"/>
      <c r="E51" s="120"/>
      <c r="F51" s="121" t="s">
        <v>271</v>
      </c>
      <c r="G51" s="122"/>
      <c r="H51" s="123">
        <v>17.3</v>
      </c>
      <c r="I51" s="123"/>
    </row>
    <row r="52" spans="1:9" s="17" customFormat="1" ht="12.75" customHeight="1" x14ac:dyDescent="0.2">
      <c r="A52" s="65">
        <v>43</v>
      </c>
      <c r="B52" s="60" t="s">
        <v>2876</v>
      </c>
      <c r="C52" s="120" t="s">
        <v>5280</v>
      </c>
      <c r="D52" s="120"/>
      <c r="E52" s="120"/>
      <c r="F52" s="121" t="s">
        <v>271</v>
      </c>
      <c r="G52" s="122"/>
      <c r="H52" s="123">
        <v>13.3</v>
      </c>
      <c r="I52" s="123"/>
    </row>
    <row r="53" spans="1:9" s="17" customFormat="1" ht="12.75" customHeight="1" x14ac:dyDescent="0.2">
      <c r="A53" s="65">
        <v>44</v>
      </c>
      <c r="B53" s="60"/>
      <c r="C53" s="117" t="s">
        <v>1212</v>
      </c>
      <c r="D53" s="118"/>
      <c r="E53" s="119"/>
      <c r="F53" s="113" t="s">
        <v>76</v>
      </c>
      <c r="G53" s="114"/>
      <c r="H53" s="115">
        <f>2702-246-20-9-9-100.5-12-30-28-2.5-121.5-10-50-50-36-2.5-0.6-6-0.7-10-2.7-6.5-4-0.8-1.3-2.5-2.8-0.7-2.5-0.4-1.3-8.3-0.4-4.4-0.9-12-2.5-50-1.3-24.8-7.5-12.5-25-2.5-1.3-72.2-2.5-15.2-0.7-1-1-1-7.5-2.1-20-1-0.9+0.7-2.5-7.5-3.8-1-2.8-0.4-1.3-3-4.5-7.5-5-2.6-0.5-1.7-2.2-2.5-2-1.3-2.4-0.4-2.5-2.6-5-30.3-385-1.3-9-0.4-5-5-1.6-5-0.4-8.7-21.5-0.9-1.3-2.6-110-0.4-15-0.8-0.9-61.6-24.8-186-84.4-0.9-0.4-6.3-2.5-1.2-1.2-7.6-3-2.5-7.4-2.5</f>
        <v>592</v>
      </c>
      <c r="I53" s="116"/>
    </row>
    <row r="54" spans="1:9" s="17" customFormat="1" ht="12.75" customHeight="1" x14ac:dyDescent="0.2">
      <c r="A54" s="65">
        <v>45</v>
      </c>
      <c r="B54" s="60" t="s">
        <v>2934</v>
      </c>
      <c r="C54" s="120" t="s">
        <v>5271</v>
      </c>
      <c r="D54" s="120"/>
      <c r="E54" s="120"/>
      <c r="F54" s="121" t="s">
        <v>271</v>
      </c>
      <c r="G54" s="122"/>
      <c r="H54" s="123">
        <v>42.5</v>
      </c>
      <c r="I54" s="123"/>
    </row>
    <row r="55" spans="1:9" s="17" customFormat="1" ht="12.75" customHeight="1" x14ac:dyDescent="0.2">
      <c r="A55" s="65">
        <v>46</v>
      </c>
      <c r="B55" s="60" t="s">
        <v>3539</v>
      </c>
      <c r="C55" s="120" t="s">
        <v>5376</v>
      </c>
      <c r="D55" s="120"/>
      <c r="E55" s="120"/>
      <c r="F55" s="124" t="s">
        <v>45</v>
      </c>
      <c r="G55" s="124"/>
      <c r="H55" s="123">
        <v>40.299999999999997</v>
      </c>
      <c r="I55" s="123"/>
    </row>
    <row r="56" spans="1:9" s="17" customFormat="1" ht="24.75" customHeight="1" x14ac:dyDescent="0.2">
      <c r="A56" s="65">
        <v>47</v>
      </c>
      <c r="B56" s="60"/>
      <c r="C56" s="117" t="s">
        <v>353</v>
      </c>
      <c r="D56" s="118"/>
      <c r="E56" s="119"/>
      <c r="F56" s="113" t="s">
        <v>76</v>
      </c>
      <c r="G56" s="114"/>
      <c r="H56" s="115"/>
      <c r="I56" s="116"/>
    </row>
    <row r="57" spans="1:9" s="17" customFormat="1" ht="12.75" customHeight="1" x14ac:dyDescent="0.2">
      <c r="A57" s="65">
        <v>48</v>
      </c>
      <c r="B57" s="60" t="s">
        <v>2934</v>
      </c>
      <c r="C57" s="120" t="s">
        <v>5329</v>
      </c>
      <c r="D57" s="120"/>
      <c r="E57" s="120"/>
      <c r="F57" s="121" t="s">
        <v>271</v>
      </c>
      <c r="G57" s="122"/>
      <c r="H57" s="123">
        <f>12+5.4</f>
        <v>17.399999999999999</v>
      </c>
      <c r="I57" s="123"/>
    </row>
    <row r="58" spans="1:9" s="17" customFormat="1" ht="12.75" customHeight="1" x14ac:dyDescent="0.2">
      <c r="A58" s="65">
        <v>49</v>
      </c>
      <c r="B58" s="60" t="s">
        <v>3539</v>
      </c>
      <c r="C58" s="120" t="s">
        <v>5334</v>
      </c>
      <c r="D58" s="120"/>
      <c r="E58" s="120"/>
      <c r="F58" s="124" t="s">
        <v>45</v>
      </c>
      <c r="G58" s="124"/>
      <c r="H58" s="123">
        <v>6.9</v>
      </c>
      <c r="I58" s="123"/>
    </row>
    <row r="59" spans="1:9" s="17" customFormat="1" ht="12.75" customHeight="1" x14ac:dyDescent="0.2">
      <c r="A59" s="65">
        <v>50</v>
      </c>
      <c r="B59" s="60"/>
      <c r="C59" s="117" t="s">
        <v>3084</v>
      </c>
      <c r="D59" s="118"/>
      <c r="E59" s="119"/>
      <c r="F59" s="121" t="s">
        <v>200</v>
      </c>
      <c r="G59" s="122"/>
      <c r="H59" s="115">
        <f>11.4-5-1.1-1-1-1</f>
        <v>2.3000000000000007</v>
      </c>
      <c r="I59" s="116"/>
    </row>
    <row r="60" spans="1:9" s="17" customFormat="1" ht="12.75" customHeight="1" x14ac:dyDescent="0.2">
      <c r="A60" s="65">
        <v>51</v>
      </c>
      <c r="B60" s="60" t="s">
        <v>2934</v>
      </c>
      <c r="C60" s="120" t="s">
        <v>5289</v>
      </c>
      <c r="D60" s="126"/>
      <c r="E60" s="127"/>
      <c r="F60" s="113" t="s">
        <v>57</v>
      </c>
      <c r="G60" s="114"/>
      <c r="H60" s="123">
        <f>229.3+183.3</f>
        <v>412.6</v>
      </c>
      <c r="I60" s="123"/>
    </row>
    <row r="61" spans="1:9" s="17" customFormat="1" ht="12.75" customHeight="1" x14ac:dyDescent="0.2">
      <c r="A61" s="65">
        <v>52</v>
      </c>
      <c r="B61" s="60" t="s">
        <v>3666</v>
      </c>
      <c r="C61" s="112" t="s">
        <v>4967</v>
      </c>
      <c r="D61" s="112"/>
      <c r="E61" s="112"/>
      <c r="F61" s="125" t="s">
        <v>29</v>
      </c>
      <c r="G61" s="125"/>
      <c r="H61" s="123">
        <f>13.5-12.5</f>
        <v>1</v>
      </c>
      <c r="I61" s="123"/>
    </row>
    <row r="62" spans="1:9" s="17" customFormat="1" ht="12.75" customHeight="1" x14ac:dyDescent="0.2">
      <c r="A62" s="65">
        <v>53</v>
      </c>
      <c r="B62" s="60" t="s">
        <v>2876</v>
      </c>
      <c r="C62" s="120" t="s">
        <v>5279</v>
      </c>
      <c r="D62" s="120"/>
      <c r="E62" s="120"/>
      <c r="F62" s="121" t="s">
        <v>271</v>
      </c>
      <c r="G62" s="122"/>
      <c r="H62" s="123">
        <v>15.2</v>
      </c>
      <c r="I62" s="123"/>
    </row>
    <row r="63" spans="1:9" s="17" customFormat="1" ht="12.75" customHeight="1" x14ac:dyDescent="0.2">
      <c r="A63" s="65">
        <v>54</v>
      </c>
      <c r="B63" s="60" t="s">
        <v>2876</v>
      </c>
      <c r="C63" s="120" t="s">
        <v>5319</v>
      </c>
      <c r="D63" s="120"/>
      <c r="E63" s="120"/>
      <c r="F63" s="121" t="s">
        <v>271</v>
      </c>
      <c r="G63" s="122"/>
      <c r="H63" s="123">
        <v>33</v>
      </c>
      <c r="I63" s="123"/>
    </row>
    <row r="64" spans="1:9" s="17" customFormat="1" ht="12.75" customHeight="1" x14ac:dyDescent="0.2">
      <c r="A64" s="65">
        <v>55</v>
      </c>
      <c r="B64" s="60"/>
      <c r="C64" s="117" t="s">
        <v>1640</v>
      </c>
      <c r="D64" s="118"/>
      <c r="E64" s="119"/>
      <c r="F64" s="124" t="s">
        <v>33</v>
      </c>
      <c r="G64" s="124"/>
      <c r="H64" s="115">
        <f>71.2-1.7-1.6-10.4-1.2</f>
        <v>56.300000000000004</v>
      </c>
      <c r="I64" s="116"/>
    </row>
    <row r="65" spans="1:9" s="17" customFormat="1" ht="12.75" customHeight="1" x14ac:dyDescent="0.2">
      <c r="A65" s="65">
        <v>56</v>
      </c>
      <c r="B65" s="60" t="s">
        <v>2876</v>
      </c>
      <c r="C65" s="117" t="s">
        <v>5054</v>
      </c>
      <c r="D65" s="118"/>
      <c r="E65" s="119"/>
      <c r="F65" s="113" t="s">
        <v>140</v>
      </c>
      <c r="G65" s="114"/>
      <c r="H65" s="115">
        <f>200-1.2-0.5-6-3-3-0.2-0.5-1-3.1-0.5-3-3-9-3-3-1.6-2.6-2-1-3.3-1-0.5-2-3+3-1.5-1.1-6.1-0.6+1.5-21.5-7.5-1.6+8-1.6-4.1-1</f>
        <v>108.90000000000006</v>
      </c>
      <c r="I65" s="116"/>
    </row>
    <row r="66" spans="1:9" s="17" customFormat="1" ht="12.75" customHeight="1" x14ac:dyDescent="0.2">
      <c r="A66" s="65">
        <v>57</v>
      </c>
      <c r="B66" s="60"/>
      <c r="C66" s="112" t="s">
        <v>699</v>
      </c>
      <c r="D66" s="112"/>
      <c r="E66" s="112"/>
      <c r="F66" s="125" t="s">
        <v>184</v>
      </c>
      <c r="G66" s="125"/>
      <c r="H66" s="123">
        <f>12.4-3.1-3.1-3.1</f>
        <v>3.100000000000001</v>
      </c>
      <c r="I66" s="123"/>
    </row>
    <row r="67" spans="1:9" s="17" customFormat="1" ht="12.75" customHeight="1" x14ac:dyDescent="0.2">
      <c r="A67" s="65">
        <v>58</v>
      </c>
      <c r="B67" s="60"/>
      <c r="C67" s="117" t="s">
        <v>4761</v>
      </c>
      <c r="D67" s="118"/>
      <c r="E67" s="119"/>
      <c r="F67" s="121" t="s">
        <v>33</v>
      </c>
      <c r="G67" s="122"/>
      <c r="H67" s="115">
        <f>132-0.5-10.4+80.8-3-1.5-3-1-1.5-0.5-3-0.5+0.6-0.6-1-1.5-15-3</f>
        <v>167.39999999999998</v>
      </c>
      <c r="I67" s="116"/>
    </row>
    <row r="68" spans="1:9" s="17" customFormat="1" ht="12.75" customHeight="1" x14ac:dyDescent="0.2">
      <c r="A68" s="65">
        <v>59</v>
      </c>
      <c r="B68" s="60"/>
      <c r="C68" s="117" t="s">
        <v>3596</v>
      </c>
      <c r="D68" s="118"/>
      <c r="E68" s="119"/>
      <c r="F68" s="124" t="s">
        <v>31</v>
      </c>
      <c r="G68" s="124"/>
      <c r="H68" s="115">
        <f>12.5-1.1+65-22.3+3.3-1.1-3-14.4-2.8-3-1.7-5.2-1.2-1-0.5</f>
        <v>23.500000000000011</v>
      </c>
      <c r="I68" s="116"/>
    </row>
    <row r="69" spans="1:9" s="17" customFormat="1" ht="12.75" customHeight="1" x14ac:dyDescent="0.2">
      <c r="A69" s="65">
        <v>60</v>
      </c>
      <c r="B69" s="60" t="s">
        <v>3539</v>
      </c>
      <c r="C69" s="120" t="s">
        <v>5375</v>
      </c>
      <c r="D69" s="120"/>
      <c r="E69" s="120"/>
      <c r="F69" s="124" t="s">
        <v>45</v>
      </c>
      <c r="G69" s="124"/>
      <c r="H69" s="123">
        <v>67.2</v>
      </c>
      <c r="I69" s="123"/>
    </row>
    <row r="70" spans="1:9" s="16" customFormat="1" ht="12" customHeight="1" x14ac:dyDescent="0.2">
      <c r="A70" s="65">
        <v>61</v>
      </c>
      <c r="B70" s="60" t="s">
        <v>3539</v>
      </c>
      <c r="C70" s="112" t="s">
        <v>674</v>
      </c>
      <c r="D70" s="112"/>
      <c r="E70" s="112"/>
      <c r="F70" s="125" t="s">
        <v>76</v>
      </c>
      <c r="G70" s="125"/>
      <c r="H70" s="123">
        <f>898.5-0.6-7.8-7.8-4-7.7-7.7-4-3.8-1.3-0.6-0.6-4-10-0.7-3.8-7.8-2.6-28.8-1.3-0.9-0.6-0.6-15.5-2.3-0.5-2.5-0.6-6.2-0.6-1-121-2-2-3.1-78-25.5-1.2-2.1-1.2-1.2-2.4-4-19.5-15.6-10-3.9-3.8-0.9-1.8-7.8-1.5-0.6-12-1.4-4.7-2.5-4-1.8-1.8-1.9</f>
        <v>423.09999999999991</v>
      </c>
      <c r="I70" s="123"/>
    </row>
    <row r="71" spans="1:9" s="17" customFormat="1" ht="12.75" customHeight="1" x14ac:dyDescent="0.2">
      <c r="A71" s="65">
        <v>62</v>
      </c>
      <c r="B71" s="60"/>
      <c r="C71" s="117" t="s">
        <v>1641</v>
      </c>
      <c r="D71" s="118"/>
      <c r="E71" s="119"/>
      <c r="F71" s="124" t="s">
        <v>33</v>
      </c>
      <c r="G71" s="124"/>
      <c r="H71" s="115">
        <f>49.5-1.5-3</f>
        <v>45</v>
      </c>
      <c r="I71" s="116"/>
    </row>
    <row r="72" spans="1:9" s="17" customFormat="1" ht="12.75" customHeight="1" x14ac:dyDescent="0.2">
      <c r="A72" s="65">
        <v>63</v>
      </c>
      <c r="B72" s="60"/>
      <c r="C72" s="112" t="s">
        <v>1784</v>
      </c>
      <c r="D72" s="112"/>
      <c r="E72" s="112"/>
      <c r="F72" s="125" t="s">
        <v>59</v>
      </c>
      <c r="G72" s="125"/>
      <c r="H72" s="123">
        <f>9.4-3.2-0.5</f>
        <v>5.7</v>
      </c>
      <c r="I72" s="123"/>
    </row>
    <row r="73" spans="1:9" s="17" customFormat="1" ht="11.25" customHeight="1" x14ac:dyDescent="0.2">
      <c r="A73" s="65">
        <v>64</v>
      </c>
      <c r="B73" s="60"/>
      <c r="C73" s="120" t="s">
        <v>4776</v>
      </c>
      <c r="D73" s="120"/>
      <c r="E73" s="120"/>
      <c r="F73" s="125" t="s">
        <v>57</v>
      </c>
      <c r="G73" s="125"/>
      <c r="H73" s="123">
        <f>18-6-0.8</f>
        <v>11.2</v>
      </c>
      <c r="I73" s="123"/>
    </row>
    <row r="74" spans="1:9" s="17" customFormat="1" ht="12.75" customHeight="1" x14ac:dyDescent="0.2">
      <c r="A74" s="65">
        <v>65</v>
      </c>
      <c r="B74" s="60" t="s">
        <v>2934</v>
      </c>
      <c r="C74" s="117" t="s">
        <v>5321</v>
      </c>
      <c r="D74" s="118"/>
      <c r="E74" s="119"/>
      <c r="F74" s="113" t="s">
        <v>184</v>
      </c>
      <c r="G74" s="114"/>
      <c r="H74" s="123">
        <v>7.7</v>
      </c>
      <c r="I74" s="123"/>
    </row>
    <row r="75" spans="1:9" s="17" customFormat="1" ht="12.75" customHeight="1" x14ac:dyDescent="0.2">
      <c r="A75" s="65">
        <v>66</v>
      </c>
      <c r="B75" s="60"/>
      <c r="C75" s="112" t="s">
        <v>2097</v>
      </c>
      <c r="D75" s="112"/>
      <c r="E75" s="112"/>
      <c r="F75" s="125" t="s">
        <v>140</v>
      </c>
      <c r="G75" s="125"/>
      <c r="H75" s="123">
        <f>17.5-2.2-2.3-0.7-2.1</f>
        <v>10.200000000000001</v>
      </c>
      <c r="I75" s="123"/>
    </row>
    <row r="76" spans="1:9" s="17" customFormat="1" ht="12.75" customHeight="1" x14ac:dyDescent="0.2">
      <c r="A76" s="65">
        <v>67</v>
      </c>
      <c r="B76" s="60"/>
      <c r="C76" s="112" t="s">
        <v>1328</v>
      </c>
      <c r="D76" s="112"/>
      <c r="E76" s="112"/>
      <c r="F76" s="125" t="s">
        <v>59</v>
      </c>
      <c r="G76" s="125"/>
      <c r="H76" s="123">
        <f>17.6+3.2-0.7</f>
        <v>20.100000000000001</v>
      </c>
      <c r="I76" s="123"/>
    </row>
    <row r="77" spans="1:9" s="17" customFormat="1" ht="12.75" customHeight="1" x14ac:dyDescent="0.2">
      <c r="A77" s="65">
        <v>68</v>
      </c>
      <c r="B77" s="60"/>
      <c r="C77" s="117" t="s">
        <v>3754</v>
      </c>
      <c r="D77" s="118"/>
      <c r="E77" s="119"/>
      <c r="F77" s="124" t="s">
        <v>43</v>
      </c>
      <c r="G77" s="124"/>
      <c r="H77" s="123">
        <f>29.1-1.1-2</f>
        <v>26</v>
      </c>
      <c r="I77" s="123"/>
    </row>
    <row r="78" spans="1:9" s="17" customFormat="1" ht="12.75" customHeight="1" x14ac:dyDescent="0.2">
      <c r="A78" s="65">
        <v>69</v>
      </c>
      <c r="B78" s="60" t="s">
        <v>3539</v>
      </c>
      <c r="C78" s="117" t="s">
        <v>5237</v>
      </c>
      <c r="D78" s="118"/>
      <c r="E78" s="119"/>
      <c r="F78" s="113" t="s">
        <v>29</v>
      </c>
      <c r="G78" s="114"/>
      <c r="H78" s="115">
        <f>133.3-69+265.8</f>
        <v>330.1</v>
      </c>
      <c r="I78" s="116"/>
    </row>
    <row r="79" spans="1:9" s="17" customFormat="1" ht="12.75" customHeight="1" x14ac:dyDescent="0.2">
      <c r="A79" s="65">
        <v>70</v>
      </c>
      <c r="B79" s="60" t="s">
        <v>2876</v>
      </c>
      <c r="C79" s="112" t="s">
        <v>5205</v>
      </c>
      <c r="D79" s="112"/>
      <c r="E79" s="112"/>
      <c r="F79" s="125" t="s">
        <v>29</v>
      </c>
      <c r="G79" s="125"/>
      <c r="H79" s="123">
        <f>734.5-7.5-1.4-1.3-3.6-5.1</f>
        <v>715.6</v>
      </c>
      <c r="I79" s="123"/>
    </row>
    <row r="80" spans="1:9" s="17" customFormat="1" ht="12.75" customHeight="1" x14ac:dyDescent="0.2">
      <c r="A80" s="65">
        <v>71</v>
      </c>
      <c r="B80" s="60"/>
      <c r="C80" s="112" t="s">
        <v>5053</v>
      </c>
      <c r="D80" s="112"/>
      <c r="E80" s="112"/>
      <c r="F80" s="125" t="s">
        <v>29</v>
      </c>
      <c r="G80" s="125"/>
      <c r="H80" s="123">
        <f>9.2+4.6+1.6-1.2+0.8-1.3-1.8-7.1-1.4+0.1</f>
        <v>3.4999999999999991</v>
      </c>
      <c r="I80" s="123"/>
    </row>
    <row r="81" spans="1:9" s="17" customFormat="1" ht="12.75" customHeight="1" x14ac:dyDescent="0.2">
      <c r="A81" s="65">
        <v>72</v>
      </c>
      <c r="B81" s="60"/>
      <c r="C81" s="112" t="s">
        <v>5357</v>
      </c>
      <c r="D81" s="112"/>
      <c r="E81" s="112"/>
      <c r="F81" s="125" t="s">
        <v>29</v>
      </c>
      <c r="G81" s="125"/>
      <c r="H81" s="123">
        <f>4.5-1.6-1.3-0.8</f>
        <v>0.79999999999999982</v>
      </c>
      <c r="I81" s="123"/>
    </row>
    <row r="82" spans="1:9" s="17" customFormat="1" ht="12.75" customHeight="1" x14ac:dyDescent="0.2">
      <c r="A82" s="65">
        <v>73</v>
      </c>
      <c r="B82" s="60"/>
      <c r="C82" s="117" t="s">
        <v>1435</v>
      </c>
      <c r="D82" s="118"/>
      <c r="E82" s="119"/>
      <c r="F82" s="121" t="s">
        <v>200</v>
      </c>
      <c r="G82" s="122"/>
      <c r="H82" s="115">
        <f>3.8-1.8-1.2</f>
        <v>0.79999999999999982</v>
      </c>
      <c r="I82" s="116"/>
    </row>
    <row r="83" spans="1:9" s="17" customFormat="1" ht="12.75" customHeight="1" x14ac:dyDescent="0.2">
      <c r="A83" s="65">
        <v>74</v>
      </c>
      <c r="B83" s="60" t="s">
        <v>3666</v>
      </c>
      <c r="C83" s="112" t="s">
        <v>4787</v>
      </c>
      <c r="D83" s="112"/>
      <c r="E83" s="112"/>
      <c r="F83" s="125" t="s">
        <v>140</v>
      </c>
      <c r="G83" s="125"/>
      <c r="H83" s="123">
        <v>9.5</v>
      </c>
      <c r="I83" s="123"/>
    </row>
    <row r="84" spans="1:9" s="17" customFormat="1" ht="12.75" customHeight="1" x14ac:dyDescent="0.2">
      <c r="A84" s="65">
        <v>75</v>
      </c>
      <c r="B84" s="60" t="s">
        <v>2241</v>
      </c>
      <c r="C84" s="117" t="s">
        <v>5118</v>
      </c>
      <c r="D84" s="118"/>
      <c r="E84" s="119"/>
      <c r="F84" s="113" t="s">
        <v>76</v>
      </c>
      <c r="G84" s="114"/>
      <c r="H84" s="115">
        <v>128.69999999999999</v>
      </c>
      <c r="I84" s="116"/>
    </row>
    <row r="85" spans="1:9" s="17" customFormat="1" ht="12.75" customHeight="1" x14ac:dyDescent="0.2">
      <c r="A85" s="65">
        <v>76</v>
      </c>
      <c r="B85" s="60" t="s">
        <v>2242</v>
      </c>
      <c r="C85" s="117" t="s">
        <v>4797</v>
      </c>
      <c r="D85" s="118"/>
      <c r="E85" s="119"/>
      <c r="F85" s="113" t="s">
        <v>62</v>
      </c>
      <c r="G85" s="114"/>
      <c r="H85" s="123">
        <f>34.1-17</f>
        <v>17.100000000000001</v>
      </c>
      <c r="I85" s="123"/>
    </row>
    <row r="86" spans="1:9" s="17" customFormat="1" ht="12.75" customHeight="1" x14ac:dyDescent="0.2">
      <c r="A86" s="65">
        <v>77</v>
      </c>
      <c r="B86" s="60" t="s">
        <v>5158</v>
      </c>
      <c r="C86" s="117" t="s">
        <v>5248</v>
      </c>
      <c r="D86" s="118"/>
      <c r="E86" s="119"/>
      <c r="F86" s="113" t="s">
        <v>140</v>
      </c>
      <c r="G86" s="114"/>
      <c r="H86" s="115">
        <v>1.2</v>
      </c>
      <c r="I86" s="116"/>
    </row>
    <row r="87" spans="1:9" s="17" customFormat="1" ht="12.75" customHeight="1" x14ac:dyDescent="0.2">
      <c r="A87" s="65">
        <v>78</v>
      </c>
      <c r="B87" s="60" t="s">
        <v>3666</v>
      </c>
      <c r="C87" s="117" t="s">
        <v>4146</v>
      </c>
      <c r="D87" s="118"/>
      <c r="E87" s="119"/>
      <c r="F87" s="113" t="s">
        <v>59</v>
      </c>
      <c r="G87" s="114"/>
      <c r="H87" s="115">
        <f>22.3-12.5-5</f>
        <v>4.8000000000000007</v>
      </c>
      <c r="I87" s="116"/>
    </row>
    <row r="88" spans="1:9" s="17" customFormat="1" ht="12.75" customHeight="1" x14ac:dyDescent="0.2">
      <c r="A88" s="65">
        <v>79</v>
      </c>
      <c r="B88" s="60"/>
      <c r="C88" s="112" t="s">
        <v>433</v>
      </c>
      <c r="D88" s="112"/>
      <c r="E88" s="112"/>
      <c r="F88" s="125" t="s">
        <v>76</v>
      </c>
      <c r="G88" s="125"/>
      <c r="H88" s="123"/>
      <c r="I88" s="123"/>
    </row>
    <row r="89" spans="1:9" s="17" customFormat="1" ht="12.75" customHeight="1" x14ac:dyDescent="0.2">
      <c r="A89" s="65">
        <v>80</v>
      </c>
      <c r="B89" s="60" t="s">
        <v>2242</v>
      </c>
      <c r="C89" s="112" t="s">
        <v>4659</v>
      </c>
      <c r="D89" s="112"/>
      <c r="E89" s="112"/>
      <c r="F89" s="125" t="s">
        <v>57</v>
      </c>
      <c r="G89" s="125"/>
      <c r="H89" s="115">
        <f>41.8-1.1-0.4-8-1-2-2-0.2+8.5-1.2-0.4-1.2-0.4-8.3-8.4-2.3-2.4-11+31.2-14.5-1.5-1.5-2.2-7.8+0.3-0.8</f>
        <v>3.1999999999999895</v>
      </c>
      <c r="I89" s="116"/>
    </row>
    <row r="90" spans="1:9" s="17" customFormat="1" ht="12.75" customHeight="1" x14ac:dyDescent="0.2">
      <c r="A90" s="65">
        <v>81</v>
      </c>
      <c r="B90" s="60" t="s">
        <v>3539</v>
      </c>
      <c r="C90" s="117" t="s">
        <v>5312</v>
      </c>
      <c r="D90" s="118"/>
      <c r="E90" s="119"/>
      <c r="F90" s="121" t="s">
        <v>271</v>
      </c>
      <c r="G90" s="122"/>
      <c r="H90" s="123">
        <v>10.7</v>
      </c>
      <c r="I90" s="123"/>
    </row>
    <row r="91" spans="1:9" s="17" customFormat="1" ht="12.75" customHeight="1" x14ac:dyDescent="0.2">
      <c r="A91" s="65">
        <v>82</v>
      </c>
      <c r="B91" s="60"/>
      <c r="C91" s="112" t="s">
        <v>1607</v>
      </c>
      <c r="D91" s="112"/>
      <c r="E91" s="112"/>
      <c r="F91" s="124" t="s">
        <v>31</v>
      </c>
      <c r="G91" s="124"/>
      <c r="H91" s="115">
        <f>17.4+4-10.7-0.9-9+0.2</f>
        <v>0.99999999999999889</v>
      </c>
      <c r="I91" s="116"/>
    </row>
    <row r="92" spans="1:9" s="17" customFormat="1" ht="12.75" customHeight="1" x14ac:dyDescent="0.2">
      <c r="A92" s="65">
        <v>83</v>
      </c>
      <c r="B92" s="60"/>
      <c r="C92" s="112" t="s">
        <v>4637</v>
      </c>
      <c r="D92" s="112"/>
      <c r="E92" s="112"/>
      <c r="F92" s="124" t="s">
        <v>31</v>
      </c>
      <c r="G92" s="124"/>
      <c r="H92" s="115">
        <f>70.7-30-20.8+27.3+37-9.8-56.7-2.8-0.6-1.5-1.6-1.8</f>
        <v>9.4000000000000021</v>
      </c>
      <c r="I92" s="116"/>
    </row>
    <row r="93" spans="1:9" s="17" customFormat="1" ht="12.75" customHeight="1" x14ac:dyDescent="0.2">
      <c r="A93" s="65">
        <v>84</v>
      </c>
      <c r="B93" s="60" t="s">
        <v>2934</v>
      </c>
      <c r="C93" s="120" t="s">
        <v>5270</v>
      </c>
      <c r="D93" s="120"/>
      <c r="E93" s="120"/>
      <c r="F93" s="121" t="s">
        <v>271</v>
      </c>
      <c r="G93" s="122"/>
      <c r="H93" s="123">
        <v>133.19999999999999</v>
      </c>
      <c r="I93" s="123"/>
    </row>
    <row r="94" spans="1:9" s="17" customFormat="1" ht="12.75" customHeight="1" x14ac:dyDescent="0.2">
      <c r="A94" s="65">
        <v>85</v>
      </c>
      <c r="B94" s="60"/>
      <c r="C94" s="112" t="s">
        <v>2912</v>
      </c>
      <c r="D94" s="112"/>
      <c r="E94" s="112"/>
      <c r="F94" s="124" t="s">
        <v>33</v>
      </c>
      <c r="G94" s="124"/>
      <c r="H94" s="115">
        <v>1</v>
      </c>
      <c r="I94" s="116"/>
    </row>
    <row r="95" spans="1:9" s="17" customFormat="1" ht="12.75" customHeight="1" x14ac:dyDescent="0.2">
      <c r="A95" s="65">
        <v>86</v>
      </c>
      <c r="B95" s="60"/>
      <c r="C95" s="112" t="s">
        <v>2736</v>
      </c>
      <c r="D95" s="112"/>
      <c r="E95" s="112"/>
      <c r="F95" s="124" t="s">
        <v>45</v>
      </c>
      <c r="G95" s="124"/>
      <c r="H95" s="123">
        <f>10.2-1.4-2.8-1.7-1.5-1.6+0.1</f>
        <v>1.2999999999999989</v>
      </c>
      <c r="I95" s="123"/>
    </row>
    <row r="96" spans="1:9" s="17" customFormat="1" ht="12.75" customHeight="1" x14ac:dyDescent="0.2">
      <c r="A96" s="65">
        <v>87</v>
      </c>
      <c r="B96" s="60" t="s">
        <v>3539</v>
      </c>
      <c r="C96" s="120" t="s">
        <v>5336</v>
      </c>
      <c r="D96" s="120"/>
      <c r="E96" s="120"/>
      <c r="F96" s="124" t="s">
        <v>45</v>
      </c>
      <c r="G96" s="124"/>
      <c r="H96" s="123">
        <v>60.3</v>
      </c>
      <c r="I96" s="123"/>
    </row>
    <row r="97" spans="1:9" s="17" customFormat="1" ht="12.75" customHeight="1" x14ac:dyDescent="0.2">
      <c r="A97" s="65">
        <v>88</v>
      </c>
      <c r="B97" s="60"/>
      <c r="C97" s="117" t="s">
        <v>1513</v>
      </c>
      <c r="D97" s="118"/>
      <c r="E97" s="119"/>
      <c r="F97" s="124" t="s">
        <v>45</v>
      </c>
      <c r="G97" s="124"/>
      <c r="H97" s="123"/>
      <c r="I97" s="123"/>
    </row>
    <row r="98" spans="1:9" s="17" customFormat="1" ht="12.75" customHeight="1" x14ac:dyDescent="0.2">
      <c r="A98" s="65">
        <v>89</v>
      </c>
      <c r="B98" s="60" t="s">
        <v>2934</v>
      </c>
      <c r="C98" s="117" t="s">
        <v>5324</v>
      </c>
      <c r="D98" s="118"/>
      <c r="E98" s="119"/>
      <c r="F98" s="113" t="s">
        <v>184</v>
      </c>
      <c r="G98" s="114"/>
      <c r="H98" s="123">
        <v>6</v>
      </c>
      <c r="I98" s="123"/>
    </row>
    <row r="99" spans="1:9" s="17" customFormat="1" ht="12.75" customHeight="1" x14ac:dyDescent="0.2">
      <c r="A99" s="65">
        <v>90</v>
      </c>
      <c r="B99" s="60" t="s">
        <v>2934</v>
      </c>
      <c r="C99" s="117" t="s">
        <v>5325</v>
      </c>
      <c r="D99" s="118"/>
      <c r="E99" s="119"/>
      <c r="F99" s="113" t="s">
        <v>184</v>
      </c>
      <c r="G99" s="114"/>
      <c r="H99" s="123">
        <v>7.3</v>
      </c>
      <c r="I99" s="123"/>
    </row>
    <row r="100" spans="1:9" s="17" customFormat="1" ht="12.75" customHeight="1" x14ac:dyDescent="0.2">
      <c r="A100" s="65">
        <v>91</v>
      </c>
      <c r="B100" s="60" t="s">
        <v>2242</v>
      </c>
      <c r="C100" s="117" t="s">
        <v>5236</v>
      </c>
      <c r="D100" s="118"/>
      <c r="E100" s="119"/>
      <c r="F100" s="113" t="s">
        <v>140</v>
      </c>
      <c r="G100" s="114"/>
      <c r="H100" s="115">
        <f>110.3+131</f>
        <v>241.3</v>
      </c>
      <c r="I100" s="116"/>
    </row>
    <row r="101" spans="1:9" s="17" customFormat="1" ht="12.75" customHeight="1" x14ac:dyDescent="0.2">
      <c r="A101" s="65">
        <v>92</v>
      </c>
      <c r="B101" s="60" t="s">
        <v>2934</v>
      </c>
      <c r="C101" s="117" t="s">
        <v>5320</v>
      </c>
      <c r="D101" s="118"/>
      <c r="E101" s="119"/>
      <c r="F101" s="113" t="s">
        <v>184</v>
      </c>
      <c r="G101" s="114"/>
      <c r="H101" s="123">
        <v>4.9000000000000004</v>
      </c>
      <c r="I101" s="123"/>
    </row>
    <row r="102" spans="1:9" s="17" customFormat="1" ht="12.75" customHeight="1" x14ac:dyDescent="0.2">
      <c r="A102" s="65">
        <v>93</v>
      </c>
      <c r="B102" s="60"/>
      <c r="C102" s="117" t="s">
        <v>2512</v>
      </c>
      <c r="D102" s="118"/>
      <c r="E102" s="119"/>
      <c r="F102" s="124" t="s">
        <v>31</v>
      </c>
      <c r="G102" s="124"/>
      <c r="H102" s="115">
        <f>4.2+4.4-2.4-4.2</f>
        <v>2.0000000000000009</v>
      </c>
      <c r="I102" s="116"/>
    </row>
    <row r="103" spans="1:9" s="17" customFormat="1" ht="12.75" customHeight="1" x14ac:dyDescent="0.2">
      <c r="A103" s="65">
        <v>94</v>
      </c>
      <c r="B103" s="60" t="s">
        <v>2241</v>
      </c>
      <c r="C103" s="112" t="s">
        <v>2935</v>
      </c>
      <c r="D103" s="112"/>
      <c r="E103" s="112"/>
      <c r="F103" s="124" t="s">
        <v>31</v>
      </c>
      <c r="G103" s="124"/>
      <c r="H103" s="115">
        <v>18.2</v>
      </c>
      <c r="I103" s="116"/>
    </row>
    <row r="104" spans="1:9" s="17" customFormat="1" ht="12.75" customHeight="1" x14ac:dyDescent="0.2">
      <c r="A104" s="65">
        <v>95</v>
      </c>
      <c r="B104" s="60"/>
      <c r="C104" s="112" t="s">
        <v>4196</v>
      </c>
      <c r="D104" s="112"/>
      <c r="E104" s="112"/>
      <c r="F104" s="121" t="s">
        <v>31</v>
      </c>
      <c r="G104" s="122"/>
      <c r="H104" s="123">
        <v>0.8</v>
      </c>
      <c r="I104" s="123"/>
    </row>
    <row r="105" spans="1:9" s="17" customFormat="1" ht="11.25" customHeight="1" x14ac:dyDescent="0.2">
      <c r="A105" s="65">
        <v>96</v>
      </c>
      <c r="B105" s="60" t="s">
        <v>2242</v>
      </c>
      <c r="C105" s="120" t="s">
        <v>2515</v>
      </c>
      <c r="D105" s="120"/>
      <c r="E105" s="120"/>
      <c r="F105" s="125" t="s">
        <v>483</v>
      </c>
      <c r="G105" s="125"/>
      <c r="H105" s="123">
        <v>18.600000000000001</v>
      </c>
      <c r="I105" s="123"/>
    </row>
    <row r="106" spans="1:9" s="17" customFormat="1" ht="12.75" customHeight="1" x14ac:dyDescent="0.2">
      <c r="A106" s="65">
        <v>97</v>
      </c>
      <c r="B106" s="60"/>
      <c r="C106" s="112" t="s">
        <v>4892</v>
      </c>
      <c r="D106" s="112"/>
      <c r="E106" s="112"/>
      <c r="F106" s="124" t="s">
        <v>33</v>
      </c>
      <c r="G106" s="124"/>
      <c r="H106" s="123">
        <f>19.4-0.5+1.5-0.3-5.4</f>
        <v>14.699999999999998</v>
      </c>
      <c r="I106" s="123"/>
    </row>
    <row r="107" spans="1:9" s="17" customFormat="1" ht="11.25" customHeight="1" x14ac:dyDescent="0.2">
      <c r="A107" s="65">
        <v>98</v>
      </c>
      <c r="B107" s="60" t="s">
        <v>2241</v>
      </c>
      <c r="C107" s="117" t="s">
        <v>3712</v>
      </c>
      <c r="D107" s="118"/>
      <c r="E107" s="119"/>
      <c r="F107" s="121" t="s">
        <v>17</v>
      </c>
      <c r="G107" s="122"/>
      <c r="H107" s="123">
        <v>2.9</v>
      </c>
      <c r="I107" s="123"/>
    </row>
    <row r="108" spans="1:9" s="17" customFormat="1" ht="12.75" customHeight="1" x14ac:dyDescent="0.2">
      <c r="A108" s="65">
        <v>99</v>
      </c>
      <c r="B108" s="60"/>
      <c r="C108" s="117" t="s">
        <v>1949</v>
      </c>
      <c r="D108" s="118"/>
      <c r="E108" s="119"/>
      <c r="F108" s="121" t="s">
        <v>33</v>
      </c>
      <c r="G108" s="122"/>
      <c r="H108" s="115">
        <f>68.8-1.3-5.6</f>
        <v>61.9</v>
      </c>
      <c r="I108" s="116"/>
    </row>
    <row r="109" spans="1:9" s="17" customFormat="1" ht="12.75" customHeight="1" x14ac:dyDescent="0.2">
      <c r="A109" s="65">
        <v>100</v>
      </c>
      <c r="B109" s="60" t="s">
        <v>2876</v>
      </c>
      <c r="C109" s="112" t="s">
        <v>3537</v>
      </c>
      <c r="D109" s="112"/>
      <c r="E109" s="112"/>
      <c r="F109" s="125" t="s">
        <v>29</v>
      </c>
      <c r="G109" s="125"/>
      <c r="H109" s="123">
        <f>103.5-11.2</f>
        <v>92.3</v>
      </c>
      <c r="I109" s="123"/>
    </row>
    <row r="110" spans="1:9" s="17" customFormat="1" ht="12.75" customHeight="1" x14ac:dyDescent="0.2">
      <c r="A110" s="65">
        <v>101</v>
      </c>
      <c r="B110" s="60" t="s">
        <v>2876</v>
      </c>
      <c r="C110" s="112" t="s">
        <v>4307</v>
      </c>
      <c r="D110" s="112"/>
      <c r="E110" s="112"/>
      <c r="F110" s="125" t="s">
        <v>29</v>
      </c>
      <c r="G110" s="125"/>
      <c r="H110" s="123">
        <f>109.5-3.3-1.4-18.2</f>
        <v>86.6</v>
      </c>
      <c r="I110" s="123"/>
    </row>
    <row r="111" spans="1:9" s="17" customFormat="1" ht="12.75" customHeight="1" x14ac:dyDescent="0.2">
      <c r="A111" s="65">
        <v>102</v>
      </c>
      <c r="B111" s="60"/>
      <c r="C111" s="112" t="s">
        <v>3512</v>
      </c>
      <c r="D111" s="112"/>
      <c r="E111" s="112"/>
      <c r="F111" s="125" t="s">
        <v>29</v>
      </c>
      <c r="G111" s="125"/>
      <c r="H111" s="123">
        <f>0.9+1.6</f>
        <v>2.5</v>
      </c>
      <c r="I111" s="123"/>
    </row>
    <row r="112" spans="1:9" s="16" customFormat="1" ht="12" customHeight="1" x14ac:dyDescent="0.2">
      <c r="A112" s="65">
        <v>103</v>
      </c>
      <c r="B112" s="60"/>
      <c r="C112" s="120" t="s">
        <v>3922</v>
      </c>
      <c r="D112" s="120"/>
      <c r="E112" s="120"/>
      <c r="F112" s="125" t="s">
        <v>62</v>
      </c>
      <c r="G112" s="125"/>
      <c r="H112" s="123">
        <f>1.6+224-14-1.5-0.1-0.5-20-6.5-14.3+1.6-2.2-4.3-1.8-1.6-1.8-3.3-1.5-0.7-2.8-42.2-2.2-17.4-28</f>
        <v>60.499999999999943</v>
      </c>
      <c r="I112" s="123"/>
    </row>
    <row r="113" spans="1:9" s="16" customFormat="1" ht="12" customHeight="1" x14ac:dyDescent="0.2">
      <c r="A113" s="65">
        <v>104</v>
      </c>
      <c r="B113" s="60"/>
      <c r="C113" s="120" t="s">
        <v>5041</v>
      </c>
      <c r="D113" s="120"/>
      <c r="E113" s="120"/>
      <c r="F113" s="125" t="s">
        <v>59</v>
      </c>
      <c r="G113" s="125"/>
      <c r="H113" s="123">
        <f>257.2-4.3-4.1-8.2-8.2-8.2-10.3-4.1-8.2-8.2-90-8.2-8.2-12.3-0.8+12.3-6.2-6.2+0.1-20.5-8.2-8.2</f>
        <v>37.000000000000014</v>
      </c>
      <c r="I113" s="123"/>
    </row>
    <row r="114" spans="1:9" s="17" customFormat="1" x14ac:dyDescent="0.2">
      <c r="A114" s="65">
        <v>105</v>
      </c>
      <c r="B114" s="60"/>
      <c r="C114" s="112" t="s">
        <v>4954</v>
      </c>
      <c r="D114" s="112"/>
      <c r="E114" s="112"/>
      <c r="F114" s="124" t="s">
        <v>17</v>
      </c>
      <c r="G114" s="124"/>
      <c r="H114" s="123">
        <f>52.5+57.2+46.5-0.7-7.5-0.8-4.5-1.5-30.7-0.7-65-22.4-0.8-4.5-0.7-0.7-1+43.2-37-1.8-4.7</f>
        <v>14.399999999999991</v>
      </c>
      <c r="I114" s="123"/>
    </row>
    <row r="115" spans="1:9" s="17" customFormat="1" ht="12.75" customHeight="1" x14ac:dyDescent="0.2">
      <c r="A115" s="65">
        <v>106</v>
      </c>
      <c r="B115" s="60"/>
      <c r="C115" s="112" t="s">
        <v>4955</v>
      </c>
      <c r="D115" s="112"/>
      <c r="E115" s="112"/>
      <c r="F115" s="121" t="s">
        <v>31</v>
      </c>
      <c r="G115" s="122"/>
      <c r="H115" s="123">
        <v>31.8</v>
      </c>
      <c r="I115" s="123"/>
    </row>
    <row r="116" spans="1:9" s="17" customFormat="1" ht="12.75" customHeight="1" x14ac:dyDescent="0.2">
      <c r="A116" s="65">
        <v>107</v>
      </c>
      <c r="B116" s="60"/>
      <c r="C116" s="112" t="s">
        <v>5206</v>
      </c>
      <c r="D116" s="112"/>
      <c r="E116" s="112"/>
      <c r="F116" s="124" t="s">
        <v>56</v>
      </c>
      <c r="G116" s="124"/>
      <c r="H116" s="123">
        <f>2.1-1</f>
        <v>1.1000000000000001</v>
      </c>
      <c r="I116" s="123"/>
    </row>
    <row r="117" spans="1:9" s="17" customFormat="1" ht="12.75" customHeight="1" x14ac:dyDescent="0.2">
      <c r="A117" s="65">
        <v>108</v>
      </c>
      <c r="B117" s="60"/>
      <c r="C117" s="112" t="s">
        <v>2702</v>
      </c>
      <c r="D117" s="112"/>
      <c r="E117" s="112"/>
      <c r="F117" s="125" t="s">
        <v>76</v>
      </c>
      <c r="G117" s="125"/>
      <c r="H117" s="123">
        <f>16.6+2.2+1.4-2.2-1.8+2+18.3-8.5+1+1.8-17-1+2.4-2.4-3-1.4-5.3+1.2-1.2-1.7+0.1</f>
        <v>1.5000000000000007</v>
      </c>
      <c r="I117" s="123"/>
    </row>
    <row r="118" spans="1:9" s="17" customFormat="1" ht="12.75" customHeight="1" x14ac:dyDescent="0.2">
      <c r="A118" s="65">
        <v>109</v>
      </c>
      <c r="B118" s="60"/>
      <c r="C118" s="117" t="s">
        <v>2276</v>
      </c>
      <c r="D118" s="118"/>
      <c r="E118" s="119"/>
      <c r="F118" s="121" t="s">
        <v>71</v>
      </c>
      <c r="G118" s="122"/>
      <c r="H118" s="115">
        <f>995+11-1-15-51-2.6-2.6-25</f>
        <v>908.8</v>
      </c>
      <c r="I118" s="116"/>
    </row>
    <row r="119" spans="1:9" s="17" customFormat="1" ht="12.75" customHeight="1" x14ac:dyDescent="0.2">
      <c r="A119" s="65">
        <v>110</v>
      </c>
      <c r="B119" s="60"/>
      <c r="C119" s="112" t="s">
        <v>4583</v>
      </c>
      <c r="D119" s="112"/>
      <c r="E119" s="112"/>
      <c r="F119" s="113" t="s">
        <v>29</v>
      </c>
      <c r="G119" s="114"/>
      <c r="H119" s="123">
        <f>261.3-2.5-2.6-2.5-3-3-2.4-5.7-2.5-6.2-2.6-4.3-6.7-2.6+1.5-2.4-3.7-19.4-4-2.5-10-1-2.5-1.5-8.8-2.8-4.1</f>
        <v>153.5</v>
      </c>
      <c r="I119" s="123"/>
    </row>
    <row r="120" spans="1:9" s="17" customFormat="1" ht="12.75" customHeight="1" x14ac:dyDescent="0.2">
      <c r="A120" s="65">
        <v>111</v>
      </c>
      <c r="B120" s="60" t="s">
        <v>3539</v>
      </c>
      <c r="C120" s="117" t="s">
        <v>5240</v>
      </c>
      <c r="D120" s="118"/>
      <c r="E120" s="119"/>
      <c r="F120" s="113" t="s">
        <v>140</v>
      </c>
      <c r="G120" s="114"/>
      <c r="H120" s="115">
        <v>208.8</v>
      </c>
      <c r="I120" s="116"/>
    </row>
    <row r="121" spans="1:9" s="17" customFormat="1" ht="12.75" customHeight="1" x14ac:dyDescent="0.2">
      <c r="A121" s="65">
        <v>112</v>
      </c>
      <c r="B121" s="60"/>
      <c r="C121" s="112" t="s">
        <v>5081</v>
      </c>
      <c r="D121" s="112"/>
      <c r="E121" s="112"/>
      <c r="F121" s="113" t="s">
        <v>59</v>
      </c>
      <c r="G121" s="114"/>
      <c r="H121" s="123">
        <f>374.5-19.5-19.5-26-1-2-1.6-1-1-3-6.8-6.5-3-19.5-5.7-6.4-1-6.5-1-6.5-6.5-1-2-1-6.5-14.8-19.4-33-6.5-6.7-17.5-1-6.7-2.6-26.2</f>
        <v>85.599999999999966</v>
      </c>
      <c r="I121" s="123"/>
    </row>
    <row r="122" spans="1:9" s="17" customFormat="1" ht="12.75" customHeight="1" x14ac:dyDescent="0.2">
      <c r="A122" s="65">
        <v>113</v>
      </c>
      <c r="B122" s="60" t="s">
        <v>2934</v>
      </c>
      <c r="C122" s="117" t="s">
        <v>4922</v>
      </c>
      <c r="D122" s="118"/>
      <c r="E122" s="119"/>
      <c r="F122" s="113" t="s">
        <v>62</v>
      </c>
      <c r="G122" s="114"/>
      <c r="H122" s="123">
        <f>43.7-6.5-1.2</f>
        <v>36</v>
      </c>
      <c r="I122" s="123"/>
    </row>
    <row r="123" spans="1:9" s="17" customFormat="1" ht="12.75" customHeight="1" x14ac:dyDescent="0.2">
      <c r="A123" s="65">
        <v>114</v>
      </c>
      <c r="B123" s="60" t="s">
        <v>2934</v>
      </c>
      <c r="C123" s="112" t="s">
        <v>5207</v>
      </c>
      <c r="D123" s="112"/>
      <c r="E123" s="112"/>
      <c r="F123" s="121" t="s">
        <v>45</v>
      </c>
      <c r="G123" s="122"/>
      <c r="H123" s="123">
        <f>122.1-19-2.5+91.5-0.3-1.3-1.3-11-2.8-12-1.2-3.6-5.6-1.2-3.3-3.8-1-3.6-5.3-1-3.6-12-11.2-3-2.8-0.2-1.2-7-3.8-3-6.4-8.6+1.7-1.7-3.5-7.7-2.5-13-2.4-13.1-6.5-1.8</f>
        <v>20.499999999999954</v>
      </c>
      <c r="I123" s="123"/>
    </row>
    <row r="124" spans="1:9" s="17" customFormat="1" ht="12.75" customHeight="1" x14ac:dyDescent="0.2">
      <c r="A124" s="65">
        <v>115</v>
      </c>
      <c r="B124" s="60" t="s">
        <v>2934</v>
      </c>
      <c r="C124" s="112" t="s">
        <v>4796</v>
      </c>
      <c r="D124" s="112"/>
      <c r="E124" s="112"/>
      <c r="F124" s="121" t="s">
        <v>45</v>
      </c>
      <c r="G124" s="122"/>
      <c r="H124" s="123">
        <v>71.3</v>
      </c>
      <c r="I124" s="123"/>
    </row>
    <row r="125" spans="1:9" s="17" customFormat="1" ht="12.75" customHeight="1" x14ac:dyDescent="0.2">
      <c r="A125" s="65">
        <v>116</v>
      </c>
      <c r="B125" s="60"/>
      <c r="C125" s="120" t="s">
        <v>4217</v>
      </c>
      <c r="D125" s="120"/>
      <c r="E125" s="120"/>
      <c r="F125" s="113" t="s">
        <v>62</v>
      </c>
      <c r="G125" s="114"/>
      <c r="H125" s="123">
        <v>1</v>
      </c>
      <c r="I125" s="123"/>
    </row>
    <row r="126" spans="1:9" s="17" customFormat="1" ht="12.75" customHeight="1" x14ac:dyDescent="0.2">
      <c r="A126" s="65">
        <v>117</v>
      </c>
      <c r="B126" s="60"/>
      <c r="C126" s="120" t="s">
        <v>3977</v>
      </c>
      <c r="D126" s="120"/>
      <c r="E126" s="120"/>
      <c r="F126" s="113" t="s">
        <v>62</v>
      </c>
      <c r="G126" s="114"/>
      <c r="H126" s="123">
        <v>1.5</v>
      </c>
      <c r="I126" s="123"/>
    </row>
    <row r="127" spans="1:9" s="17" customFormat="1" ht="12.75" customHeight="1" x14ac:dyDescent="0.2">
      <c r="A127" s="65">
        <v>118</v>
      </c>
      <c r="B127" s="60"/>
      <c r="C127" s="120" t="s">
        <v>4322</v>
      </c>
      <c r="D127" s="120"/>
      <c r="E127" s="120"/>
      <c r="F127" s="121" t="s">
        <v>31</v>
      </c>
      <c r="G127" s="122"/>
      <c r="H127" s="123">
        <f>1.6+1.6</f>
        <v>3.2</v>
      </c>
      <c r="I127" s="123"/>
    </row>
    <row r="128" spans="1:9" s="17" customFormat="1" ht="12.75" customHeight="1" x14ac:dyDescent="0.2">
      <c r="A128" s="65">
        <v>119</v>
      </c>
      <c r="B128" s="60"/>
      <c r="C128" s="112" t="s">
        <v>1282</v>
      </c>
      <c r="D128" s="112"/>
      <c r="E128" s="112"/>
      <c r="F128" s="113" t="s">
        <v>76</v>
      </c>
      <c r="G128" s="114"/>
      <c r="H128" s="123"/>
      <c r="I128" s="123"/>
    </row>
    <row r="129" spans="1:9" s="16" customFormat="1" ht="12" customHeight="1" x14ac:dyDescent="0.2">
      <c r="A129" s="65">
        <v>120</v>
      </c>
      <c r="B129" s="60"/>
      <c r="C129" s="112" t="s">
        <v>543</v>
      </c>
      <c r="D129" s="112"/>
      <c r="E129" s="112"/>
      <c r="F129" s="113" t="s">
        <v>59</v>
      </c>
      <c r="G129" s="114"/>
      <c r="H129" s="123">
        <f>54.1-2.5+48-1.2-1.3+3.8-0.5-0.5-1.4-1.1+8-2.8-0.5-1.2-1.4-1.2-1-1.5-0.5-1.2-8.7-23-1.4-8.5-1.4-5-1.1-1.4-1.4-1.1-13-13</f>
        <v>15.09999999999998</v>
      </c>
      <c r="I129" s="123"/>
    </row>
    <row r="130" spans="1:9" s="17" customFormat="1" ht="12.75" customHeight="1" x14ac:dyDescent="0.2">
      <c r="A130" s="65">
        <v>121</v>
      </c>
      <c r="B130" s="60"/>
      <c r="C130" s="117" t="s">
        <v>3092</v>
      </c>
      <c r="D130" s="118"/>
      <c r="E130" s="119"/>
      <c r="F130" s="121" t="s">
        <v>33</v>
      </c>
      <c r="G130" s="122"/>
      <c r="H130" s="115">
        <f>17.2-10-1.5-0.9+16+15.7-1-1.2-5.1</f>
        <v>29.199999999999996</v>
      </c>
      <c r="I130" s="116"/>
    </row>
    <row r="131" spans="1:9" s="17" customFormat="1" ht="12.75" customHeight="1" x14ac:dyDescent="0.2">
      <c r="A131" s="65">
        <v>122</v>
      </c>
      <c r="B131" s="60"/>
      <c r="C131" s="117" t="s">
        <v>1608</v>
      </c>
      <c r="D131" s="118"/>
      <c r="E131" s="119"/>
      <c r="F131" s="121" t="s">
        <v>31</v>
      </c>
      <c r="G131" s="122"/>
      <c r="H131" s="115">
        <f>10.6+35.3+5.4</f>
        <v>51.3</v>
      </c>
      <c r="I131" s="116"/>
    </row>
    <row r="132" spans="1:9" s="16" customFormat="1" ht="23.25" customHeight="1" x14ac:dyDescent="0.2">
      <c r="A132" s="65">
        <v>123</v>
      </c>
      <c r="B132" s="60"/>
      <c r="C132" s="112" t="s">
        <v>5169</v>
      </c>
      <c r="D132" s="112"/>
      <c r="E132" s="112"/>
      <c r="F132" s="113" t="s">
        <v>706</v>
      </c>
      <c r="G132" s="114"/>
      <c r="H132" s="123">
        <f>1.4+0.8+6.4+3.7-0.8-2.3+1.5-1.9+1.4+1.5</f>
        <v>11.7</v>
      </c>
      <c r="I132" s="123"/>
    </row>
    <row r="133" spans="1:9" s="16" customFormat="1" ht="12" customHeight="1" x14ac:dyDescent="0.2">
      <c r="A133" s="65">
        <v>124</v>
      </c>
      <c r="B133" s="60" t="s">
        <v>2876</v>
      </c>
      <c r="C133" s="112" t="s">
        <v>1307</v>
      </c>
      <c r="D133" s="112"/>
      <c r="E133" s="112"/>
      <c r="F133" s="113" t="s">
        <v>59</v>
      </c>
      <c r="G133" s="114"/>
      <c r="H133" s="123">
        <f>96-4-3.8-3.8-15.5-11.5</f>
        <v>57.400000000000006</v>
      </c>
      <c r="I133" s="123"/>
    </row>
    <row r="134" spans="1:9" s="17" customFormat="1" ht="12.75" customHeight="1" x14ac:dyDescent="0.2">
      <c r="A134" s="65">
        <v>125</v>
      </c>
      <c r="B134" s="60" t="s">
        <v>3539</v>
      </c>
      <c r="C134" s="120" t="s">
        <v>5288</v>
      </c>
      <c r="D134" s="126"/>
      <c r="E134" s="127"/>
      <c r="F134" s="113" t="s">
        <v>57</v>
      </c>
      <c r="G134" s="114"/>
      <c r="H134" s="123">
        <f>54.5+18.1</f>
        <v>72.599999999999994</v>
      </c>
      <c r="I134" s="123"/>
    </row>
    <row r="135" spans="1:9" s="16" customFormat="1" ht="12" customHeight="1" x14ac:dyDescent="0.2">
      <c r="A135" s="65">
        <v>126</v>
      </c>
      <c r="B135" s="60"/>
      <c r="C135" s="112" t="s">
        <v>2569</v>
      </c>
      <c r="D135" s="112"/>
      <c r="E135" s="112"/>
      <c r="F135" s="113" t="s">
        <v>59</v>
      </c>
      <c r="G135" s="114"/>
      <c r="H135" s="123">
        <f>86.6-19.4-6.2-2.5+92-19-7-6.5-4-13.7+23.7-0.6-2.2-8-1.8-1.4-20.2-0.7-12.6-0.6-13.5-8-12.3-15.5+39-9.5-5.5-11.3-14.8-14-1.2+1.3</f>
        <v>10.600000000000012</v>
      </c>
      <c r="I135" s="123"/>
    </row>
    <row r="136" spans="1:9" s="16" customFormat="1" ht="12" customHeight="1" x14ac:dyDescent="0.2">
      <c r="A136" s="65">
        <v>127</v>
      </c>
      <c r="B136" s="60"/>
      <c r="C136" s="112" t="s">
        <v>2895</v>
      </c>
      <c r="D136" s="112"/>
      <c r="E136" s="112"/>
      <c r="F136" s="113" t="s">
        <v>57</v>
      </c>
      <c r="G136" s="114"/>
      <c r="H136" s="123">
        <f>39.5-7.4+5.8-12.3+20.8+25.5+16-3.4-0.3-13-1.8-19.2+13-5.6-3-3.5-1.6-2.1-4-0.7-6.6-1.7</f>
        <v>34.399999999999991</v>
      </c>
      <c r="I136" s="123"/>
    </row>
    <row r="137" spans="1:9" s="17" customFormat="1" ht="12.75" customHeight="1" x14ac:dyDescent="0.2">
      <c r="A137" s="65">
        <v>128</v>
      </c>
      <c r="B137" s="60"/>
      <c r="C137" s="117" t="s">
        <v>2388</v>
      </c>
      <c r="D137" s="118"/>
      <c r="E137" s="119"/>
      <c r="F137" s="121" t="s">
        <v>33</v>
      </c>
      <c r="G137" s="122"/>
      <c r="H137" s="115">
        <f>7.2+32.6-4.1</f>
        <v>35.700000000000003</v>
      </c>
      <c r="I137" s="116"/>
    </row>
    <row r="138" spans="1:9" s="16" customFormat="1" ht="12" customHeight="1" x14ac:dyDescent="0.2">
      <c r="A138" s="65">
        <v>129</v>
      </c>
      <c r="B138" s="60"/>
      <c r="C138" s="112" t="s">
        <v>4591</v>
      </c>
      <c r="D138" s="112"/>
      <c r="E138" s="112"/>
      <c r="F138" s="121" t="s">
        <v>17</v>
      </c>
      <c r="G138" s="122"/>
      <c r="H138" s="123">
        <f>85.7-4.5-19.7+30+42.2-1.3+13.3+20.9-18.6-13.8-6-12.5-13.3-8-2.6-39</f>
        <v>52.8</v>
      </c>
      <c r="I138" s="123"/>
    </row>
    <row r="139" spans="1:9" s="17" customFormat="1" ht="12.75" customHeight="1" x14ac:dyDescent="0.2">
      <c r="A139" s="65">
        <v>130</v>
      </c>
      <c r="B139" s="60"/>
      <c r="C139" s="112" t="s">
        <v>1236</v>
      </c>
      <c r="D139" s="112"/>
      <c r="E139" s="112"/>
      <c r="F139" s="121" t="s">
        <v>354</v>
      </c>
      <c r="G139" s="122"/>
      <c r="H139" s="123">
        <v>43.5</v>
      </c>
      <c r="I139" s="123"/>
    </row>
    <row r="140" spans="1:9" s="17" customFormat="1" ht="12.75" customHeight="1" x14ac:dyDescent="0.2">
      <c r="A140" s="65">
        <v>131</v>
      </c>
      <c r="B140" s="60"/>
      <c r="C140" s="112" t="s">
        <v>4590</v>
      </c>
      <c r="D140" s="112"/>
      <c r="E140" s="112"/>
      <c r="F140" s="121" t="s">
        <v>354</v>
      </c>
      <c r="G140" s="122"/>
      <c r="H140" s="123">
        <f>77.3+34.8+25.5-13-20-2.5+15-46.7</f>
        <v>70.399999999999991</v>
      </c>
      <c r="I140" s="123"/>
    </row>
    <row r="141" spans="1:9" s="17" customFormat="1" ht="12.75" customHeight="1" x14ac:dyDescent="0.2">
      <c r="A141" s="65">
        <v>132</v>
      </c>
      <c r="B141" s="60" t="s">
        <v>2241</v>
      </c>
      <c r="C141" s="112" t="s">
        <v>5330</v>
      </c>
      <c r="D141" s="112"/>
      <c r="E141" s="112"/>
      <c r="F141" s="121" t="s">
        <v>354</v>
      </c>
      <c r="G141" s="122"/>
      <c r="H141" s="123">
        <v>4</v>
      </c>
      <c r="I141" s="123"/>
    </row>
    <row r="142" spans="1:9" s="17" customFormat="1" ht="12.75" customHeight="1" x14ac:dyDescent="0.2">
      <c r="A142" s="65">
        <v>133</v>
      </c>
      <c r="B142" s="60" t="s">
        <v>3539</v>
      </c>
      <c r="C142" s="120" t="s">
        <v>5282</v>
      </c>
      <c r="D142" s="120"/>
      <c r="E142" s="120"/>
      <c r="F142" s="121" t="s">
        <v>271</v>
      </c>
      <c r="G142" s="122"/>
      <c r="H142" s="123">
        <v>8.5</v>
      </c>
      <c r="I142" s="123"/>
    </row>
    <row r="143" spans="1:9" s="17" customFormat="1" ht="12.75" customHeight="1" x14ac:dyDescent="0.2">
      <c r="A143" s="65">
        <v>134</v>
      </c>
      <c r="B143" s="60"/>
      <c r="C143" s="112" t="s">
        <v>434</v>
      </c>
      <c r="D143" s="112"/>
      <c r="E143" s="112"/>
      <c r="F143" s="113" t="s">
        <v>59</v>
      </c>
      <c r="G143" s="114"/>
      <c r="H143" s="123"/>
      <c r="I143" s="123"/>
    </row>
    <row r="144" spans="1:9" s="17" customFormat="1" ht="12.75" customHeight="1" x14ac:dyDescent="0.2">
      <c r="A144" s="65">
        <v>135</v>
      </c>
      <c r="B144" s="60" t="s">
        <v>2241</v>
      </c>
      <c r="C144" s="117" t="s">
        <v>5112</v>
      </c>
      <c r="D144" s="118"/>
      <c r="E144" s="119"/>
      <c r="F144" s="113" t="s">
        <v>76</v>
      </c>
      <c r="G144" s="114"/>
      <c r="H144" s="123">
        <f>18.7-6.5-5.7+2.4-3</f>
        <v>5.8999999999999986</v>
      </c>
      <c r="I144" s="123"/>
    </row>
    <row r="145" spans="1:9" s="17" customFormat="1" ht="12.75" customHeight="1" x14ac:dyDescent="0.2">
      <c r="A145" s="65">
        <v>136</v>
      </c>
      <c r="B145" s="60" t="s">
        <v>2241</v>
      </c>
      <c r="C145" s="117" t="s">
        <v>5241</v>
      </c>
      <c r="D145" s="118"/>
      <c r="E145" s="119"/>
      <c r="F145" s="113" t="s">
        <v>76</v>
      </c>
      <c r="G145" s="114"/>
      <c r="H145" s="115">
        <v>16.100000000000001</v>
      </c>
      <c r="I145" s="116"/>
    </row>
    <row r="146" spans="1:9" s="17" customFormat="1" ht="12.75" customHeight="1" x14ac:dyDescent="0.2">
      <c r="A146" s="65">
        <v>137</v>
      </c>
      <c r="B146" s="60"/>
      <c r="C146" s="117" t="s">
        <v>5126</v>
      </c>
      <c r="D146" s="118"/>
      <c r="E146" s="119"/>
      <c r="F146" s="113" t="s">
        <v>29</v>
      </c>
      <c r="G146" s="114"/>
      <c r="H146" s="115">
        <f>1.4+7.7+1+3+1.5-2.4-2.1+2-1.1-1.3+1.6-2.2-2-1.6</f>
        <v>5.4999999999999982</v>
      </c>
      <c r="I146" s="116"/>
    </row>
    <row r="147" spans="1:9" s="17" customFormat="1" ht="11.25" customHeight="1" x14ac:dyDescent="0.2">
      <c r="A147" s="65">
        <v>138</v>
      </c>
      <c r="B147" s="60"/>
      <c r="C147" s="120" t="s">
        <v>4565</v>
      </c>
      <c r="D147" s="126"/>
      <c r="E147" s="127"/>
      <c r="F147" s="113" t="s">
        <v>76</v>
      </c>
      <c r="G147" s="114"/>
      <c r="H147" s="123">
        <f>4.3-1.1</f>
        <v>3.1999999999999997</v>
      </c>
      <c r="I147" s="116"/>
    </row>
    <row r="148" spans="1:9" s="17" customFormat="1" ht="12.75" customHeight="1" x14ac:dyDescent="0.2">
      <c r="A148" s="65">
        <v>139</v>
      </c>
      <c r="B148" s="60" t="s">
        <v>5158</v>
      </c>
      <c r="C148" s="112" t="s">
        <v>5168</v>
      </c>
      <c r="D148" s="112"/>
      <c r="E148" s="112"/>
      <c r="F148" s="113" t="s">
        <v>76</v>
      </c>
      <c r="G148" s="114"/>
      <c r="H148" s="115">
        <v>3.3</v>
      </c>
      <c r="I148" s="116"/>
    </row>
    <row r="149" spans="1:9" s="17" customFormat="1" ht="12.75" customHeight="1" x14ac:dyDescent="0.2">
      <c r="A149" s="65">
        <v>140</v>
      </c>
      <c r="B149" s="60" t="s">
        <v>2934</v>
      </c>
      <c r="C149" s="112" t="s">
        <v>5315</v>
      </c>
      <c r="D149" s="112"/>
      <c r="E149" s="112"/>
      <c r="F149" s="113" t="s">
        <v>57</v>
      </c>
      <c r="G149" s="114"/>
      <c r="H149" s="123">
        <v>18.8</v>
      </c>
      <c r="I149" s="123"/>
    </row>
    <row r="150" spans="1:9" s="16" customFormat="1" ht="12" customHeight="1" x14ac:dyDescent="0.2">
      <c r="A150" s="65">
        <v>141</v>
      </c>
      <c r="B150" s="60"/>
      <c r="C150" s="112" t="s">
        <v>4290</v>
      </c>
      <c r="D150" s="112"/>
      <c r="E150" s="112"/>
      <c r="F150" s="113" t="s">
        <v>184</v>
      </c>
      <c r="G150" s="114"/>
      <c r="H150" s="123">
        <f>49.5+2.9-4.4-2.6-1.5-4.7-2.5-14.5-2.3-5-3.7-5+1+3.5+3-2</f>
        <v>11.699999999999996</v>
      </c>
      <c r="I150" s="123"/>
    </row>
    <row r="151" spans="1:9" s="17" customFormat="1" ht="12.75" customHeight="1" x14ac:dyDescent="0.2">
      <c r="A151" s="65">
        <v>142</v>
      </c>
      <c r="B151" s="60"/>
      <c r="C151" s="112" t="s">
        <v>3240</v>
      </c>
      <c r="D151" s="112"/>
      <c r="E151" s="112"/>
      <c r="F151" s="121" t="s">
        <v>345</v>
      </c>
      <c r="G151" s="122"/>
      <c r="H151" s="123">
        <f>48.6+16.4-0.9-13.6+2.8+8.8-1-1.4+10+23.5-2.8-0.8-33.6-1.7-0.9+28.3-37.4-1.4-19.4-2.2-5</f>
        <v>16.299999999999994</v>
      </c>
      <c r="I151" s="123"/>
    </row>
    <row r="152" spans="1:9" s="17" customFormat="1" ht="12.75" customHeight="1" x14ac:dyDescent="0.2">
      <c r="A152" s="65">
        <v>143</v>
      </c>
      <c r="B152" s="60"/>
      <c r="C152" s="112" t="s">
        <v>2091</v>
      </c>
      <c r="D152" s="112"/>
      <c r="E152" s="112"/>
      <c r="F152" s="121" t="s">
        <v>291</v>
      </c>
      <c r="G152" s="122"/>
      <c r="H152" s="123">
        <f>42.4-5.1+6.7-0.9</f>
        <v>43.1</v>
      </c>
      <c r="I152" s="123"/>
    </row>
    <row r="153" spans="1:9" s="17" customFormat="1" ht="12.75" customHeight="1" x14ac:dyDescent="0.2">
      <c r="A153" s="65">
        <v>144</v>
      </c>
      <c r="B153" s="60"/>
      <c r="C153" s="112" t="s">
        <v>4688</v>
      </c>
      <c r="D153" s="112"/>
      <c r="E153" s="112"/>
      <c r="F153" s="121" t="s">
        <v>291</v>
      </c>
      <c r="G153" s="122"/>
      <c r="H153" s="123">
        <f>172.5-43.3+20.8+42.7-44-2.4+5-120.8-5-2.5-16.5-0.9-1.2-2.5</f>
        <v>1.8999999999999853</v>
      </c>
      <c r="I153" s="123"/>
    </row>
    <row r="154" spans="1:9" s="17" customFormat="1" ht="12.75" customHeight="1" x14ac:dyDescent="0.2">
      <c r="A154" s="65">
        <v>145</v>
      </c>
      <c r="B154" s="60" t="s">
        <v>2934</v>
      </c>
      <c r="C154" s="112" t="s">
        <v>5167</v>
      </c>
      <c r="D154" s="112"/>
      <c r="E154" s="112"/>
      <c r="F154" s="113" t="s">
        <v>76</v>
      </c>
      <c r="G154" s="114"/>
      <c r="H154" s="115">
        <v>45.8</v>
      </c>
      <c r="I154" s="116"/>
    </row>
    <row r="155" spans="1:9" s="17" customFormat="1" ht="12.75" customHeight="1" x14ac:dyDescent="0.2">
      <c r="A155" s="65">
        <v>146</v>
      </c>
      <c r="B155" s="60" t="s">
        <v>2242</v>
      </c>
      <c r="C155" s="112" t="s">
        <v>4265</v>
      </c>
      <c r="D155" s="112"/>
      <c r="E155" s="112"/>
      <c r="F155" s="125" t="s">
        <v>29</v>
      </c>
      <c r="G155" s="125"/>
      <c r="H155" s="123">
        <f>5.4-2.8</f>
        <v>2.6000000000000005</v>
      </c>
      <c r="I155" s="123"/>
    </row>
    <row r="156" spans="1:9" s="17" customFormat="1" ht="12.75" customHeight="1" x14ac:dyDescent="0.2">
      <c r="A156" s="65">
        <v>147</v>
      </c>
      <c r="B156" s="60"/>
      <c r="C156" s="112" t="s">
        <v>3072</v>
      </c>
      <c r="D156" s="112"/>
      <c r="E156" s="112"/>
      <c r="F156" s="113" t="s">
        <v>62</v>
      </c>
      <c r="G156" s="114"/>
      <c r="H156" s="123">
        <f>16.6+11.5</f>
        <v>28.1</v>
      </c>
      <c r="I156" s="123"/>
    </row>
    <row r="157" spans="1:9" s="17" customFormat="1" ht="11.25" x14ac:dyDescent="0.2">
      <c r="A157" s="65">
        <v>148</v>
      </c>
      <c r="B157" s="60"/>
      <c r="C157" s="117" t="s">
        <v>2578</v>
      </c>
      <c r="D157" s="118"/>
      <c r="E157" s="119"/>
      <c r="F157" s="113" t="s">
        <v>29</v>
      </c>
      <c r="G157" s="114"/>
      <c r="H157" s="115">
        <f>2.3+4.7+1.1+4.6-2.3-2-0.3+4.4-0.2</f>
        <v>12.299999999999999</v>
      </c>
      <c r="I157" s="116"/>
    </row>
    <row r="158" spans="1:9" s="17" customFormat="1" ht="11.25" customHeight="1" x14ac:dyDescent="0.2">
      <c r="A158" s="65">
        <v>149</v>
      </c>
      <c r="B158" s="60"/>
      <c r="C158" s="120" t="s">
        <v>3497</v>
      </c>
      <c r="D158" s="126"/>
      <c r="E158" s="127"/>
      <c r="F158" s="113" t="s">
        <v>76</v>
      </c>
      <c r="G158" s="114"/>
      <c r="H158" s="123">
        <v>2.5</v>
      </c>
      <c r="I158" s="116"/>
    </row>
    <row r="159" spans="1:9" s="17" customFormat="1" ht="12.75" customHeight="1" x14ac:dyDescent="0.2">
      <c r="A159" s="65">
        <v>150</v>
      </c>
      <c r="B159" s="60" t="s">
        <v>2241</v>
      </c>
      <c r="C159" s="112" t="s">
        <v>5243</v>
      </c>
      <c r="D159" s="112"/>
      <c r="E159" s="112"/>
      <c r="F159" s="113" t="s">
        <v>76</v>
      </c>
      <c r="G159" s="114"/>
      <c r="H159" s="115">
        <v>24.7</v>
      </c>
      <c r="I159" s="116"/>
    </row>
    <row r="160" spans="1:9" s="17" customFormat="1" ht="12.75" customHeight="1" x14ac:dyDescent="0.2">
      <c r="A160" s="65">
        <v>151</v>
      </c>
      <c r="B160" s="60"/>
      <c r="C160" s="112" t="s">
        <v>4484</v>
      </c>
      <c r="D160" s="112"/>
      <c r="E160" s="112"/>
      <c r="F160" s="125" t="s">
        <v>140</v>
      </c>
      <c r="G160" s="125"/>
      <c r="H160" s="123">
        <f>32.1-27+0.2</f>
        <v>5.3000000000000016</v>
      </c>
      <c r="I160" s="123"/>
    </row>
    <row r="161" spans="1:9" s="17" customFormat="1" ht="12.75" customHeight="1" x14ac:dyDescent="0.2">
      <c r="A161" s="65">
        <v>152</v>
      </c>
      <c r="B161" s="60"/>
      <c r="C161" s="112" t="s">
        <v>2351</v>
      </c>
      <c r="D161" s="112"/>
      <c r="E161" s="112"/>
      <c r="F161" s="113" t="s">
        <v>59</v>
      </c>
      <c r="G161" s="114"/>
      <c r="H161" s="123">
        <f>1.3+18-13.5-1.3-1.8</f>
        <v>2.7000000000000011</v>
      </c>
      <c r="I161" s="123"/>
    </row>
    <row r="162" spans="1:9" s="17" customFormat="1" ht="12.75" customHeight="1" x14ac:dyDescent="0.2">
      <c r="A162" s="65">
        <v>153</v>
      </c>
      <c r="B162" s="60"/>
      <c r="C162" s="112" t="s">
        <v>2564</v>
      </c>
      <c r="D162" s="112"/>
      <c r="E162" s="112"/>
      <c r="F162" s="121" t="s">
        <v>291</v>
      </c>
      <c r="G162" s="122"/>
      <c r="H162" s="123">
        <f>105-5-45-7-5-0.2-1.1</f>
        <v>41.699999999999996</v>
      </c>
      <c r="I162" s="123"/>
    </row>
    <row r="163" spans="1:9" s="17" customFormat="1" ht="12.75" customHeight="1" x14ac:dyDescent="0.2">
      <c r="A163" s="65">
        <v>154</v>
      </c>
      <c r="B163" s="60" t="s">
        <v>2876</v>
      </c>
      <c r="C163" s="112" t="s">
        <v>4904</v>
      </c>
      <c r="D163" s="112"/>
      <c r="E163" s="112"/>
      <c r="F163" s="113" t="s">
        <v>29</v>
      </c>
      <c r="G163" s="114"/>
      <c r="H163" s="123">
        <f>51+567.3+18-22-7.4-7.3</f>
        <v>599.6</v>
      </c>
      <c r="I163" s="123"/>
    </row>
    <row r="164" spans="1:9" s="17" customFormat="1" ht="11.25" customHeight="1" x14ac:dyDescent="0.2">
      <c r="A164" s="65">
        <v>155</v>
      </c>
      <c r="B164" s="60" t="s">
        <v>2242</v>
      </c>
      <c r="C164" s="120" t="s">
        <v>3925</v>
      </c>
      <c r="D164" s="126"/>
      <c r="E164" s="127"/>
      <c r="F164" s="125" t="s">
        <v>76</v>
      </c>
      <c r="G164" s="125"/>
      <c r="H164" s="123">
        <f>7.3-3.8</f>
        <v>3.5</v>
      </c>
      <c r="I164" s="116"/>
    </row>
    <row r="165" spans="1:9" s="17" customFormat="1" ht="12.75" customHeight="1" x14ac:dyDescent="0.2">
      <c r="A165" s="65">
        <v>156</v>
      </c>
      <c r="B165" s="60" t="s">
        <v>2876</v>
      </c>
      <c r="C165" s="117" t="s">
        <v>4790</v>
      </c>
      <c r="D165" s="118"/>
      <c r="E165" s="119"/>
      <c r="F165" s="121" t="s">
        <v>345</v>
      </c>
      <c r="G165" s="122"/>
      <c r="H165" s="123">
        <v>160</v>
      </c>
      <c r="I165" s="123"/>
    </row>
    <row r="166" spans="1:9" s="17" customFormat="1" ht="12.75" customHeight="1" x14ac:dyDescent="0.2">
      <c r="A166" s="65">
        <v>157</v>
      </c>
      <c r="B166" s="60" t="s">
        <v>3666</v>
      </c>
      <c r="C166" s="117" t="s">
        <v>5031</v>
      </c>
      <c r="D166" s="118"/>
      <c r="E166" s="119"/>
      <c r="F166" s="113" t="s">
        <v>59</v>
      </c>
      <c r="G166" s="114"/>
      <c r="H166" s="115">
        <f>63.9-5-9.5</f>
        <v>49.4</v>
      </c>
      <c r="I166" s="116"/>
    </row>
    <row r="167" spans="1:9" s="17" customFormat="1" ht="12.75" customHeight="1" x14ac:dyDescent="0.2">
      <c r="A167" s="65">
        <v>158</v>
      </c>
      <c r="B167" s="60"/>
      <c r="C167" s="112" t="s">
        <v>770</v>
      </c>
      <c r="D167" s="112"/>
      <c r="E167" s="112"/>
      <c r="F167" s="113" t="s">
        <v>59</v>
      </c>
      <c r="G167" s="114"/>
      <c r="H167" s="123"/>
      <c r="I167" s="123"/>
    </row>
    <row r="168" spans="1:9" s="17" customFormat="1" ht="12.75" customHeight="1" x14ac:dyDescent="0.2">
      <c r="A168" s="65">
        <v>159</v>
      </c>
      <c r="B168" s="60"/>
      <c r="C168" s="120" t="s">
        <v>2789</v>
      </c>
      <c r="D168" s="120"/>
      <c r="E168" s="120"/>
      <c r="F168" s="121" t="s">
        <v>110</v>
      </c>
      <c r="G168" s="122"/>
      <c r="H168" s="137">
        <f>192-4.5-4.7-1.6-3.4</f>
        <v>177.8</v>
      </c>
      <c r="I168" s="137"/>
    </row>
    <row r="169" spans="1:9" s="17" customFormat="1" ht="12.75" customHeight="1" x14ac:dyDescent="0.2">
      <c r="A169" s="65">
        <v>160</v>
      </c>
      <c r="B169" s="60"/>
      <c r="C169" s="120" t="s">
        <v>1338</v>
      </c>
      <c r="D169" s="120"/>
      <c r="E169" s="120"/>
      <c r="F169" s="121" t="s">
        <v>110</v>
      </c>
      <c r="G169" s="122"/>
      <c r="H169" s="137">
        <v>838</v>
      </c>
      <c r="I169" s="137"/>
    </row>
    <row r="170" spans="1:9" s="17" customFormat="1" ht="12.75" customHeight="1" x14ac:dyDescent="0.2">
      <c r="A170" s="65">
        <v>161</v>
      </c>
      <c r="B170" s="60"/>
      <c r="C170" s="144" t="s">
        <v>3659</v>
      </c>
      <c r="D170" s="144"/>
      <c r="E170" s="144"/>
      <c r="F170" s="113" t="s">
        <v>62</v>
      </c>
      <c r="G170" s="114"/>
      <c r="H170" s="123">
        <f>55.8-3-1.7-0.3-1.7-1.5-1.6-0.7-1.4-2.6</f>
        <v>41.29999999999999</v>
      </c>
      <c r="I170" s="123"/>
    </row>
    <row r="171" spans="1:9" s="17" customFormat="1" ht="12.75" customHeight="1" x14ac:dyDescent="0.2">
      <c r="A171" s="65">
        <v>162</v>
      </c>
      <c r="B171" s="60"/>
      <c r="C171" s="112" t="s">
        <v>1480</v>
      </c>
      <c r="D171" s="112"/>
      <c r="E171" s="112"/>
      <c r="F171" s="113" t="s">
        <v>76</v>
      </c>
      <c r="G171" s="114"/>
      <c r="H171" s="123">
        <f>1.7-0.6+0.1</f>
        <v>1.2000000000000002</v>
      </c>
      <c r="I171" s="123"/>
    </row>
    <row r="172" spans="1:9" s="17" customFormat="1" ht="12.75" customHeight="1" x14ac:dyDescent="0.2">
      <c r="A172" s="65">
        <v>163</v>
      </c>
      <c r="B172" s="60"/>
      <c r="C172" s="117" t="s">
        <v>1642</v>
      </c>
      <c r="D172" s="118"/>
      <c r="E172" s="119"/>
      <c r="F172" s="121" t="s">
        <v>33</v>
      </c>
      <c r="G172" s="122"/>
      <c r="H172" s="115">
        <v>13.7</v>
      </c>
      <c r="I172" s="116"/>
    </row>
    <row r="173" spans="1:9" s="17" customFormat="1" ht="12.75" customHeight="1" x14ac:dyDescent="0.2">
      <c r="A173" s="65">
        <v>164</v>
      </c>
      <c r="B173" s="60"/>
      <c r="C173" s="117" t="s">
        <v>1643</v>
      </c>
      <c r="D173" s="118"/>
      <c r="E173" s="119"/>
      <c r="F173" s="121" t="s">
        <v>33</v>
      </c>
      <c r="G173" s="122"/>
      <c r="H173" s="115">
        <f>6.3-1.5-1.9-1.7</f>
        <v>1.2</v>
      </c>
      <c r="I173" s="116"/>
    </row>
    <row r="174" spans="1:9" s="17" customFormat="1" ht="11.25" x14ac:dyDescent="0.2">
      <c r="A174" s="65">
        <v>165</v>
      </c>
      <c r="B174" s="60"/>
      <c r="C174" s="112" t="s">
        <v>4614</v>
      </c>
      <c r="D174" s="112"/>
      <c r="E174" s="112"/>
      <c r="F174" s="113" t="s">
        <v>59</v>
      </c>
      <c r="G174" s="114"/>
      <c r="H174" s="123">
        <f>9+26.3-1+59+15.3+2.4+7+38-7.8-20-1.7-2.3-2-0.8-1.9-9-2.1</f>
        <v>108.39999999999999</v>
      </c>
      <c r="I174" s="123"/>
    </row>
    <row r="175" spans="1:9" s="17" customFormat="1" ht="12.75" customHeight="1" x14ac:dyDescent="0.2">
      <c r="A175" s="65">
        <v>166</v>
      </c>
      <c r="B175" s="60"/>
      <c r="C175" s="117" t="s">
        <v>2590</v>
      </c>
      <c r="D175" s="118"/>
      <c r="E175" s="119"/>
      <c r="F175" s="121" t="s">
        <v>33</v>
      </c>
      <c r="G175" s="122"/>
      <c r="H175" s="115">
        <f>58.5+17+3.7+21.2-2.2-2-1.8-1</f>
        <v>93.4</v>
      </c>
      <c r="I175" s="116"/>
    </row>
    <row r="176" spans="1:9" s="17" customFormat="1" ht="12.75" customHeight="1" x14ac:dyDescent="0.2">
      <c r="A176" s="65">
        <v>167</v>
      </c>
      <c r="B176" s="60"/>
      <c r="C176" s="112" t="s">
        <v>3923</v>
      </c>
      <c r="D176" s="112"/>
      <c r="E176" s="112"/>
      <c r="F176" s="113" t="s">
        <v>76</v>
      </c>
      <c r="G176" s="114"/>
      <c r="H176" s="123">
        <f>8.5-0.8-1.5</f>
        <v>6.2</v>
      </c>
      <c r="I176" s="123"/>
    </row>
    <row r="177" spans="1:9" s="17" customFormat="1" ht="12.75" customHeight="1" x14ac:dyDescent="0.2">
      <c r="A177" s="65">
        <v>168</v>
      </c>
      <c r="B177" s="60"/>
      <c r="C177" s="117" t="s">
        <v>1644</v>
      </c>
      <c r="D177" s="118"/>
      <c r="E177" s="119"/>
      <c r="F177" s="121" t="s">
        <v>33</v>
      </c>
      <c r="G177" s="122"/>
      <c r="H177" s="115">
        <v>12.8</v>
      </c>
      <c r="I177" s="116"/>
    </row>
    <row r="178" spans="1:9" s="17" customFormat="1" ht="12.75" customHeight="1" x14ac:dyDescent="0.2">
      <c r="A178" s="65">
        <v>169</v>
      </c>
      <c r="B178" s="60"/>
      <c r="C178" s="117" t="s">
        <v>3565</v>
      </c>
      <c r="D178" s="118"/>
      <c r="E178" s="119"/>
      <c r="F178" s="113" t="s">
        <v>59</v>
      </c>
      <c r="G178" s="114"/>
      <c r="H178" s="115">
        <f>34.8+5.8-5.8-1.3-10.5</f>
        <v>23</v>
      </c>
      <c r="I178" s="116"/>
    </row>
    <row r="179" spans="1:9" s="16" customFormat="1" ht="12" customHeight="1" x14ac:dyDescent="0.2">
      <c r="A179" s="65">
        <v>170</v>
      </c>
      <c r="B179" s="60"/>
      <c r="C179" s="120" t="s">
        <v>791</v>
      </c>
      <c r="D179" s="120"/>
      <c r="E179" s="120"/>
      <c r="F179" s="113" t="s">
        <v>57</v>
      </c>
      <c r="G179" s="114"/>
      <c r="H179" s="123">
        <f>70.7-2.4</f>
        <v>68.3</v>
      </c>
      <c r="I179" s="123"/>
    </row>
    <row r="180" spans="1:9" s="16" customFormat="1" ht="12" customHeight="1" x14ac:dyDescent="0.2">
      <c r="A180" s="65">
        <v>171</v>
      </c>
      <c r="B180" s="60"/>
      <c r="C180" s="120" t="s">
        <v>2338</v>
      </c>
      <c r="D180" s="120"/>
      <c r="E180" s="120"/>
      <c r="F180" s="121" t="s">
        <v>17</v>
      </c>
      <c r="G180" s="122"/>
      <c r="H180" s="123">
        <f>11.2+91.5+17.6-2.2-4.3</f>
        <v>113.80000000000001</v>
      </c>
      <c r="I180" s="123"/>
    </row>
    <row r="181" spans="1:9" s="16" customFormat="1" ht="12" customHeight="1" x14ac:dyDescent="0.2">
      <c r="A181" s="65">
        <v>172</v>
      </c>
      <c r="B181" s="60"/>
      <c r="C181" s="120" t="s">
        <v>616</v>
      </c>
      <c r="D181" s="120"/>
      <c r="E181" s="120"/>
      <c r="F181" s="121" t="s">
        <v>17</v>
      </c>
      <c r="G181" s="122"/>
      <c r="H181" s="123">
        <v>28.2</v>
      </c>
      <c r="I181" s="123"/>
    </row>
    <row r="182" spans="1:9" s="17" customFormat="1" ht="12.75" customHeight="1" x14ac:dyDescent="0.2">
      <c r="A182" s="65">
        <v>173</v>
      </c>
      <c r="B182" s="60"/>
      <c r="C182" s="117" t="s">
        <v>3268</v>
      </c>
      <c r="D182" s="118"/>
      <c r="E182" s="119"/>
      <c r="F182" s="121" t="s">
        <v>605</v>
      </c>
      <c r="G182" s="122"/>
      <c r="H182" s="115">
        <f>3.3+71.5-5.6-3.3-5.6-11.2-5.6</f>
        <v>43.500000000000007</v>
      </c>
      <c r="I182" s="116"/>
    </row>
    <row r="183" spans="1:9" s="17" customFormat="1" ht="12.75" customHeight="1" x14ac:dyDescent="0.2">
      <c r="A183" s="65">
        <v>174</v>
      </c>
      <c r="B183" s="60"/>
      <c r="C183" s="112" t="s">
        <v>841</v>
      </c>
      <c r="D183" s="112"/>
      <c r="E183" s="112"/>
      <c r="F183" s="121" t="s">
        <v>200</v>
      </c>
      <c r="G183" s="122"/>
      <c r="H183" s="123">
        <f>117+8.2-5.7</f>
        <v>119.5</v>
      </c>
      <c r="I183" s="123"/>
    </row>
    <row r="184" spans="1:9" s="17" customFormat="1" ht="12.75" customHeight="1" x14ac:dyDescent="0.2">
      <c r="A184" s="65">
        <v>175</v>
      </c>
      <c r="B184" s="60"/>
      <c r="C184" s="117" t="s">
        <v>413</v>
      </c>
      <c r="D184" s="118"/>
      <c r="E184" s="119"/>
      <c r="F184" s="113" t="s">
        <v>157</v>
      </c>
      <c r="G184" s="114"/>
      <c r="H184" s="115">
        <v>21</v>
      </c>
      <c r="I184" s="116"/>
    </row>
    <row r="185" spans="1:9" s="17" customFormat="1" ht="12.75" customHeight="1" x14ac:dyDescent="0.2">
      <c r="A185" s="65">
        <v>176</v>
      </c>
      <c r="B185" s="60"/>
      <c r="C185" s="117" t="s">
        <v>857</v>
      </c>
      <c r="D185" s="118"/>
      <c r="E185" s="119"/>
      <c r="F185" s="113" t="s">
        <v>140</v>
      </c>
      <c r="G185" s="114"/>
      <c r="H185" s="115">
        <f>105-6-17.5-5.8-11.6-23.6+2.7-1.2</f>
        <v>42.000000000000007</v>
      </c>
      <c r="I185" s="116"/>
    </row>
    <row r="186" spans="1:9" s="17" customFormat="1" ht="12.75" customHeight="1" x14ac:dyDescent="0.2">
      <c r="A186" s="65">
        <v>177</v>
      </c>
      <c r="B186" s="60" t="s">
        <v>2242</v>
      </c>
      <c r="C186" s="112" t="s">
        <v>5166</v>
      </c>
      <c r="D186" s="112"/>
      <c r="E186" s="112"/>
      <c r="F186" s="113" t="s">
        <v>76</v>
      </c>
      <c r="G186" s="114"/>
      <c r="H186" s="115">
        <v>3.3</v>
      </c>
      <c r="I186" s="116"/>
    </row>
    <row r="187" spans="1:9" s="17" customFormat="1" ht="12.75" customHeight="1" x14ac:dyDescent="0.2">
      <c r="A187" s="65">
        <v>178</v>
      </c>
      <c r="B187" s="60"/>
      <c r="C187" s="117" t="s">
        <v>3051</v>
      </c>
      <c r="D187" s="118"/>
      <c r="E187" s="119"/>
      <c r="F187" s="113" t="s">
        <v>184</v>
      </c>
      <c r="G187" s="114"/>
      <c r="H187" s="115">
        <f>4.8-2.3</f>
        <v>2.5</v>
      </c>
      <c r="I187" s="116"/>
    </row>
    <row r="188" spans="1:9" s="17" customFormat="1" ht="12.75" customHeight="1" x14ac:dyDescent="0.2">
      <c r="A188" s="65">
        <v>179</v>
      </c>
      <c r="B188" s="60" t="s">
        <v>3539</v>
      </c>
      <c r="C188" s="117" t="s">
        <v>5238</v>
      </c>
      <c r="D188" s="118"/>
      <c r="E188" s="119"/>
      <c r="F188" s="113" t="s">
        <v>29</v>
      </c>
      <c r="G188" s="114"/>
      <c r="H188" s="115">
        <v>23.1</v>
      </c>
      <c r="I188" s="116"/>
    </row>
    <row r="189" spans="1:9" s="17" customFormat="1" ht="12.75" customHeight="1" x14ac:dyDescent="0.2">
      <c r="A189" s="65">
        <v>180</v>
      </c>
      <c r="B189" s="60" t="s">
        <v>2224</v>
      </c>
      <c r="C189" s="117" t="s">
        <v>5239</v>
      </c>
      <c r="D189" s="118"/>
      <c r="E189" s="119"/>
      <c r="F189" s="113" t="s">
        <v>29</v>
      </c>
      <c r="G189" s="114"/>
      <c r="H189" s="115">
        <v>17.5</v>
      </c>
      <c r="I189" s="116"/>
    </row>
    <row r="190" spans="1:9" s="17" customFormat="1" ht="12.75" customHeight="1" x14ac:dyDescent="0.2">
      <c r="A190" s="65">
        <v>181</v>
      </c>
      <c r="B190" s="60"/>
      <c r="C190" s="117" t="s">
        <v>4460</v>
      </c>
      <c r="D190" s="118"/>
      <c r="E190" s="119"/>
      <c r="F190" s="113" t="s">
        <v>483</v>
      </c>
      <c r="G190" s="114"/>
      <c r="H190" s="115">
        <f>0.9+0.9+1.3</f>
        <v>3.1</v>
      </c>
      <c r="I190" s="116"/>
    </row>
    <row r="191" spans="1:9" s="16" customFormat="1" ht="12" customHeight="1" x14ac:dyDescent="0.2">
      <c r="A191" s="65">
        <v>182</v>
      </c>
      <c r="B191" s="60"/>
      <c r="C191" s="120" t="s">
        <v>3108</v>
      </c>
      <c r="D191" s="120"/>
      <c r="E191" s="120"/>
      <c r="F191" s="121" t="s">
        <v>17</v>
      </c>
      <c r="G191" s="122"/>
      <c r="H191" s="123">
        <f>100.2-1.7-1.8-26-23.6-23.2-17-0.3-5.3+0.1</f>
        <v>1.4000000000000026</v>
      </c>
      <c r="I191" s="123"/>
    </row>
    <row r="192" spans="1:9" s="16" customFormat="1" ht="12" customHeight="1" x14ac:dyDescent="0.2">
      <c r="A192" s="65">
        <v>183</v>
      </c>
      <c r="B192" s="60"/>
      <c r="C192" s="120" t="s">
        <v>3306</v>
      </c>
      <c r="D192" s="120"/>
      <c r="E192" s="120"/>
      <c r="F192" s="121" t="s">
        <v>71</v>
      </c>
      <c r="G192" s="122"/>
      <c r="H192" s="123">
        <f>16.2-7.3-1.5-6.2</f>
        <v>1.1999999999999984</v>
      </c>
      <c r="I192" s="123"/>
    </row>
    <row r="193" spans="1:9" s="17" customFormat="1" ht="12.75" customHeight="1" x14ac:dyDescent="0.2">
      <c r="A193" s="65">
        <v>184</v>
      </c>
      <c r="B193" s="60"/>
      <c r="C193" s="117" t="s">
        <v>4283</v>
      </c>
      <c r="D193" s="118"/>
      <c r="E193" s="119"/>
      <c r="F193" s="113" t="s">
        <v>29</v>
      </c>
      <c r="G193" s="114"/>
      <c r="H193" s="115">
        <f>41.5-7.8</f>
        <v>33.700000000000003</v>
      </c>
      <c r="I193" s="116"/>
    </row>
    <row r="194" spans="1:9" s="17" customFormat="1" ht="12.75" customHeight="1" x14ac:dyDescent="0.2">
      <c r="A194" s="65">
        <v>185</v>
      </c>
      <c r="B194" s="60" t="s">
        <v>2242</v>
      </c>
      <c r="C194" s="117" t="s">
        <v>5249</v>
      </c>
      <c r="D194" s="118"/>
      <c r="E194" s="119"/>
      <c r="F194" s="113" t="s">
        <v>29</v>
      </c>
      <c r="G194" s="114"/>
      <c r="H194" s="115">
        <v>3.7</v>
      </c>
      <c r="I194" s="116"/>
    </row>
    <row r="195" spans="1:9" s="17" customFormat="1" ht="12.75" customHeight="1" x14ac:dyDescent="0.2">
      <c r="A195" s="65">
        <v>186</v>
      </c>
      <c r="B195" s="60"/>
      <c r="C195" s="117" t="s">
        <v>4489</v>
      </c>
      <c r="D195" s="118"/>
      <c r="E195" s="119"/>
      <c r="F195" s="113" t="s">
        <v>483</v>
      </c>
      <c r="G195" s="114"/>
      <c r="H195" s="115">
        <f>3.4+2.2+4.2</f>
        <v>9.8000000000000007</v>
      </c>
      <c r="I195" s="116"/>
    </row>
    <row r="196" spans="1:9" s="17" customFormat="1" ht="12.75" customHeight="1" x14ac:dyDescent="0.2">
      <c r="A196" s="65">
        <v>187</v>
      </c>
      <c r="B196" s="60"/>
      <c r="C196" s="117" t="s">
        <v>5094</v>
      </c>
      <c r="D196" s="118"/>
      <c r="E196" s="119"/>
      <c r="F196" s="113" t="s">
        <v>483</v>
      </c>
      <c r="G196" s="114"/>
      <c r="H196" s="115">
        <f>2.3-1.1+1.3+1.5</f>
        <v>4</v>
      </c>
      <c r="I196" s="116"/>
    </row>
    <row r="197" spans="1:9" s="16" customFormat="1" ht="12" customHeight="1" x14ac:dyDescent="0.2">
      <c r="A197" s="65">
        <v>188</v>
      </c>
      <c r="B197" s="60"/>
      <c r="C197" s="120" t="s">
        <v>3528</v>
      </c>
      <c r="D197" s="120"/>
      <c r="E197" s="120"/>
      <c r="F197" s="121" t="s">
        <v>17</v>
      </c>
      <c r="G197" s="122"/>
      <c r="H197" s="123">
        <f>1.9+54.8-13.7-31.5+10.9-2-0.7-7-0.8-1.4-2.2</f>
        <v>8.2999999999999972</v>
      </c>
      <c r="I197" s="123"/>
    </row>
    <row r="198" spans="1:9" s="17" customFormat="1" ht="12.75" customHeight="1" x14ac:dyDescent="0.2">
      <c r="A198" s="65">
        <v>189</v>
      </c>
      <c r="B198" s="60"/>
      <c r="C198" s="117" t="s">
        <v>5165</v>
      </c>
      <c r="D198" s="118"/>
      <c r="E198" s="119"/>
      <c r="F198" s="113" t="s">
        <v>483</v>
      </c>
      <c r="G198" s="114"/>
      <c r="H198" s="115">
        <f>5.4+12.8+2.2+28.7-4+14.6+2.3-1.9-1.8+14.3-17.8+1-37.4-5.4+2.6</f>
        <v>15.600000000000012</v>
      </c>
      <c r="I198" s="116"/>
    </row>
    <row r="199" spans="1:9" s="17" customFormat="1" ht="12.75" customHeight="1" x14ac:dyDescent="0.2">
      <c r="A199" s="65">
        <v>190</v>
      </c>
      <c r="B199" s="60"/>
      <c r="C199" s="112" t="s">
        <v>1994</v>
      </c>
      <c r="D199" s="112"/>
      <c r="E199" s="112"/>
      <c r="F199" s="121" t="s">
        <v>71</v>
      </c>
      <c r="G199" s="122"/>
      <c r="H199" s="123">
        <f>74-9.7-2.6+10.9-5.7+23.6-5.6+3.8</f>
        <v>88.7</v>
      </c>
      <c r="I199" s="123"/>
    </row>
    <row r="200" spans="1:9" s="17" customFormat="1" ht="12.75" customHeight="1" x14ac:dyDescent="0.2">
      <c r="A200" s="65">
        <v>191</v>
      </c>
      <c r="B200" s="60"/>
      <c r="C200" s="112" t="s">
        <v>1950</v>
      </c>
      <c r="D200" s="112"/>
      <c r="E200" s="112"/>
      <c r="F200" s="121" t="s">
        <v>71</v>
      </c>
      <c r="G200" s="122"/>
      <c r="H200" s="123">
        <f>18.6+133</f>
        <v>151.6</v>
      </c>
      <c r="I200" s="123"/>
    </row>
    <row r="201" spans="1:9" s="17" customFormat="1" ht="12.75" customHeight="1" x14ac:dyDescent="0.2">
      <c r="A201" s="65">
        <v>192</v>
      </c>
      <c r="B201" s="60"/>
      <c r="C201" s="112" t="s">
        <v>2075</v>
      </c>
      <c r="D201" s="112"/>
      <c r="E201" s="112"/>
      <c r="F201" s="121" t="s">
        <v>33</v>
      </c>
      <c r="G201" s="122"/>
      <c r="H201" s="123">
        <f>11.4+10+2.8-1+25.2-2.4-2.8+3-1.9+19.6-2-1+1.4</f>
        <v>62.300000000000004</v>
      </c>
      <c r="I201" s="123"/>
    </row>
    <row r="202" spans="1:9" s="17" customFormat="1" ht="12.75" customHeight="1" x14ac:dyDescent="0.2">
      <c r="A202" s="65">
        <v>193</v>
      </c>
      <c r="B202" s="60"/>
      <c r="C202" s="112" t="s">
        <v>1951</v>
      </c>
      <c r="D202" s="112"/>
      <c r="E202" s="112"/>
      <c r="F202" s="121" t="s">
        <v>33</v>
      </c>
      <c r="G202" s="122"/>
      <c r="H202" s="123">
        <v>3.5</v>
      </c>
      <c r="I202" s="123"/>
    </row>
    <row r="203" spans="1:9" s="17" customFormat="1" ht="12.75" customHeight="1" x14ac:dyDescent="0.2">
      <c r="A203" s="65">
        <v>194</v>
      </c>
      <c r="B203" s="60"/>
      <c r="C203" s="112" t="s">
        <v>4359</v>
      </c>
      <c r="D203" s="112"/>
      <c r="E203" s="112"/>
      <c r="F203" s="124" t="s">
        <v>56</v>
      </c>
      <c r="G203" s="124"/>
      <c r="H203" s="123">
        <v>1.4</v>
      </c>
      <c r="I203" s="123"/>
    </row>
    <row r="204" spans="1:9" s="17" customFormat="1" ht="11.25" customHeight="1" x14ac:dyDescent="0.2">
      <c r="A204" s="65">
        <v>195</v>
      </c>
      <c r="B204" s="60"/>
      <c r="C204" s="120" t="s">
        <v>3802</v>
      </c>
      <c r="D204" s="126"/>
      <c r="E204" s="127"/>
      <c r="F204" s="125" t="s">
        <v>76</v>
      </c>
      <c r="G204" s="125"/>
      <c r="H204" s="123">
        <v>7.8</v>
      </c>
      <c r="I204" s="116"/>
    </row>
    <row r="205" spans="1:9" s="17" customFormat="1" ht="11.25" customHeight="1" x14ac:dyDescent="0.2">
      <c r="A205" s="65">
        <v>196</v>
      </c>
      <c r="B205" s="60"/>
      <c r="C205" s="120" t="s">
        <v>4771</v>
      </c>
      <c r="D205" s="126"/>
      <c r="E205" s="127"/>
      <c r="F205" s="113" t="s">
        <v>76</v>
      </c>
      <c r="G205" s="114"/>
      <c r="H205" s="123">
        <f>2.1+2.8-2.8</f>
        <v>2.1000000000000005</v>
      </c>
      <c r="I205" s="116"/>
    </row>
    <row r="206" spans="1:9" s="17" customFormat="1" ht="12.75" customHeight="1" x14ac:dyDescent="0.2">
      <c r="A206" s="65">
        <v>197</v>
      </c>
      <c r="B206" s="60"/>
      <c r="C206" s="112" t="s">
        <v>583</v>
      </c>
      <c r="D206" s="112"/>
      <c r="E206" s="112"/>
      <c r="F206" s="113" t="s">
        <v>76</v>
      </c>
      <c r="G206" s="114"/>
      <c r="H206" s="123"/>
      <c r="I206" s="123"/>
    </row>
    <row r="207" spans="1:9" s="17" customFormat="1" ht="12.75" customHeight="1" x14ac:dyDescent="0.2">
      <c r="A207" s="65">
        <v>198</v>
      </c>
      <c r="B207" s="60"/>
      <c r="C207" s="112" t="s">
        <v>3390</v>
      </c>
      <c r="D207" s="112"/>
      <c r="E207" s="112"/>
      <c r="F207" s="121" t="s">
        <v>71</v>
      </c>
      <c r="G207" s="122"/>
      <c r="H207" s="123">
        <f>62+51-1.1+6.1+46.7+121.6+13.8+7.5-9-13</f>
        <v>285.59999999999997</v>
      </c>
      <c r="I207" s="123"/>
    </row>
    <row r="208" spans="1:9" s="17" customFormat="1" ht="12.75" customHeight="1" x14ac:dyDescent="0.2">
      <c r="A208" s="65">
        <v>199</v>
      </c>
      <c r="B208" s="60"/>
      <c r="C208" s="112" t="s">
        <v>1645</v>
      </c>
      <c r="D208" s="112"/>
      <c r="E208" s="112"/>
      <c r="F208" s="121" t="s">
        <v>33</v>
      </c>
      <c r="G208" s="122"/>
      <c r="H208" s="123">
        <f>19.8+6.2+11.5-6.6-6.8-12.7+0.1</f>
        <v>11.499999999999998</v>
      </c>
      <c r="I208" s="123"/>
    </row>
    <row r="209" spans="1:9" s="17" customFormat="1" ht="12.75" customHeight="1" x14ac:dyDescent="0.2">
      <c r="A209" s="65">
        <v>200</v>
      </c>
      <c r="B209" s="60"/>
      <c r="C209" s="120" t="s">
        <v>754</v>
      </c>
      <c r="D209" s="120"/>
      <c r="E209" s="120"/>
      <c r="F209" s="121" t="s">
        <v>201</v>
      </c>
      <c r="G209" s="122"/>
      <c r="H209" s="123">
        <f>4.4-2.2</f>
        <v>2.2000000000000002</v>
      </c>
      <c r="I209" s="123"/>
    </row>
    <row r="210" spans="1:9" s="17" customFormat="1" ht="11.25" customHeight="1" x14ac:dyDescent="0.2">
      <c r="A210" s="65">
        <v>201</v>
      </c>
      <c r="B210" s="60"/>
      <c r="C210" s="120" t="s">
        <v>3214</v>
      </c>
      <c r="D210" s="120"/>
      <c r="E210" s="120"/>
      <c r="F210" s="113" t="s">
        <v>57</v>
      </c>
      <c r="G210" s="114"/>
      <c r="H210" s="123">
        <f>526-0.9-80-3.9-80-8-55.6-8-48-1.4-2.6-2.6-3-4.2-87.3</f>
        <v>140.50000000000006</v>
      </c>
      <c r="I210" s="123"/>
    </row>
    <row r="211" spans="1:9" s="17" customFormat="1" ht="11.25" customHeight="1" x14ac:dyDescent="0.2">
      <c r="A211" s="65">
        <v>202</v>
      </c>
      <c r="B211" s="60" t="s">
        <v>2242</v>
      </c>
      <c r="C211" s="120" t="s">
        <v>4293</v>
      </c>
      <c r="D211" s="120"/>
      <c r="E211" s="120"/>
      <c r="F211" s="113" t="s">
        <v>62</v>
      </c>
      <c r="G211" s="114"/>
      <c r="H211" s="123">
        <f>12+4.9</f>
        <v>16.899999999999999</v>
      </c>
      <c r="I211" s="123"/>
    </row>
    <row r="212" spans="1:9" s="17" customFormat="1" ht="12.75" customHeight="1" x14ac:dyDescent="0.2">
      <c r="A212" s="65">
        <v>203</v>
      </c>
      <c r="B212" s="60"/>
      <c r="C212" s="120" t="s">
        <v>4187</v>
      </c>
      <c r="D212" s="120"/>
      <c r="E212" s="120"/>
      <c r="F212" s="113" t="s">
        <v>62</v>
      </c>
      <c r="G212" s="114"/>
      <c r="H212" s="123">
        <f>5+2.5</f>
        <v>7.5</v>
      </c>
      <c r="I212" s="123"/>
    </row>
    <row r="213" spans="1:9" s="17" customFormat="1" ht="11.25" customHeight="1" x14ac:dyDescent="0.2">
      <c r="A213" s="65">
        <v>204</v>
      </c>
      <c r="B213" s="60"/>
      <c r="C213" s="120" t="s">
        <v>3201</v>
      </c>
      <c r="D213" s="120"/>
      <c r="E213" s="120"/>
      <c r="F213" s="113" t="s">
        <v>62</v>
      </c>
      <c r="G213" s="114"/>
      <c r="H213" s="123">
        <f>9+4.7-3.4-2-2.5+2.3</f>
        <v>8.0999999999999979</v>
      </c>
      <c r="I213" s="123"/>
    </row>
    <row r="214" spans="1:9" s="17" customFormat="1" ht="11.25" customHeight="1" x14ac:dyDescent="0.2">
      <c r="A214" s="65">
        <v>205</v>
      </c>
      <c r="B214" s="60"/>
      <c r="C214" s="120" t="s">
        <v>3801</v>
      </c>
      <c r="D214" s="126"/>
      <c r="E214" s="127"/>
      <c r="F214" s="125" t="s">
        <v>76</v>
      </c>
      <c r="G214" s="125"/>
      <c r="H214" s="123">
        <v>19.7</v>
      </c>
      <c r="I214" s="116"/>
    </row>
    <row r="215" spans="1:9" s="17" customFormat="1" ht="11.25" customHeight="1" x14ac:dyDescent="0.2">
      <c r="A215" s="65">
        <v>206</v>
      </c>
      <c r="B215" s="60" t="s">
        <v>3636</v>
      </c>
      <c r="C215" s="120" t="s">
        <v>3800</v>
      </c>
      <c r="D215" s="126"/>
      <c r="E215" s="127"/>
      <c r="F215" s="125" t="s">
        <v>76</v>
      </c>
      <c r="G215" s="125"/>
      <c r="H215" s="123">
        <v>14.3</v>
      </c>
      <c r="I215" s="116"/>
    </row>
    <row r="216" spans="1:9" s="17" customFormat="1" ht="11.25" customHeight="1" x14ac:dyDescent="0.2">
      <c r="A216" s="65">
        <v>207</v>
      </c>
      <c r="B216" s="60"/>
      <c r="C216" s="120" t="s">
        <v>3197</v>
      </c>
      <c r="D216" s="126"/>
      <c r="E216" s="127"/>
      <c r="F216" s="113" t="s">
        <v>57</v>
      </c>
      <c r="G216" s="114"/>
      <c r="H216" s="123">
        <f>1.5+24+1.2-1.5-8.1-1-4.6-1.1</f>
        <v>10.400000000000002</v>
      </c>
      <c r="I216" s="116"/>
    </row>
    <row r="217" spans="1:9" s="17" customFormat="1" ht="12.75" customHeight="1" x14ac:dyDescent="0.2">
      <c r="A217" s="65">
        <v>208</v>
      </c>
      <c r="B217" s="60"/>
      <c r="C217" s="112" t="s">
        <v>2731</v>
      </c>
      <c r="D217" s="112"/>
      <c r="E217" s="112"/>
      <c r="F217" s="121" t="s">
        <v>33</v>
      </c>
      <c r="G217" s="122"/>
      <c r="H217" s="123">
        <f>161.2-7.7-3.7-8-8+72.3-5.2+7.3-17.8-12.5+25.9-8.3-4-8-7.8-8-8.4-7.8-1.4-1.4-2.6-11.8-8.5-4.4-8-2.9-7.2-4.8-8.5-1.5-1.4-3.6</f>
        <v>83.499999999999972</v>
      </c>
      <c r="I217" s="123"/>
    </row>
    <row r="218" spans="1:9" s="17" customFormat="1" ht="12.75" customHeight="1" x14ac:dyDescent="0.2">
      <c r="A218" s="65">
        <v>209</v>
      </c>
      <c r="B218" s="60" t="s">
        <v>3636</v>
      </c>
      <c r="C218" s="112" t="s">
        <v>3765</v>
      </c>
      <c r="D218" s="112"/>
      <c r="E218" s="112"/>
      <c r="F218" s="121" t="s">
        <v>31</v>
      </c>
      <c r="G218" s="122"/>
      <c r="H218" s="123">
        <f>2.8-0.8</f>
        <v>1.9999999999999998</v>
      </c>
      <c r="I218" s="123"/>
    </row>
    <row r="219" spans="1:9" s="17" customFormat="1" ht="12.75" customHeight="1" x14ac:dyDescent="0.2">
      <c r="A219" s="65">
        <v>210</v>
      </c>
      <c r="B219" s="60"/>
      <c r="C219" s="112" t="s">
        <v>1927</v>
      </c>
      <c r="D219" s="112"/>
      <c r="E219" s="112"/>
      <c r="F219" s="121" t="s">
        <v>47</v>
      </c>
      <c r="G219" s="122"/>
      <c r="H219" s="123">
        <f>9.5-6.4</f>
        <v>3.0999999999999996</v>
      </c>
      <c r="I219" s="123"/>
    </row>
    <row r="220" spans="1:9" s="17" customFormat="1" ht="11.25" customHeight="1" x14ac:dyDescent="0.2">
      <c r="A220" s="65">
        <v>211</v>
      </c>
      <c r="B220" s="60"/>
      <c r="C220" s="120" t="s">
        <v>4121</v>
      </c>
      <c r="D220" s="126"/>
      <c r="E220" s="127"/>
      <c r="F220" s="125" t="s">
        <v>76</v>
      </c>
      <c r="G220" s="125"/>
      <c r="H220" s="123">
        <v>1.4</v>
      </c>
      <c r="I220" s="116"/>
    </row>
    <row r="221" spans="1:9" s="17" customFormat="1" ht="11.25" customHeight="1" x14ac:dyDescent="0.2">
      <c r="A221" s="65">
        <v>212</v>
      </c>
      <c r="B221" s="60"/>
      <c r="C221" s="120" t="s">
        <v>4773</v>
      </c>
      <c r="D221" s="126"/>
      <c r="E221" s="127"/>
      <c r="F221" s="125" t="s">
        <v>76</v>
      </c>
      <c r="G221" s="125"/>
      <c r="H221" s="123">
        <f>2.5+2.3-2.3</f>
        <v>2.5</v>
      </c>
      <c r="I221" s="116"/>
    </row>
    <row r="222" spans="1:9" s="17" customFormat="1" ht="12.75" customHeight="1" x14ac:dyDescent="0.2">
      <c r="A222" s="65">
        <v>213</v>
      </c>
      <c r="B222" s="60"/>
      <c r="C222" s="112" t="s">
        <v>330</v>
      </c>
      <c r="D222" s="112"/>
      <c r="E222" s="112"/>
      <c r="F222" s="113" t="s">
        <v>184</v>
      </c>
      <c r="G222" s="114"/>
      <c r="H222" s="123"/>
      <c r="I222" s="123"/>
    </row>
    <row r="223" spans="1:9" s="17" customFormat="1" ht="12.75" customHeight="1" x14ac:dyDescent="0.2">
      <c r="A223" s="65">
        <v>214</v>
      </c>
      <c r="B223" s="60" t="s">
        <v>2242</v>
      </c>
      <c r="C223" s="117" t="s">
        <v>4471</v>
      </c>
      <c r="D223" s="118"/>
      <c r="E223" s="119"/>
      <c r="F223" s="113" t="s">
        <v>76</v>
      </c>
      <c r="G223" s="114"/>
      <c r="H223" s="123">
        <f>6.8+1.8</f>
        <v>8.6</v>
      </c>
      <c r="I223" s="123"/>
    </row>
    <row r="224" spans="1:9" s="17" customFormat="1" ht="12.75" customHeight="1" x14ac:dyDescent="0.2">
      <c r="A224" s="65">
        <v>215</v>
      </c>
      <c r="B224" s="60"/>
      <c r="C224" s="112" t="s">
        <v>1609</v>
      </c>
      <c r="D224" s="112"/>
      <c r="E224" s="112"/>
      <c r="F224" s="121" t="s">
        <v>71</v>
      </c>
      <c r="G224" s="122"/>
      <c r="H224" s="123">
        <f>4.4-1.9+2.5</f>
        <v>5</v>
      </c>
      <c r="I224" s="123"/>
    </row>
    <row r="225" spans="1:9" s="17" customFormat="1" ht="12.75" customHeight="1" x14ac:dyDescent="0.2">
      <c r="A225" s="65">
        <v>216</v>
      </c>
      <c r="B225" s="60"/>
      <c r="C225" s="112" t="s">
        <v>435</v>
      </c>
      <c r="D225" s="112"/>
      <c r="E225" s="112"/>
      <c r="F225" s="121" t="s">
        <v>125</v>
      </c>
      <c r="G225" s="122"/>
      <c r="H225" s="123"/>
      <c r="I225" s="123"/>
    </row>
    <row r="226" spans="1:9" s="16" customFormat="1" ht="12" customHeight="1" x14ac:dyDescent="0.2">
      <c r="A226" s="65">
        <v>217</v>
      </c>
      <c r="B226" s="60"/>
      <c r="C226" s="120" t="s">
        <v>1646</v>
      </c>
      <c r="D226" s="120"/>
      <c r="E226" s="120"/>
      <c r="F226" s="121" t="s">
        <v>33</v>
      </c>
      <c r="G226" s="122"/>
      <c r="H226" s="123">
        <f>48.5-28-8.1</f>
        <v>12.4</v>
      </c>
      <c r="I226" s="123"/>
    </row>
    <row r="227" spans="1:9" s="17" customFormat="1" ht="12.75" customHeight="1" x14ac:dyDescent="0.2">
      <c r="A227" s="65">
        <v>218</v>
      </c>
      <c r="B227" s="60" t="s">
        <v>2242</v>
      </c>
      <c r="C227" s="117" t="s">
        <v>2681</v>
      </c>
      <c r="D227" s="118"/>
      <c r="E227" s="119"/>
      <c r="F227" s="113" t="s">
        <v>76</v>
      </c>
      <c r="G227" s="114"/>
      <c r="H227" s="123">
        <f>16.5-5.8-2.7</f>
        <v>7.9999999999999991</v>
      </c>
      <c r="I227" s="123"/>
    </row>
    <row r="228" spans="1:9" s="17" customFormat="1" ht="12.75" customHeight="1" x14ac:dyDescent="0.2">
      <c r="A228" s="65">
        <v>219</v>
      </c>
      <c r="B228" s="60"/>
      <c r="C228" s="112" t="s">
        <v>2662</v>
      </c>
      <c r="D228" s="112"/>
      <c r="E228" s="112"/>
      <c r="F228" s="113" t="s">
        <v>59</v>
      </c>
      <c r="G228" s="114"/>
      <c r="H228" s="123">
        <f>17.6-1.9-5.7-5.8</f>
        <v>4.2</v>
      </c>
      <c r="I228" s="123"/>
    </row>
    <row r="229" spans="1:9" s="17" customFormat="1" ht="12.75" customHeight="1" x14ac:dyDescent="0.2">
      <c r="A229" s="65">
        <v>220</v>
      </c>
      <c r="B229" s="60"/>
      <c r="C229" s="112" t="s">
        <v>2685</v>
      </c>
      <c r="D229" s="112"/>
      <c r="E229" s="112"/>
      <c r="F229" s="113" t="s">
        <v>59</v>
      </c>
      <c r="G229" s="114"/>
      <c r="H229" s="123">
        <f>12.6-3-3+2.8-2.9-0.7</f>
        <v>5.799999999999998</v>
      </c>
      <c r="I229" s="123"/>
    </row>
    <row r="230" spans="1:9" s="16" customFormat="1" ht="12" customHeight="1" x14ac:dyDescent="0.2">
      <c r="A230" s="65">
        <v>221</v>
      </c>
      <c r="B230" s="60"/>
      <c r="C230" s="120" t="s">
        <v>1610</v>
      </c>
      <c r="D230" s="120"/>
      <c r="E230" s="120"/>
      <c r="F230" s="121" t="s">
        <v>31</v>
      </c>
      <c r="G230" s="122"/>
      <c r="H230" s="123">
        <f>2.8+45.7+49.8+18.6-1-0.5-1-3.6-2.5-45</f>
        <v>63.300000000000011</v>
      </c>
      <c r="I230" s="123"/>
    </row>
    <row r="231" spans="1:9" s="16" customFormat="1" ht="12" customHeight="1" x14ac:dyDescent="0.2">
      <c r="A231" s="65">
        <v>222</v>
      </c>
      <c r="B231" s="60"/>
      <c r="C231" s="120" t="s">
        <v>1611</v>
      </c>
      <c r="D231" s="120"/>
      <c r="E231" s="120"/>
      <c r="F231" s="121" t="s">
        <v>31</v>
      </c>
      <c r="G231" s="122"/>
      <c r="H231" s="123">
        <v>12.2</v>
      </c>
      <c r="I231" s="123"/>
    </row>
    <row r="232" spans="1:9" s="16" customFormat="1" ht="12" customHeight="1" x14ac:dyDescent="0.2">
      <c r="A232" s="65">
        <v>223</v>
      </c>
      <c r="B232" s="60"/>
      <c r="C232" s="120" t="s">
        <v>4829</v>
      </c>
      <c r="D232" s="120"/>
      <c r="E232" s="120"/>
      <c r="F232" s="121" t="s">
        <v>33</v>
      </c>
      <c r="G232" s="122"/>
      <c r="H232" s="123">
        <f>17.8-2.8-6</f>
        <v>9</v>
      </c>
      <c r="I232" s="123"/>
    </row>
    <row r="233" spans="1:9" s="17" customFormat="1" ht="12.75" customHeight="1" x14ac:dyDescent="0.2">
      <c r="A233" s="65">
        <v>224</v>
      </c>
      <c r="B233" s="60" t="s">
        <v>2242</v>
      </c>
      <c r="C233" s="112" t="s">
        <v>4274</v>
      </c>
      <c r="D233" s="112"/>
      <c r="E233" s="112"/>
      <c r="F233" s="113" t="s">
        <v>59</v>
      </c>
      <c r="G233" s="114"/>
      <c r="H233" s="123">
        <f>2.5+23+21.4+3.7-20+50.7-50.7-3.7+4-3.7-2.5-4+47.5-5.1-5-9-6-2.4-1.3-26.5+0.1+4.4+19.1</f>
        <v>36.500000000000021</v>
      </c>
      <c r="I233" s="123"/>
    </row>
    <row r="234" spans="1:9" s="17" customFormat="1" ht="12.75" customHeight="1" x14ac:dyDescent="0.2">
      <c r="A234" s="65">
        <v>225</v>
      </c>
      <c r="B234" s="60" t="s">
        <v>2242</v>
      </c>
      <c r="C234" s="112" t="s">
        <v>4294</v>
      </c>
      <c r="D234" s="112"/>
      <c r="E234" s="112"/>
      <c r="F234" s="113" t="s">
        <v>57</v>
      </c>
      <c r="G234" s="114"/>
      <c r="H234" s="123">
        <f>13+3.8+8.8</f>
        <v>25.6</v>
      </c>
      <c r="I234" s="123"/>
    </row>
    <row r="235" spans="1:9" s="17" customFormat="1" ht="11.25" customHeight="1" x14ac:dyDescent="0.2">
      <c r="A235" s="65">
        <v>226</v>
      </c>
      <c r="B235" s="60" t="s">
        <v>3557</v>
      </c>
      <c r="C235" s="120" t="s">
        <v>3793</v>
      </c>
      <c r="D235" s="126"/>
      <c r="E235" s="127"/>
      <c r="F235" s="113" t="s">
        <v>76</v>
      </c>
      <c r="G235" s="114"/>
      <c r="H235" s="123">
        <v>6.1</v>
      </c>
      <c r="I235" s="116"/>
    </row>
    <row r="236" spans="1:9" s="17" customFormat="1" ht="12.75" customHeight="1" x14ac:dyDescent="0.2">
      <c r="A236" s="65">
        <v>227</v>
      </c>
      <c r="B236" s="60" t="s">
        <v>2241</v>
      </c>
      <c r="C236" s="112" t="s">
        <v>4854</v>
      </c>
      <c r="D236" s="112"/>
      <c r="E236" s="112"/>
      <c r="F236" s="121" t="s">
        <v>31</v>
      </c>
      <c r="G236" s="122"/>
      <c r="H236" s="115">
        <f>6.8-3.5</f>
        <v>3.3</v>
      </c>
      <c r="I236" s="116"/>
    </row>
    <row r="237" spans="1:9" s="17" customFormat="1" ht="12.75" customHeight="1" x14ac:dyDescent="0.2">
      <c r="A237" s="65">
        <v>228</v>
      </c>
      <c r="B237" s="60"/>
      <c r="C237" s="112" t="s">
        <v>1952</v>
      </c>
      <c r="D237" s="112"/>
      <c r="E237" s="112"/>
      <c r="F237" s="121" t="s">
        <v>1753</v>
      </c>
      <c r="G237" s="122"/>
      <c r="H237" s="123">
        <v>9.8000000000000007</v>
      </c>
      <c r="I237" s="123"/>
    </row>
    <row r="238" spans="1:9" s="17" customFormat="1" ht="12.75" customHeight="1" x14ac:dyDescent="0.2">
      <c r="A238" s="65">
        <v>229</v>
      </c>
      <c r="B238" s="60" t="s">
        <v>3539</v>
      </c>
      <c r="C238" s="120" t="s">
        <v>5373</v>
      </c>
      <c r="D238" s="120"/>
      <c r="E238" s="120"/>
      <c r="F238" s="124" t="s">
        <v>45</v>
      </c>
      <c r="G238" s="124"/>
      <c r="H238" s="123">
        <v>21.6</v>
      </c>
      <c r="I238" s="123"/>
    </row>
    <row r="239" spans="1:9" s="17" customFormat="1" ht="12.75" customHeight="1" x14ac:dyDescent="0.2">
      <c r="A239" s="65">
        <v>230</v>
      </c>
      <c r="B239" s="60"/>
      <c r="C239" s="117" t="s">
        <v>4273</v>
      </c>
      <c r="D239" s="118"/>
      <c r="E239" s="119"/>
      <c r="F239" s="113" t="s">
        <v>59</v>
      </c>
      <c r="G239" s="114"/>
      <c r="H239" s="115">
        <v>70.5</v>
      </c>
      <c r="I239" s="116"/>
    </row>
    <row r="240" spans="1:9" s="17" customFormat="1" ht="12.75" customHeight="1" x14ac:dyDescent="0.2">
      <c r="A240" s="65">
        <v>231</v>
      </c>
      <c r="B240" s="60"/>
      <c r="C240" s="117" t="s">
        <v>1492</v>
      </c>
      <c r="D240" s="118"/>
      <c r="E240" s="119"/>
      <c r="F240" s="113" t="s">
        <v>59</v>
      </c>
      <c r="G240" s="114"/>
      <c r="H240" s="115">
        <f>3.8+3.8-3.8</f>
        <v>3.8</v>
      </c>
      <c r="I240" s="116"/>
    </row>
    <row r="241" spans="1:9" s="16" customFormat="1" ht="12" customHeight="1" x14ac:dyDescent="0.2">
      <c r="A241" s="65">
        <v>232</v>
      </c>
      <c r="B241" s="60"/>
      <c r="C241" s="112" t="s">
        <v>3195</v>
      </c>
      <c r="D241" s="112"/>
      <c r="E241" s="112"/>
      <c r="F241" s="113" t="s">
        <v>59</v>
      </c>
      <c r="G241" s="114"/>
      <c r="H241" s="123">
        <f>319.5-39.4-31-23.5-0.7-39.6-0.8-9.4-44.8</f>
        <v>130.30000000000001</v>
      </c>
      <c r="I241" s="123"/>
    </row>
    <row r="242" spans="1:9" s="17" customFormat="1" ht="12.75" customHeight="1" x14ac:dyDescent="0.2">
      <c r="A242" s="65">
        <v>233</v>
      </c>
      <c r="B242" s="60" t="s">
        <v>2242</v>
      </c>
      <c r="C242" s="128" t="s">
        <v>4132</v>
      </c>
      <c r="D242" s="126"/>
      <c r="E242" s="127"/>
      <c r="F242" s="113" t="s">
        <v>57</v>
      </c>
      <c r="G242" s="114"/>
      <c r="H242" s="115">
        <f>25.2+54</f>
        <v>79.2</v>
      </c>
      <c r="I242" s="116"/>
    </row>
    <row r="243" spans="1:9" s="17" customFormat="1" ht="12.75" customHeight="1" x14ac:dyDescent="0.2">
      <c r="A243" s="65">
        <v>234</v>
      </c>
      <c r="B243" s="60"/>
      <c r="C243" s="117" t="s">
        <v>4258</v>
      </c>
      <c r="D243" s="118"/>
      <c r="E243" s="119"/>
      <c r="F243" s="113" t="s">
        <v>140</v>
      </c>
      <c r="G243" s="114"/>
      <c r="H243" s="115">
        <f>42.6-8.5-8.6-8.7-1.5-1.5-2.8-5.6+0.1+2.6-1.3-2.6+2.8+2.9-2.9+292+3.7+2.4+2.6-32.7-2.6-12.1+7.3-4.2-5.4-3.5-3.6-4-8.7-2.2-7.1-3-4.3</f>
        <v>221.60000000000002</v>
      </c>
      <c r="I243" s="116"/>
    </row>
    <row r="244" spans="1:9" s="17" customFormat="1" ht="12.75" customHeight="1" x14ac:dyDescent="0.2">
      <c r="A244" s="65">
        <v>235</v>
      </c>
      <c r="B244" s="60"/>
      <c r="C244" s="112" t="s">
        <v>750</v>
      </c>
      <c r="D244" s="112"/>
      <c r="E244" s="112"/>
      <c r="F244" s="113" t="s">
        <v>59</v>
      </c>
      <c r="G244" s="114"/>
      <c r="H244" s="123"/>
      <c r="I244" s="123"/>
    </row>
    <row r="245" spans="1:9" s="17" customFormat="1" ht="11.25" customHeight="1" x14ac:dyDescent="0.2">
      <c r="A245" s="65">
        <v>236</v>
      </c>
      <c r="B245" s="60"/>
      <c r="C245" s="120" t="s">
        <v>1179</v>
      </c>
      <c r="D245" s="126"/>
      <c r="E245" s="127"/>
      <c r="F245" s="113" t="s">
        <v>57</v>
      </c>
      <c r="G245" s="114"/>
      <c r="H245" s="123">
        <f>45-1.7-1.7-1.7-1.7-1.6-6.4-1.7</f>
        <v>28.499999999999989</v>
      </c>
      <c r="I245" s="116"/>
    </row>
    <row r="246" spans="1:9" s="17" customFormat="1" ht="12.75" customHeight="1" x14ac:dyDescent="0.2">
      <c r="A246" s="65">
        <v>237</v>
      </c>
      <c r="B246" s="60" t="s">
        <v>2876</v>
      </c>
      <c r="C246" s="120" t="s">
        <v>5269</v>
      </c>
      <c r="D246" s="120"/>
      <c r="E246" s="120"/>
      <c r="F246" s="121" t="s">
        <v>271</v>
      </c>
      <c r="G246" s="122"/>
      <c r="H246" s="123">
        <v>72</v>
      </c>
      <c r="I246" s="123"/>
    </row>
    <row r="247" spans="1:9" s="17" customFormat="1" ht="12.75" customHeight="1" x14ac:dyDescent="0.2">
      <c r="A247" s="65">
        <v>238</v>
      </c>
      <c r="B247" s="60" t="s">
        <v>2876</v>
      </c>
      <c r="C247" s="120" t="s">
        <v>5317</v>
      </c>
      <c r="D247" s="120"/>
      <c r="E247" s="120"/>
      <c r="F247" s="121" t="s">
        <v>271</v>
      </c>
      <c r="G247" s="122"/>
      <c r="H247" s="123">
        <v>8.6999999999999993</v>
      </c>
      <c r="I247" s="123"/>
    </row>
    <row r="248" spans="1:9" s="17" customFormat="1" ht="12.75" customHeight="1" x14ac:dyDescent="0.2">
      <c r="A248" s="65">
        <v>239</v>
      </c>
      <c r="B248" s="60"/>
      <c r="C248" s="117" t="s">
        <v>4570</v>
      </c>
      <c r="D248" s="118"/>
      <c r="E248" s="119"/>
      <c r="F248" s="113" t="s">
        <v>59</v>
      </c>
      <c r="G248" s="114"/>
      <c r="H248" s="115">
        <f>143.1+132.5+53.2-9-18.2-14-4.8-15.5-37-1.5-9.3-30-9.6-10-14.1-10.1-15.6-9.7-4.9-9.3-17.8-9-9.6-15.2-28.6-23.2+15.6-13.6</f>
        <v>4.8000000000000203</v>
      </c>
      <c r="I248" s="116"/>
    </row>
    <row r="249" spans="1:9" s="17" customFormat="1" ht="12.75" customHeight="1" x14ac:dyDescent="0.2">
      <c r="A249" s="65">
        <v>240</v>
      </c>
      <c r="B249" s="60"/>
      <c r="C249" s="117" t="s">
        <v>1186</v>
      </c>
      <c r="D249" s="118"/>
      <c r="E249" s="119"/>
      <c r="F249" s="113" t="s">
        <v>29</v>
      </c>
      <c r="G249" s="114"/>
      <c r="H249" s="115">
        <v>5.8</v>
      </c>
      <c r="I249" s="116"/>
    </row>
    <row r="250" spans="1:9" s="17" customFormat="1" ht="12.75" customHeight="1" x14ac:dyDescent="0.2">
      <c r="A250" s="65">
        <v>241</v>
      </c>
      <c r="B250" s="60" t="s">
        <v>2242</v>
      </c>
      <c r="C250" s="112" t="s">
        <v>3711</v>
      </c>
      <c r="D250" s="112"/>
      <c r="E250" s="112"/>
      <c r="F250" s="113" t="s">
        <v>57</v>
      </c>
      <c r="G250" s="114"/>
      <c r="H250" s="115">
        <v>4</v>
      </c>
      <c r="I250" s="116"/>
    </row>
    <row r="251" spans="1:9" s="17" customFormat="1" ht="12.75" customHeight="1" x14ac:dyDescent="0.2">
      <c r="A251" s="65">
        <v>242</v>
      </c>
      <c r="B251" s="60"/>
      <c r="C251" s="112" t="s">
        <v>3722</v>
      </c>
      <c r="D251" s="112"/>
      <c r="E251" s="112"/>
      <c r="F251" s="121" t="s">
        <v>33</v>
      </c>
      <c r="G251" s="122"/>
      <c r="H251" s="123">
        <v>1.9</v>
      </c>
      <c r="I251" s="123"/>
    </row>
    <row r="252" spans="1:9" s="17" customFormat="1" ht="12.75" customHeight="1" x14ac:dyDescent="0.2">
      <c r="A252" s="65">
        <v>243</v>
      </c>
      <c r="B252" s="60" t="s">
        <v>3666</v>
      </c>
      <c r="C252" s="117" t="s">
        <v>3772</v>
      </c>
      <c r="D252" s="118"/>
      <c r="E252" s="119"/>
      <c r="F252" s="113" t="s">
        <v>59</v>
      </c>
      <c r="G252" s="114"/>
      <c r="H252" s="115">
        <v>16.899999999999999</v>
      </c>
      <c r="I252" s="116"/>
    </row>
    <row r="253" spans="1:9" s="17" customFormat="1" ht="12.75" customHeight="1" x14ac:dyDescent="0.2">
      <c r="A253" s="65">
        <v>244</v>
      </c>
      <c r="B253" s="60"/>
      <c r="C253" s="112" t="s">
        <v>2826</v>
      </c>
      <c r="D253" s="112"/>
      <c r="E253" s="112"/>
      <c r="F253" s="113" t="s">
        <v>59</v>
      </c>
      <c r="G253" s="114"/>
      <c r="H253" s="123">
        <f>140-1-6.1-6.1-1.8-4.4-6.3-6.1-1.8-1.8-6.2-1.8-22.5-6.2+8.5-6.4-25-3.5-3.5-2.7</f>
        <v>35.300000000000011</v>
      </c>
      <c r="I253" s="123"/>
    </row>
    <row r="254" spans="1:9" s="17" customFormat="1" ht="12.75" customHeight="1" x14ac:dyDescent="0.2">
      <c r="A254" s="65">
        <v>245</v>
      </c>
      <c r="B254" s="60" t="s">
        <v>2242</v>
      </c>
      <c r="C254" s="112" t="s">
        <v>5025</v>
      </c>
      <c r="D254" s="112"/>
      <c r="E254" s="112"/>
      <c r="F254" s="113" t="s">
        <v>59</v>
      </c>
      <c r="G254" s="114"/>
      <c r="H254" s="123">
        <f>306-6.6-2.2-6.2-12.5-19.5-2.7-43-15.5-57.7-3.5-12.8-3.5-6.2-3.6-6.3-6.5-32.7-6.4-32.2</f>
        <v>26.400000000000027</v>
      </c>
      <c r="I254" s="123"/>
    </row>
    <row r="255" spans="1:9" s="17" customFormat="1" ht="12.75" customHeight="1" x14ac:dyDescent="0.2">
      <c r="A255" s="65">
        <v>246</v>
      </c>
      <c r="B255" s="60" t="s">
        <v>2242</v>
      </c>
      <c r="C255" s="117" t="s">
        <v>4282</v>
      </c>
      <c r="D255" s="118"/>
      <c r="E255" s="119"/>
      <c r="F255" s="113" t="s">
        <v>29</v>
      </c>
      <c r="G255" s="114"/>
      <c r="H255" s="115">
        <f>15.5+2.1</f>
        <v>17.600000000000001</v>
      </c>
      <c r="I255" s="116"/>
    </row>
    <row r="256" spans="1:9" s="17" customFormat="1" ht="12.75" customHeight="1" x14ac:dyDescent="0.2">
      <c r="A256" s="65">
        <v>247</v>
      </c>
      <c r="B256" s="60" t="s">
        <v>2934</v>
      </c>
      <c r="C256" s="117" t="s">
        <v>5322</v>
      </c>
      <c r="D256" s="118"/>
      <c r="E256" s="119"/>
      <c r="F256" s="113" t="s">
        <v>184</v>
      </c>
      <c r="G256" s="114"/>
      <c r="H256" s="123">
        <v>4.3</v>
      </c>
      <c r="I256" s="123"/>
    </row>
    <row r="257" spans="1:9" s="17" customFormat="1" ht="12.75" customHeight="1" x14ac:dyDescent="0.2">
      <c r="A257" s="65">
        <v>248</v>
      </c>
      <c r="B257" s="60"/>
      <c r="C257" s="117" t="s">
        <v>4746</v>
      </c>
      <c r="D257" s="118"/>
      <c r="E257" s="119"/>
      <c r="F257" s="113" t="s">
        <v>59</v>
      </c>
      <c r="G257" s="114"/>
      <c r="H257" s="115">
        <f>52.7-14+20.8-1+81.3-0.3-0.8+31+2.3-2-1.7-6.3-10.5-0.5-10.2-15.6-23-12.9-44-3+4.5-3.3-2.5-3.6-2</f>
        <v>35.400000000000013</v>
      </c>
      <c r="I257" s="116"/>
    </row>
    <row r="258" spans="1:9" s="17" customFormat="1" ht="28.5" customHeight="1" x14ac:dyDescent="0.2">
      <c r="A258" s="65">
        <v>249</v>
      </c>
      <c r="B258" s="60"/>
      <c r="C258" s="117" t="s">
        <v>3270</v>
      </c>
      <c r="D258" s="118"/>
      <c r="E258" s="119"/>
      <c r="F258" s="121" t="s">
        <v>17</v>
      </c>
      <c r="G258" s="122"/>
      <c r="H258" s="115">
        <f>17.8+19-10+8.8+41.6-0.4-2.1-13-4.6+1.2-2.5-1.6</f>
        <v>54.199999999999989</v>
      </c>
      <c r="I258" s="116"/>
    </row>
    <row r="259" spans="1:9" s="17" customFormat="1" ht="12.75" customHeight="1" x14ac:dyDescent="0.2">
      <c r="A259" s="65">
        <v>250</v>
      </c>
      <c r="B259" s="60"/>
      <c r="C259" s="117" t="s">
        <v>3373</v>
      </c>
      <c r="D259" s="118"/>
      <c r="E259" s="119"/>
      <c r="F259" s="121" t="s">
        <v>71</v>
      </c>
      <c r="G259" s="122"/>
      <c r="H259" s="115">
        <f>28.2+12+31.4-0.8+14.6-1.6+52.7-23-42</f>
        <v>71.5</v>
      </c>
      <c r="I259" s="116"/>
    </row>
    <row r="260" spans="1:9" s="17" customFormat="1" ht="12.75" customHeight="1" x14ac:dyDescent="0.2">
      <c r="A260" s="65">
        <v>251</v>
      </c>
      <c r="B260" s="60"/>
      <c r="C260" s="117" t="s">
        <v>1953</v>
      </c>
      <c r="D260" s="118"/>
      <c r="E260" s="119"/>
      <c r="F260" s="121" t="s">
        <v>71</v>
      </c>
      <c r="G260" s="122"/>
      <c r="H260" s="115">
        <v>6.4</v>
      </c>
      <c r="I260" s="116"/>
    </row>
    <row r="261" spans="1:9" s="17" customFormat="1" ht="11.25" x14ac:dyDescent="0.2">
      <c r="A261" s="65">
        <v>252</v>
      </c>
      <c r="B261" s="60" t="s">
        <v>2242</v>
      </c>
      <c r="C261" s="117" t="s">
        <v>4186</v>
      </c>
      <c r="D261" s="118"/>
      <c r="E261" s="119"/>
      <c r="F261" s="113" t="s">
        <v>29</v>
      </c>
      <c r="G261" s="114"/>
      <c r="H261" s="115">
        <f>11+33.4-3-1-4.4-12.8-0.3+2.6</f>
        <v>25.5</v>
      </c>
      <c r="I261" s="116"/>
    </row>
    <row r="262" spans="1:9" s="17" customFormat="1" ht="12.75" customHeight="1" x14ac:dyDescent="0.2">
      <c r="A262" s="65">
        <v>253</v>
      </c>
      <c r="B262" s="60" t="s">
        <v>2242</v>
      </c>
      <c r="C262" s="117" t="s">
        <v>4414</v>
      </c>
      <c r="D262" s="118"/>
      <c r="E262" s="119"/>
      <c r="F262" s="113" t="s">
        <v>140</v>
      </c>
      <c r="G262" s="114"/>
      <c r="H262" s="115">
        <f>41.3-12.1</f>
        <v>29.199999999999996</v>
      </c>
      <c r="I262" s="116"/>
    </row>
    <row r="263" spans="1:9" s="17" customFormat="1" ht="11.25" x14ac:dyDescent="0.2">
      <c r="A263" s="65">
        <v>254</v>
      </c>
      <c r="B263" s="60"/>
      <c r="C263" s="117" t="s">
        <v>3454</v>
      </c>
      <c r="D263" s="118"/>
      <c r="E263" s="119"/>
      <c r="F263" s="113" t="s">
        <v>29</v>
      </c>
      <c r="G263" s="114"/>
      <c r="H263" s="115">
        <f>37.8-2.1-1-3.3+5+4.6-12.8-4.2+2.6+2-6.8-10+1.5-11.3+10.6+3.9+2.8-1.8-2.1-0.9+2.5+9.3-5.3-3.2-2-1-1</f>
        <v>13.799999999999994</v>
      </c>
      <c r="I263" s="116"/>
    </row>
    <row r="264" spans="1:9" s="17" customFormat="1" ht="12.75" customHeight="1" x14ac:dyDescent="0.2">
      <c r="A264" s="65">
        <v>255</v>
      </c>
      <c r="B264" s="60" t="s">
        <v>5158</v>
      </c>
      <c r="C264" s="112" t="s">
        <v>5164</v>
      </c>
      <c r="D264" s="112"/>
      <c r="E264" s="112"/>
      <c r="F264" s="113" t="s">
        <v>76</v>
      </c>
      <c r="G264" s="114"/>
      <c r="H264" s="115">
        <v>1.8</v>
      </c>
      <c r="I264" s="116"/>
    </row>
    <row r="265" spans="1:9" s="17" customFormat="1" ht="11.25" customHeight="1" x14ac:dyDescent="0.2">
      <c r="A265" s="65">
        <v>256</v>
      </c>
      <c r="B265" s="60"/>
      <c r="C265" s="120" t="s">
        <v>4616</v>
      </c>
      <c r="D265" s="126"/>
      <c r="E265" s="127"/>
      <c r="F265" s="113" t="s">
        <v>76</v>
      </c>
      <c r="G265" s="114"/>
      <c r="H265" s="123">
        <f>12.4-1.5-3.8</f>
        <v>7.1000000000000005</v>
      </c>
      <c r="I265" s="116"/>
    </row>
    <row r="266" spans="1:9" s="16" customFormat="1" ht="12" customHeight="1" x14ac:dyDescent="0.2">
      <c r="A266" s="65">
        <v>257</v>
      </c>
      <c r="B266" s="60" t="s">
        <v>3539</v>
      </c>
      <c r="C266" s="112" t="s">
        <v>3613</v>
      </c>
      <c r="D266" s="112"/>
      <c r="E266" s="112"/>
      <c r="F266" s="121" t="s">
        <v>17</v>
      </c>
      <c r="G266" s="122"/>
      <c r="H266" s="123">
        <f>100.3-51.3+35.8+61.7+12+33.9-2.6-98.5-4.7+4.7-3.3-8-3.1+3.1-13.5-0.5-1</f>
        <v>65.000000000000014</v>
      </c>
      <c r="I266" s="123"/>
    </row>
    <row r="267" spans="1:9" s="17" customFormat="1" ht="12.75" customHeight="1" x14ac:dyDescent="0.2">
      <c r="A267" s="65">
        <v>258</v>
      </c>
      <c r="B267" s="60"/>
      <c r="C267" s="112" t="s">
        <v>1835</v>
      </c>
      <c r="D267" s="112"/>
      <c r="E267" s="112"/>
      <c r="F267" s="121" t="s">
        <v>31</v>
      </c>
      <c r="G267" s="122"/>
      <c r="H267" s="123">
        <f>38.6-1.7+88.3-41.3+35.8-97.5-4.2+34.6+52-6-17.2-0.7-9</f>
        <v>71.699999999999989</v>
      </c>
      <c r="I267" s="123"/>
    </row>
    <row r="268" spans="1:9" s="17" customFormat="1" ht="12.75" customHeight="1" x14ac:dyDescent="0.2">
      <c r="A268" s="65">
        <v>259</v>
      </c>
      <c r="B268" s="60"/>
      <c r="C268" s="112" t="s">
        <v>3150</v>
      </c>
      <c r="D268" s="112"/>
      <c r="E268" s="112"/>
      <c r="F268" s="121" t="s">
        <v>45</v>
      </c>
      <c r="G268" s="122"/>
      <c r="H268" s="123">
        <f>4.9+32+27.2+78+2.8+41+69.6+48.3+38-92.5-40.6-6.8-21.4-3.1-6-3-3-10.2-3.2-26.7-1.3-6-8.8-3.1</f>
        <v>106.10000000000004</v>
      </c>
      <c r="I268" s="123"/>
    </row>
    <row r="269" spans="1:9" s="17" customFormat="1" ht="12.75" customHeight="1" x14ac:dyDescent="0.2">
      <c r="A269" s="65">
        <v>260</v>
      </c>
      <c r="B269" s="60" t="s">
        <v>3539</v>
      </c>
      <c r="C269" s="120" t="s">
        <v>5374</v>
      </c>
      <c r="D269" s="120"/>
      <c r="E269" s="120"/>
      <c r="F269" s="124" t="s">
        <v>45</v>
      </c>
      <c r="G269" s="124"/>
      <c r="H269" s="123">
        <v>4.5</v>
      </c>
      <c r="I269" s="123"/>
    </row>
    <row r="270" spans="1:9" s="17" customFormat="1" ht="12.75" customHeight="1" x14ac:dyDescent="0.2">
      <c r="A270" s="65">
        <v>261</v>
      </c>
      <c r="B270" s="60"/>
      <c r="C270" s="112" t="s">
        <v>623</v>
      </c>
      <c r="D270" s="112"/>
      <c r="E270" s="112"/>
      <c r="F270" s="121" t="s">
        <v>200</v>
      </c>
      <c r="G270" s="122"/>
      <c r="H270" s="123">
        <v>24</v>
      </c>
      <c r="I270" s="123"/>
    </row>
    <row r="271" spans="1:9" s="17" customFormat="1" ht="11.25" customHeight="1" x14ac:dyDescent="0.2">
      <c r="A271" s="65">
        <v>262</v>
      </c>
      <c r="B271" s="60"/>
      <c r="C271" s="120" t="s">
        <v>4275</v>
      </c>
      <c r="D271" s="126"/>
      <c r="E271" s="127"/>
      <c r="F271" s="113" t="s">
        <v>76</v>
      </c>
      <c r="G271" s="114"/>
      <c r="H271" s="123">
        <f>8.9-5.4+2.1+3.6</f>
        <v>9.1999999999999993</v>
      </c>
      <c r="I271" s="116"/>
    </row>
    <row r="272" spans="1:9" s="17" customFormat="1" ht="12.75" customHeight="1" x14ac:dyDescent="0.2">
      <c r="A272" s="65">
        <v>263</v>
      </c>
      <c r="B272" s="60"/>
      <c r="C272" s="112" t="s">
        <v>2616</v>
      </c>
      <c r="D272" s="112"/>
      <c r="E272" s="112"/>
      <c r="F272" s="121" t="s">
        <v>31</v>
      </c>
      <c r="G272" s="122"/>
      <c r="H272" s="123">
        <f>38-3.8+7.8+22.6-3.6+65.6-0.8-7.2+4.4-7.8-13-5-4.4-57.6-0.2</f>
        <v>34.999999999999993</v>
      </c>
      <c r="I272" s="123"/>
    </row>
    <row r="273" spans="1:9" s="17" customFormat="1" ht="12.75" customHeight="1" x14ac:dyDescent="0.2">
      <c r="A273" s="65">
        <v>264</v>
      </c>
      <c r="B273" s="60"/>
      <c r="C273" s="112" t="s">
        <v>1778</v>
      </c>
      <c r="D273" s="112"/>
      <c r="E273" s="112"/>
      <c r="F273" s="121" t="s">
        <v>45</v>
      </c>
      <c r="G273" s="122"/>
      <c r="H273" s="123">
        <v>24.6</v>
      </c>
      <c r="I273" s="123"/>
    </row>
    <row r="274" spans="1:9" s="17" customFormat="1" ht="12.75" customHeight="1" x14ac:dyDescent="0.2">
      <c r="A274" s="65">
        <v>265</v>
      </c>
      <c r="B274" s="60" t="s">
        <v>2241</v>
      </c>
      <c r="C274" s="120" t="s">
        <v>5242</v>
      </c>
      <c r="D274" s="126"/>
      <c r="E274" s="127"/>
      <c r="F274" s="113" t="s">
        <v>76</v>
      </c>
      <c r="G274" s="114"/>
      <c r="H274" s="115">
        <v>19.8</v>
      </c>
      <c r="I274" s="116"/>
    </row>
    <row r="275" spans="1:9" s="17" customFormat="1" ht="11.25" customHeight="1" x14ac:dyDescent="0.2">
      <c r="A275" s="65">
        <v>266</v>
      </c>
      <c r="B275" s="60" t="s">
        <v>2242</v>
      </c>
      <c r="C275" s="120" t="s">
        <v>4893</v>
      </c>
      <c r="D275" s="126"/>
      <c r="E275" s="127"/>
      <c r="F275" s="113" t="s">
        <v>62</v>
      </c>
      <c r="G275" s="114"/>
      <c r="H275" s="123">
        <f>24.7-4.2+4.6+2.7-4.6-1.5-2.7-4.4+4.8-8.2</f>
        <v>11.200000000000003</v>
      </c>
      <c r="I275" s="116"/>
    </row>
    <row r="276" spans="1:9" s="17" customFormat="1" ht="11.25" customHeight="1" x14ac:dyDescent="0.2">
      <c r="A276" s="65">
        <v>267</v>
      </c>
      <c r="B276" s="60"/>
      <c r="C276" s="120" t="s">
        <v>4985</v>
      </c>
      <c r="D276" s="126"/>
      <c r="E276" s="127"/>
      <c r="F276" s="113" t="s">
        <v>76</v>
      </c>
      <c r="G276" s="114"/>
      <c r="H276" s="123">
        <f>4.6+5+2.9-7.1+0.2+3.9</f>
        <v>9.5</v>
      </c>
      <c r="I276" s="116"/>
    </row>
    <row r="277" spans="1:9" s="17" customFormat="1" ht="12.75" customHeight="1" x14ac:dyDescent="0.2">
      <c r="A277" s="65">
        <v>268</v>
      </c>
      <c r="B277" s="60"/>
      <c r="C277" s="112" t="s">
        <v>2683</v>
      </c>
      <c r="D277" s="112"/>
      <c r="E277" s="112"/>
      <c r="F277" s="121" t="s">
        <v>200</v>
      </c>
      <c r="G277" s="122"/>
      <c r="H277" s="123">
        <f>8.8-2.2-2-2.3-0.1</f>
        <v>2.2000000000000006</v>
      </c>
      <c r="I277" s="123"/>
    </row>
    <row r="278" spans="1:9" s="17" customFormat="1" ht="12.75" customHeight="1" x14ac:dyDescent="0.2">
      <c r="A278" s="65">
        <v>269</v>
      </c>
      <c r="B278" s="60"/>
      <c r="C278" s="112" t="s">
        <v>1775</v>
      </c>
      <c r="D278" s="112"/>
      <c r="E278" s="112"/>
      <c r="F278" s="113" t="s">
        <v>62</v>
      </c>
      <c r="G278" s="114"/>
      <c r="H278" s="123"/>
      <c r="I278" s="123"/>
    </row>
    <row r="279" spans="1:9" s="17" customFormat="1" ht="12.75" customHeight="1" x14ac:dyDescent="0.2">
      <c r="A279" s="65">
        <v>270</v>
      </c>
      <c r="B279" s="60"/>
      <c r="C279" s="112" t="s">
        <v>2650</v>
      </c>
      <c r="D279" s="112"/>
      <c r="E279" s="112"/>
      <c r="F279" s="121" t="s">
        <v>31</v>
      </c>
      <c r="G279" s="122"/>
      <c r="H279" s="123">
        <f>8.2-4</f>
        <v>4.1999999999999993</v>
      </c>
      <c r="I279" s="123"/>
    </row>
    <row r="280" spans="1:9" s="17" customFormat="1" ht="11.25" customHeight="1" x14ac:dyDescent="0.2">
      <c r="A280" s="65">
        <v>271</v>
      </c>
      <c r="B280" s="60" t="s">
        <v>2242</v>
      </c>
      <c r="C280" s="112" t="s">
        <v>2651</v>
      </c>
      <c r="D280" s="112"/>
      <c r="E280" s="112"/>
      <c r="F280" s="113" t="s">
        <v>76</v>
      </c>
      <c r="G280" s="114"/>
      <c r="H280" s="123">
        <f>29.2-5.2-3.3</f>
        <v>20.7</v>
      </c>
      <c r="I280" s="116"/>
    </row>
    <row r="281" spans="1:9" s="17" customFormat="1" ht="11.25" customHeight="1" x14ac:dyDescent="0.2">
      <c r="A281" s="65">
        <v>272</v>
      </c>
      <c r="B281" s="60" t="s">
        <v>2241</v>
      </c>
      <c r="C281" s="112" t="s">
        <v>4131</v>
      </c>
      <c r="D281" s="112"/>
      <c r="E281" s="112"/>
      <c r="F281" s="113" t="s">
        <v>62</v>
      </c>
      <c r="G281" s="114"/>
      <c r="H281" s="123">
        <f>112.5+5.8+7+4.7</f>
        <v>130</v>
      </c>
      <c r="I281" s="116"/>
    </row>
    <row r="282" spans="1:9" s="17" customFormat="1" ht="12.75" customHeight="1" x14ac:dyDescent="0.2">
      <c r="A282" s="65">
        <v>273</v>
      </c>
      <c r="B282" s="60" t="s">
        <v>2241</v>
      </c>
      <c r="C282" s="117" t="s">
        <v>4545</v>
      </c>
      <c r="D282" s="118"/>
      <c r="E282" s="119"/>
      <c r="F282" s="113" t="s">
        <v>29</v>
      </c>
      <c r="G282" s="114"/>
      <c r="H282" s="115">
        <v>11.2</v>
      </c>
      <c r="I282" s="116"/>
    </row>
    <row r="283" spans="1:9" s="17" customFormat="1" ht="12.75" customHeight="1" x14ac:dyDescent="0.2">
      <c r="A283" s="65">
        <v>274</v>
      </c>
      <c r="B283" s="60"/>
      <c r="C283" s="117" t="s">
        <v>4276</v>
      </c>
      <c r="D283" s="118"/>
      <c r="E283" s="119"/>
      <c r="F283" s="113" t="s">
        <v>29</v>
      </c>
      <c r="G283" s="114"/>
      <c r="H283" s="115">
        <v>4.7</v>
      </c>
      <c r="I283" s="116"/>
    </row>
    <row r="284" spans="1:9" s="17" customFormat="1" ht="12.75" customHeight="1" x14ac:dyDescent="0.2">
      <c r="A284" s="65">
        <v>275</v>
      </c>
      <c r="B284" s="60"/>
      <c r="C284" s="117" t="s">
        <v>4284</v>
      </c>
      <c r="D284" s="118"/>
      <c r="E284" s="119"/>
      <c r="F284" s="113" t="s">
        <v>29</v>
      </c>
      <c r="G284" s="114"/>
      <c r="H284" s="115">
        <v>6.4</v>
      </c>
      <c r="I284" s="116"/>
    </row>
    <row r="285" spans="1:9" s="17" customFormat="1" ht="12.75" customHeight="1" x14ac:dyDescent="0.2">
      <c r="A285" s="65">
        <v>276</v>
      </c>
      <c r="B285" s="60"/>
      <c r="C285" s="117" t="s">
        <v>4070</v>
      </c>
      <c r="D285" s="118"/>
      <c r="E285" s="119"/>
      <c r="F285" s="113" t="s">
        <v>29</v>
      </c>
      <c r="G285" s="114"/>
      <c r="H285" s="115">
        <f>10.5+8.7-1.8-1.6-2.7-4.2-1.8</f>
        <v>7.0999999999999988</v>
      </c>
      <c r="I285" s="116"/>
    </row>
    <row r="286" spans="1:9" s="17" customFormat="1" ht="11.25" customHeight="1" x14ac:dyDescent="0.2">
      <c r="A286" s="65">
        <v>277</v>
      </c>
      <c r="B286" s="60"/>
      <c r="C286" s="120" t="s">
        <v>2961</v>
      </c>
      <c r="D286" s="126"/>
      <c r="E286" s="127"/>
      <c r="F286" s="113" t="s">
        <v>62</v>
      </c>
      <c r="G286" s="114"/>
      <c r="H286" s="123">
        <f>39.5+1.6-1.7-1.5-1.5-3.4-8-5.8-3-1.6+11.2-1.6-7.7-4-4.6-3.6-2.3-0.7</f>
        <v>1.2999999999999974</v>
      </c>
      <c r="I286" s="116"/>
    </row>
    <row r="287" spans="1:9" s="17" customFormat="1" ht="11.25" customHeight="1" x14ac:dyDescent="0.2">
      <c r="A287" s="65">
        <v>278</v>
      </c>
      <c r="B287" s="60" t="s">
        <v>3636</v>
      </c>
      <c r="C287" s="120" t="s">
        <v>3791</v>
      </c>
      <c r="D287" s="126"/>
      <c r="E287" s="127"/>
      <c r="F287" s="113" t="s">
        <v>76</v>
      </c>
      <c r="G287" s="114"/>
      <c r="H287" s="123">
        <v>24.6</v>
      </c>
      <c r="I287" s="116"/>
    </row>
    <row r="288" spans="1:9" s="17" customFormat="1" ht="11.25" customHeight="1" x14ac:dyDescent="0.2">
      <c r="A288" s="65">
        <v>279</v>
      </c>
      <c r="B288" s="60" t="s">
        <v>3636</v>
      </c>
      <c r="C288" s="120" t="s">
        <v>3792</v>
      </c>
      <c r="D288" s="126"/>
      <c r="E288" s="127"/>
      <c r="F288" s="113" t="s">
        <v>57</v>
      </c>
      <c r="G288" s="114"/>
      <c r="H288" s="123">
        <v>3.8</v>
      </c>
      <c r="I288" s="116"/>
    </row>
    <row r="289" spans="1:9" s="17" customFormat="1" ht="12.75" customHeight="1" x14ac:dyDescent="0.2">
      <c r="A289" s="65">
        <v>280</v>
      </c>
      <c r="B289" s="60" t="s">
        <v>2241</v>
      </c>
      <c r="C289" s="117" t="s">
        <v>5275</v>
      </c>
      <c r="D289" s="118"/>
      <c r="E289" s="119"/>
      <c r="F289" s="121" t="s">
        <v>291</v>
      </c>
      <c r="G289" s="122"/>
      <c r="H289" s="123">
        <v>34.799999999999997</v>
      </c>
      <c r="I289" s="123"/>
    </row>
    <row r="290" spans="1:9" s="17" customFormat="1" ht="12.75" customHeight="1" x14ac:dyDescent="0.2">
      <c r="A290" s="65">
        <v>281</v>
      </c>
      <c r="B290" s="60" t="s">
        <v>3557</v>
      </c>
      <c r="C290" s="117" t="s">
        <v>3771</v>
      </c>
      <c r="D290" s="118"/>
      <c r="E290" s="119"/>
      <c r="F290" s="113" t="s">
        <v>59</v>
      </c>
      <c r="G290" s="114"/>
      <c r="H290" s="115">
        <v>5.5</v>
      </c>
      <c r="I290" s="116"/>
    </row>
    <row r="291" spans="1:9" s="17" customFormat="1" ht="11.25" customHeight="1" x14ac:dyDescent="0.2">
      <c r="A291" s="65">
        <v>282</v>
      </c>
      <c r="B291" s="60" t="s">
        <v>3636</v>
      </c>
      <c r="C291" s="120" t="s">
        <v>4674</v>
      </c>
      <c r="D291" s="126"/>
      <c r="E291" s="127"/>
      <c r="F291" s="113" t="s">
        <v>76</v>
      </c>
      <c r="G291" s="114"/>
      <c r="H291" s="123">
        <f>6.2-1.7-1.5+1.6-1.6</f>
        <v>2.9999999999999996</v>
      </c>
      <c r="I291" s="116"/>
    </row>
    <row r="292" spans="1:9" s="17" customFormat="1" ht="12.75" customHeight="1" x14ac:dyDescent="0.2">
      <c r="A292" s="65">
        <v>283</v>
      </c>
      <c r="B292" s="60" t="s">
        <v>2241</v>
      </c>
      <c r="C292" s="117" t="s">
        <v>4932</v>
      </c>
      <c r="D292" s="118"/>
      <c r="E292" s="119"/>
      <c r="F292" s="121" t="s">
        <v>354</v>
      </c>
      <c r="G292" s="122"/>
      <c r="H292" s="123">
        <f>21.5-2.2</f>
        <v>19.3</v>
      </c>
      <c r="I292" s="123"/>
    </row>
    <row r="293" spans="1:9" s="17" customFormat="1" ht="12.75" customHeight="1" x14ac:dyDescent="0.2">
      <c r="A293" s="65">
        <v>284</v>
      </c>
      <c r="B293" s="60"/>
      <c r="C293" s="120" t="s">
        <v>3725</v>
      </c>
      <c r="D293" s="126"/>
      <c r="E293" s="127"/>
      <c r="F293" s="113" t="s">
        <v>76</v>
      </c>
      <c r="G293" s="114"/>
      <c r="H293" s="123">
        <v>13.1</v>
      </c>
      <c r="I293" s="123"/>
    </row>
    <row r="294" spans="1:9" s="17" customFormat="1" ht="11.25" customHeight="1" x14ac:dyDescent="0.2">
      <c r="A294" s="65">
        <v>285</v>
      </c>
      <c r="B294" s="60" t="s">
        <v>3636</v>
      </c>
      <c r="C294" s="120" t="s">
        <v>3790</v>
      </c>
      <c r="D294" s="126"/>
      <c r="E294" s="127"/>
      <c r="F294" s="113" t="s">
        <v>76</v>
      </c>
      <c r="G294" s="114"/>
      <c r="H294" s="123">
        <v>2.5</v>
      </c>
      <c r="I294" s="116"/>
    </row>
    <row r="295" spans="1:9" s="17" customFormat="1" ht="12.75" customHeight="1" x14ac:dyDescent="0.2">
      <c r="A295" s="65">
        <v>286</v>
      </c>
      <c r="B295" s="60" t="s">
        <v>3666</v>
      </c>
      <c r="C295" s="117" t="s">
        <v>3891</v>
      </c>
      <c r="D295" s="118"/>
      <c r="E295" s="119"/>
      <c r="F295" s="113" t="s">
        <v>59</v>
      </c>
      <c r="G295" s="114"/>
      <c r="H295" s="115">
        <f>75.5-10.4</f>
        <v>65.099999999999994</v>
      </c>
      <c r="I295" s="116"/>
    </row>
    <row r="296" spans="1:9" s="17" customFormat="1" ht="12.75" customHeight="1" x14ac:dyDescent="0.2">
      <c r="A296" s="65">
        <v>287</v>
      </c>
      <c r="B296" s="60" t="s">
        <v>3601</v>
      </c>
      <c r="C296" s="112" t="s">
        <v>4470</v>
      </c>
      <c r="D296" s="112"/>
      <c r="E296" s="112"/>
      <c r="F296" s="121" t="s">
        <v>70</v>
      </c>
      <c r="G296" s="122"/>
      <c r="H296" s="123">
        <v>1.6</v>
      </c>
      <c r="I296" s="123"/>
    </row>
    <row r="297" spans="1:9" s="17" customFormat="1" ht="12.75" customHeight="1" x14ac:dyDescent="0.2">
      <c r="A297" s="65">
        <v>288</v>
      </c>
      <c r="B297" s="60"/>
      <c r="C297" s="117" t="s">
        <v>4510</v>
      </c>
      <c r="D297" s="118"/>
      <c r="E297" s="119"/>
      <c r="F297" s="113" t="s">
        <v>59</v>
      </c>
      <c r="G297" s="114"/>
      <c r="H297" s="115">
        <f>36-0.8-2.3</f>
        <v>32.900000000000006</v>
      </c>
      <c r="I297" s="116"/>
    </row>
    <row r="298" spans="1:9" s="16" customFormat="1" ht="12" customHeight="1" x14ac:dyDescent="0.2">
      <c r="A298" s="65">
        <v>289</v>
      </c>
      <c r="B298" s="60"/>
      <c r="C298" s="120" t="s">
        <v>2018</v>
      </c>
      <c r="D298" s="120"/>
      <c r="E298" s="120"/>
      <c r="F298" s="113" t="s">
        <v>59</v>
      </c>
      <c r="G298" s="114"/>
      <c r="H298" s="123">
        <f>268.4-6.2-6.2-0.4-12.5+35-15.5+314.5+12-10.2-0.7-12-15.5-5-4.8-3-6.4-1.7-11-12.7-12.6-37.5-6.4-4.3-18</f>
        <v>427.29999999999995</v>
      </c>
      <c r="I298" s="123"/>
    </row>
    <row r="299" spans="1:9" s="17" customFormat="1" ht="12.75" customHeight="1" x14ac:dyDescent="0.2">
      <c r="A299" s="65">
        <v>290</v>
      </c>
      <c r="B299" s="60"/>
      <c r="C299" s="112" t="s">
        <v>436</v>
      </c>
      <c r="D299" s="112"/>
      <c r="E299" s="112"/>
      <c r="F299" s="113" t="s">
        <v>76</v>
      </c>
      <c r="G299" s="114"/>
      <c r="H299" s="123"/>
      <c r="I299" s="123"/>
    </row>
    <row r="300" spans="1:9" s="17" customFormat="1" ht="12.75" customHeight="1" x14ac:dyDescent="0.2">
      <c r="A300" s="65">
        <v>291</v>
      </c>
      <c r="B300" s="60"/>
      <c r="C300" s="117" t="s">
        <v>4858</v>
      </c>
      <c r="D300" s="118"/>
      <c r="E300" s="119"/>
      <c r="F300" s="113" t="s">
        <v>483</v>
      </c>
      <c r="G300" s="114"/>
      <c r="H300" s="115">
        <f>5.3+0.1-2.7-0.9</f>
        <v>1.7999999999999994</v>
      </c>
      <c r="I300" s="116"/>
    </row>
    <row r="301" spans="1:9" s="17" customFormat="1" ht="27" customHeight="1" x14ac:dyDescent="0.2">
      <c r="A301" s="65">
        <v>292</v>
      </c>
      <c r="B301" s="60"/>
      <c r="C301" s="117" t="s">
        <v>5344</v>
      </c>
      <c r="D301" s="118"/>
      <c r="E301" s="119"/>
      <c r="F301" s="113" t="s">
        <v>59</v>
      </c>
      <c r="G301" s="114"/>
      <c r="H301" s="115">
        <f>50.2+25.3+16.4-10-13.5+76+5.3-1-5.7+6.8-2.7+51.8+56.7-2.4-5.3-2.5-0.4-1-1-1.4-1.7-6-1.4-9.5-1.4-26.7-8</f>
        <v>186.9</v>
      </c>
      <c r="I301" s="116"/>
    </row>
    <row r="302" spans="1:9" s="17" customFormat="1" ht="12.75" customHeight="1" x14ac:dyDescent="0.2">
      <c r="A302" s="65">
        <v>293</v>
      </c>
      <c r="B302" s="60" t="s">
        <v>2224</v>
      </c>
      <c r="C302" s="117" t="s">
        <v>3709</v>
      </c>
      <c r="D302" s="118"/>
      <c r="E302" s="119"/>
      <c r="F302" s="113" t="s">
        <v>57</v>
      </c>
      <c r="G302" s="114"/>
      <c r="H302" s="115">
        <v>73.7</v>
      </c>
      <c r="I302" s="116"/>
    </row>
    <row r="303" spans="1:9" s="16" customFormat="1" ht="12" customHeight="1" x14ac:dyDescent="0.2">
      <c r="A303" s="65">
        <v>294</v>
      </c>
      <c r="B303" s="60"/>
      <c r="C303" s="112" t="s">
        <v>4625</v>
      </c>
      <c r="D303" s="112"/>
      <c r="E303" s="112"/>
      <c r="F303" s="121" t="s">
        <v>33</v>
      </c>
      <c r="G303" s="122"/>
      <c r="H303" s="123">
        <f>8.2-2.6-2.7+15-2.9-2.8-1-1-1.5-1.5</f>
        <v>7.1999999999999993</v>
      </c>
      <c r="I303" s="123"/>
    </row>
    <row r="304" spans="1:9" s="17" customFormat="1" ht="12.75" customHeight="1" x14ac:dyDescent="0.2">
      <c r="A304" s="65">
        <v>295</v>
      </c>
      <c r="B304" s="60" t="s">
        <v>2241</v>
      </c>
      <c r="C304" s="112" t="s">
        <v>4905</v>
      </c>
      <c r="D304" s="112"/>
      <c r="E304" s="112"/>
      <c r="F304" s="121" t="s">
        <v>45</v>
      </c>
      <c r="G304" s="122"/>
      <c r="H304" s="123">
        <f>16.6-0.8-0.9+0.1-1</f>
        <v>14</v>
      </c>
      <c r="I304" s="123"/>
    </row>
    <row r="305" spans="1:9" s="17" customFormat="1" ht="12.75" customHeight="1" x14ac:dyDescent="0.2">
      <c r="A305" s="65">
        <v>296</v>
      </c>
      <c r="B305" s="60"/>
      <c r="C305" s="112" t="s">
        <v>4037</v>
      </c>
      <c r="D305" s="112"/>
      <c r="E305" s="112"/>
      <c r="F305" s="121" t="s">
        <v>70</v>
      </c>
      <c r="G305" s="122"/>
      <c r="H305" s="123">
        <v>2.9</v>
      </c>
      <c r="I305" s="123"/>
    </row>
    <row r="306" spans="1:9" s="17" customFormat="1" ht="12.75" customHeight="1" x14ac:dyDescent="0.2">
      <c r="A306" s="65">
        <v>297</v>
      </c>
      <c r="B306" s="60"/>
      <c r="C306" s="117" t="s">
        <v>2377</v>
      </c>
      <c r="D306" s="118"/>
      <c r="E306" s="119"/>
      <c r="F306" s="113" t="s">
        <v>29</v>
      </c>
      <c r="G306" s="114"/>
      <c r="H306" s="115">
        <f>106.6+79-4.7-6.8</f>
        <v>174.1</v>
      </c>
      <c r="I306" s="116"/>
    </row>
    <row r="307" spans="1:9" s="17" customFormat="1" ht="12.75" customHeight="1" x14ac:dyDescent="0.2">
      <c r="A307" s="65">
        <v>298</v>
      </c>
      <c r="B307" s="60"/>
      <c r="C307" s="117" t="s">
        <v>2100</v>
      </c>
      <c r="D307" s="118"/>
      <c r="E307" s="119"/>
      <c r="F307" s="113" t="s">
        <v>29</v>
      </c>
      <c r="G307" s="114"/>
      <c r="H307" s="115">
        <f>14.2-7.1</f>
        <v>7.1</v>
      </c>
      <c r="I307" s="116"/>
    </row>
    <row r="308" spans="1:9" s="17" customFormat="1" ht="12.75" customHeight="1" x14ac:dyDescent="0.2">
      <c r="A308" s="65">
        <v>299</v>
      </c>
      <c r="B308" s="60"/>
      <c r="C308" s="112" t="s">
        <v>4488</v>
      </c>
      <c r="D308" s="112"/>
      <c r="E308" s="112"/>
      <c r="F308" s="113" t="s">
        <v>483</v>
      </c>
      <c r="G308" s="114"/>
      <c r="H308" s="123">
        <f>112-29.8-16.8-3.4+9.4</f>
        <v>71.400000000000006</v>
      </c>
      <c r="I308" s="123"/>
    </row>
    <row r="309" spans="1:9" s="17" customFormat="1" ht="16.5" customHeight="1" x14ac:dyDescent="0.2">
      <c r="A309" s="65">
        <v>300</v>
      </c>
      <c r="B309" s="60"/>
      <c r="C309" s="112" t="s">
        <v>3229</v>
      </c>
      <c r="D309" s="112"/>
      <c r="E309" s="112"/>
      <c r="F309" s="113" t="s">
        <v>76</v>
      </c>
      <c r="G309" s="114"/>
      <c r="H309" s="123">
        <f>60.4+0.6+28.4+4.7+3.5-3.5+6.8+9+33.2-1.2-2.7+3.5-1.6+6.5-4.1+3.3-4-6.4-1.6</f>
        <v>134.80000000000007</v>
      </c>
      <c r="I309" s="123"/>
    </row>
    <row r="310" spans="1:9" s="17" customFormat="1" ht="12.75" customHeight="1" x14ac:dyDescent="0.2">
      <c r="A310" s="65">
        <v>301</v>
      </c>
      <c r="B310" s="60"/>
      <c r="C310" s="112" t="s">
        <v>1287</v>
      </c>
      <c r="D310" s="112"/>
      <c r="E310" s="112"/>
      <c r="F310" s="113" t="s">
        <v>184</v>
      </c>
      <c r="G310" s="114"/>
      <c r="H310" s="123">
        <f>195.5-4.7-7-3.5-3.7</f>
        <v>176.60000000000002</v>
      </c>
      <c r="I310" s="123"/>
    </row>
    <row r="311" spans="1:9" s="17" customFormat="1" ht="12.75" customHeight="1" x14ac:dyDescent="0.2">
      <c r="A311" s="65">
        <v>302</v>
      </c>
      <c r="B311" s="60"/>
      <c r="C311" s="117" t="s">
        <v>478</v>
      </c>
      <c r="D311" s="118"/>
      <c r="E311" s="119"/>
      <c r="F311" s="121" t="s">
        <v>207</v>
      </c>
      <c r="G311" s="122"/>
      <c r="H311" s="115">
        <v>7</v>
      </c>
      <c r="I311" s="116"/>
    </row>
    <row r="312" spans="1:9" s="16" customFormat="1" ht="12" customHeight="1" x14ac:dyDescent="0.2">
      <c r="A312" s="65">
        <v>303</v>
      </c>
      <c r="B312" s="60"/>
      <c r="C312" s="112" t="s">
        <v>1612</v>
      </c>
      <c r="D312" s="112"/>
      <c r="E312" s="112"/>
      <c r="F312" s="121" t="s">
        <v>71</v>
      </c>
      <c r="G312" s="122"/>
      <c r="H312" s="123">
        <f>19-4.2-1.2+6.2-3.1-3.8+8.1+43.4-35+2.2-3.2-5.2-9+2.9-2.2-7</f>
        <v>7.9000000000000057</v>
      </c>
      <c r="I312" s="123"/>
    </row>
    <row r="313" spans="1:9" s="16" customFormat="1" ht="12" customHeight="1" x14ac:dyDescent="0.2">
      <c r="A313" s="65">
        <v>304</v>
      </c>
      <c r="B313" s="60"/>
      <c r="C313" s="112" t="s">
        <v>2150</v>
      </c>
      <c r="D313" s="112"/>
      <c r="E313" s="112"/>
      <c r="F313" s="121" t="s">
        <v>71</v>
      </c>
      <c r="G313" s="122"/>
      <c r="H313" s="123">
        <v>7.5</v>
      </c>
      <c r="I313" s="123"/>
    </row>
    <row r="314" spans="1:9" s="16" customFormat="1" ht="12" customHeight="1" x14ac:dyDescent="0.2">
      <c r="A314" s="65">
        <v>305</v>
      </c>
      <c r="B314" s="60"/>
      <c r="C314" s="112" t="s">
        <v>1647</v>
      </c>
      <c r="D314" s="112"/>
      <c r="E314" s="112"/>
      <c r="F314" s="121" t="s">
        <v>33</v>
      </c>
      <c r="G314" s="122"/>
      <c r="H314" s="123">
        <f>31.2-3.1-3.3+3.1-4+30.9+10.4-12.8-4-3.6-3-2.6-4-7.7-6.7+2.8</f>
        <v>23.600000000000005</v>
      </c>
      <c r="I314" s="123"/>
    </row>
    <row r="315" spans="1:9" s="17" customFormat="1" ht="12.75" customHeight="1" x14ac:dyDescent="0.2">
      <c r="A315" s="65">
        <v>306</v>
      </c>
      <c r="B315" s="60" t="s">
        <v>2241</v>
      </c>
      <c r="C315" s="112" t="s">
        <v>1026</v>
      </c>
      <c r="D315" s="112"/>
      <c r="E315" s="112"/>
      <c r="F315" s="121" t="s">
        <v>45</v>
      </c>
      <c r="G315" s="122"/>
      <c r="H315" s="123">
        <f>38.3+40.2+21.2+10.7-45.6-15.1-2.5-25-0.4</f>
        <v>21.800000000000011</v>
      </c>
      <c r="I315" s="123"/>
    </row>
    <row r="316" spans="1:9" s="17" customFormat="1" ht="12.75" customHeight="1" x14ac:dyDescent="0.2">
      <c r="A316" s="65">
        <v>307</v>
      </c>
      <c r="B316" s="60"/>
      <c r="C316" s="144" t="s">
        <v>998</v>
      </c>
      <c r="D316" s="144"/>
      <c r="E316" s="144"/>
      <c r="F316" s="121" t="s">
        <v>200</v>
      </c>
      <c r="G316" s="122"/>
      <c r="H316" s="123">
        <f>56.2-2.6+2.6</f>
        <v>56.2</v>
      </c>
      <c r="I316" s="123"/>
    </row>
    <row r="317" spans="1:9" s="17" customFormat="1" ht="12.75" customHeight="1" x14ac:dyDescent="0.2">
      <c r="A317" s="65">
        <v>308</v>
      </c>
      <c r="B317" s="60"/>
      <c r="C317" s="112" t="s">
        <v>106</v>
      </c>
      <c r="D317" s="112"/>
      <c r="E317" s="112"/>
      <c r="F317" s="121" t="s">
        <v>200</v>
      </c>
      <c r="G317" s="122"/>
      <c r="H317" s="123">
        <v>29.3</v>
      </c>
      <c r="I317" s="123"/>
    </row>
    <row r="318" spans="1:9" s="17" customFormat="1" ht="12.75" customHeight="1" x14ac:dyDescent="0.2">
      <c r="A318" s="65">
        <v>309</v>
      </c>
      <c r="B318" s="60"/>
      <c r="C318" s="117" t="s">
        <v>4853</v>
      </c>
      <c r="D318" s="118"/>
      <c r="E318" s="119"/>
      <c r="F318" s="113" t="s">
        <v>29</v>
      </c>
      <c r="G318" s="114"/>
      <c r="H318" s="115">
        <f>41.3-15.9-4.1-6.8+18.9+8.3-14.5+6+14.2-3.3+3.5+3.2+7.2-2.4-3.7+3.7-31.4-0.5+2.8-18.8-0.1-2.8-2.4</f>
        <v>2.4000000000000035</v>
      </c>
      <c r="I318" s="116"/>
    </row>
    <row r="319" spans="1:9" s="17" customFormat="1" ht="12.75" customHeight="1" x14ac:dyDescent="0.2">
      <c r="A319" s="65">
        <v>310</v>
      </c>
      <c r="B319" s="60"/>
      <c r="C319" s="117" t="s">
        <v>2516</v>
      </c>
      <c r="D319" s="118"/>
      <c r="E319" s="119"/>
      <c r="F319" s="113" t="s">
        <v>59</v>
      </c>
      <c r="G319" s="114"/>
      <c r="H319" s="115">
        <f>15.2+10+73.8+119.8+24.3+17.4-1.5-8.7-26-9.6-4.5-7.6-71-41.8-4.2</f>
        <v>85.600000000000023</v>
      </c>
      <c r="I319" s="116"/>
    </row>
    <row r="320" spans="1:9" s="17" customFormat="1" ht="12.75" customHeight="1" x14ac:dyDescent="0.2">
      <c r="A320" s="65">
        <v>311</v>
      </c>
      <c r="B320" s="60"/>
      <c r="C320" s="112" t="s">
        <v>2517</v>
      </c>
      <c r="D320" s="112"/>
      <c r="E320" s="112"/>
      <c r="F320" s="113" t="s">
        <v>184</v>
      </c>
      <c r="G320" s="114"/>
      <c r="H320" s="123">
        <f>27.5-2.9-3-1.5-9-1.5-1.4</f>
        <v>8.2000000000000011</v>
      </c>
      <c r="I320" s="123"/>
    </row>
    <row r="321" spans="1:9" s="16" customFormat="1" ht="12" customHeight="1" x14ac:dyDescent="0.2">
      <c r="A321" s="65">
        <v>312</v>
      </c>
      <c r="B321" s="60"/>
      <c r="C321" s="120" t="s">
        <v>844</v>
      </c>
      <c r="D321" s="120"/>
      <c r="E321" s="120"/>
      <c r="F321" s="121" t="s">
        <v>33</v>
      </c>
      <c r="G321" s="122"/>
      <c r="H321" s="123">
        <f>9.2+19.5+8.7+59.8+22</f>
        <v>119.19999999999999</v>
      </c>
      <c r="I321" s="123"/>
    </row>
    <row r="322" spans="1:9" s="17" customFormat="1" ht="29.25" customHeight="1" x14ac:dyDescent="0.2">
      <c r="A322" s="65">
        <v>313</v>
      </c>
      <c r="B322" s="60"/>
      <c r="C322" s="112" t="s">
        <v>3812</v>
      </c>
      <c r="D322" s="112"/>
      <c r="E322" s="112"/>
      <c r="F322" s="121" t="s">
        <v>31</v>
      </c>
      <c r="G322" s="122"/>
      <c r="H322" s="123">
        <f>61-34+8.2+3.3+436.5+69.3-14.3-1.5-66.5+79.1+4.5+7.8+2.2-0.3-0.7-73.5</f>
        <v>481.1</v>
      </c>
      <c r="I322" s="123"/>
    </row>
    <row r="323" spans="1:9" s="16" customFormat="1" ht="12" customHeight="1" x14ac:dyDescent="0.2">
      <c r="A323" s="65">
        <v>314</v>
      </c>
      <c r="B323" s="60"/>
      <c r="C323" s="120" t="s">
        <v>1613</v>
      </c>
      <c r="D323" s="120"/>
      <c r="E323" s="120"/>
      <c r="F323" s="121" t="s">
        <v>31</v>
      </c>
      <c r="G323" s="122"/>
      <c r="H323" s="123">
        <f>47.3+19-9.3</f>
        <v>57</v>
      </c>
      <c r="I323" s="123"/>
    </row>
    <row r="324" spans="1:9" s="17" customFormat="1" ht="12.75" customHeight="1" x14ac:dyDescent="0.2">
      <c r="A324" s="65">
        <v>315</v>
      </c>
      <c r="B324" s="60"/>
      <c r="C324" s="112" t="s">
        <v>4195</v>
      </c>
      <c r="D324" s="112"/>
      <c r="E324" s="112"/>
      <c r="F324" s="121" t="s">
        <v>200</v>
      </c>
      <c r="G324" s="122"/>
      <c r="H324" s="123">
        <f>39+5</f>
        <v>44</v>
      </c>
      <c r="I324" s="123"/>
    </row>
    <row r="325" spans="1:9" s="17" customFormat="1" ht="12.75" customHeight="1" x14ac:dyDescent="0.2">
      <c r="A325" s="65">
        <v>316</v>
      </c>
      <c r="B325" s="60" t="s">
        <v>2242</v>
      </c>
      <c r="C325" s="112" t="s">
        <v>4321</v>
      </c>
      <c r="D325" s="112"/>
      <c r="E325" s="112"/>
      <c r="F325" s="113" t="s">
        <v>76</v>
      </c>
      <c r="G325" s="114"/>
      <c r="H325" s="123">
        <f>12.8+5.7</f>
        <v>18.5</v>
      </c>
      <c r="I325" s="123"/>
    </row>
    <row r="326" spans="1:9" s="17" customFormat="1" ht="12.75" customHeight="1" x14ac:dyDescent="0.2">
      <c r="A326" s="65">
        <v>317</v>
      </c>
      <c r="B326" s="60" t="s">
        <v>2241</v>
      </c>
      <c r="C326" s="112" t="s">
        <v>3188</v>
      </c>
      <c r="D326" s="112"/>
      <c r="E326" s="112"/>
      <c r="F326" s="113" t="s">
        <v>76</v>
      </c>
      <c r="G326" s="114"/>
      <c r="H326" s="123">
        <f>154.3-16.1+10.2-1.6</f>
        <v>146.80000000000001</v>
      </c>
      <c r="I326" s="123"/>
    </row>
    <row r="327" spans="1:9" s="17" customFormat="1" ht="12.75" customHeight="1" x14ac:dyDescent="0.2">
      <c r="A327" s="65">
        <v>318</v>
      </c>
      <c r="B327" s="60"/>
      <c r="C327" s="112" t="s">
        <v>4579</v>
      </c>
      <c r="D327" s="112"/>
      <c r="E327" s="112"/>
      <c r="F327" s="113" t="s">
        <v>76</v>
      </c>
      <c r="G327" s="114"/>
      <c r="H327" s="123">
        <f>10.8-2.8+4.7-4-4+76.3+8.5-3.8-4.7+3.1-22+11.2+5.5+18.5+4.7-3.6</f>
        <v>98.4</v>
      </c>
      <c r="I327" s="123"/>
    </row>
    <row r="328" spans="1:9" s="17" customFormat="1" ht="12.75" customHeight="1" x14ac:dyDescent="0.2">
      <c r="A328" s="65">
        <v>319</v>
      </c>
      <c r="B328" s="60"/>
      <c r="C328" s="112" t="s">
        <v>3095</v>
      </c>
      <c r="D328" s="112"/>
      <c r="E328" s="112"/>
      <c r="F328" s="113" t="s">
        <v>29</v>
      </c>
      <c r="G328" s="114"/>
      <c r="H328" s="123">
        <v>3.9</v>
      </c>
      <c r="I328" s="123"/>
    </row>
    <row r="329" spans="1:9" s="17" customFormat="1" ht="12.75" customHeight="1" x14ac:dyDescent="0.2">
      <c r="A329" s="65">
        <v>320</v>
      </c>
      <c r="B329" s="60"/>
      <c r="C329" s="112" t="s">
        <v>2884</v>
      </c>
      <c r="D329" s="112"/>
      <c r="E329" s="112"/>
      <c r="F329" s="113" t="s">
        <v>76</v>
      </c>
      <c r="G329" s="114"/>
      <c r="H329" s="123">
        <f>2+39-2+23.7+2.7-10-5-2.1-2.6-2.5-2.5+5.4-2.7-2.2+10.2</f>
        <v>51.399999999999991</v>
      </c>
      <c r="I329" s="123"/>
    </row>
    <row r="330" spans="1:9" s="17" customFormat="1" ht="12.75" customHeight="1" x14ac:dyDescent="0.2">
      <c r="A330" s="65">
        <v>321</v>
      </c>
      <c r="B330" s="60"/>
      <c r="C330" s="112" t="s">
        <v>2278</v>
      </c>
      <c r="D330" s="112"/>
      <c r="E330" s="112"/>
      <c r="F330" s="121" t="s">
        <v>45</v>
      </c>
      <c r="G330" s="122"/>
      <c r="H330" s="123">
        <f>23.9-1.6</f>
        <v>22.299999999999997</v>
      </c>
      <c r="I330" s="123"/>
    </row>
    <row r="331" spans="1:9" s="17" customFormat="1" ht="12.75" customHeight="1" x14ac:dyDescent="0.2">
      <c r="A331" s="65">
        <v>322</v>
      </c>
      <c r="B331" s="60"/>
      <c r="C331" s="112" t="s">
        <v>1207</v>
      </c>
      <c r="D331" s="112"/>
      <c r="E331" s="112"/>
      <c r="F331" s="121" t="s">
        <v>30</v>
      </c>
      <c r="G331" s="122"/>
      <c r="H331" s="123">
        <f>774-101-98-18-4+100-9-3.2-6.7-34.5-9.1</f>
        <v>590.49999999999989</v>
      </c>
      <c r="I331" s="123"/>
    </row>
    <row r="332" spans="1:9" s="17" customFormat="1" ht="12.75" customHeight="1" x14ac:dyDescent="0.2">
      <c r="A332" s="65">
        <v>323</v>
      </c>
      <c r="B332" s="60"/>
      <c r="C332" s="112" t="s">
        <v>2608</v>
      </c>
      <c r="D332" s="112"/>
      <c r="E332" s="112"/>
      <c r="F332" s="121" t="s">
        <v>12</v>
      </c>
      <c r="G332" s="122"/>
      <c r="H332" s="115">
        <v>3.1</v>
      </c>
      <c r="I332" s="116"/>
    </row>
    <row r="333" spans="1:9" s="17" customFormat="1" ht="12.75" customHeight="1" x14ac:dyDescent="0.2">
      <c r="A333" s="65">
        <v>324</v>
      </c>
      <c r="B333" s="60"/>
      <c r="C333" s="112" t="s">
        <v>1079</v>
      </c>
      <c r="D333" s="112"/>
      <c r="E333" s="112"/>
      <c r="F333" s="121" t="s">
        <v>200</v>
      </c>
      <c r="G333" s="122"/>
      <c r="H333" s="123">
        <f>4.1+41.5-22.4-8.6</f>
        <v>14.600000000000003</v>
      </c>
      <c r="I333" s="123"/>
    </row>
    <row r="334" spans="1:9" s="17" customFormat="1" ht="12.75" customHeight="1" x14ac:dyDescent="0.2">
      <c r="A334" s="65">
        <v>325</v>
      </c>
      <c r="B334" s="60"/>
      <c r="C334" s="112" t="s">
        <v>4466</v>
      </c>
      <c r="D334" s="112"/>
      <c r="E334" s="112"/>
      <c r="F334" s="121" t="s">
        <v>42</v>
      </c>
      <c r="G334" s="122"/>
      <c r="H334" s="123">
        <f>69.4+59.3-113.5+11.5+0.8-5.8+0.1-4.2-5.8</f>
        <v>11.79999999999999</v>
      </c>
      <c r="I334" s="123"/>
    </row>
    <row r="335" spans="1:9" s="17" customFormat="1" ht="12.75" customHeight="1" x14ac:dyDescent="0.2">
      <c r="A335" s="65">
        <v>326</v>
      </c>
      <c r="B335" s="60" t="s">
        <v>2241</v>
      </c>
      <c r="C335" s="112" t="s">
        <v>4467</v>
      </c>
      <c r="D335" s="112"/>
      <c r="E335" s="112"/>
      <c r="F335" s="121" t="s">
        <v>42</v>
      </c>
      <c r="G335" s="122"/>
      <c r="H335" s="123">
        <v>5.5</v>
      </c>
      <c r="I335" s="123"/>
    </row>
    <row r="336" spans="1:9" s="17" customFormat="1" ht="12.75" customHeight="1" x14ac:dyDescent="0.2">
      <c r="A336" s="65">
        <v>327</v>
      </c>
      <c r="B336" s="60" t="s">
        <v>2934</v>
      </c>
      <c r="C336" s="112" t="s">
        <v>4052</v>
      </c>
      <c r="D336" s="112"/>
      <c r="E336" s="112"/>
      <c r="F336" s="121" t="s">
        <v>31</v>
      </c>
      <c r="G336" s="122"/>
      <c r="H336" s="123">
        <f>45.4+4-1.9-0.5-15.1-1.7-2.6-1.8-7.2-7.2</f>
        <v>11.399999999999999</v>
      </c>
      <c r="I336" s="123"/>
    </row>
    <row r="337" spans="1:9" s="17" customFormat="1" ht="12.75" customHeight="1" x14ac:dyDescent="0.2">
      <c r="A337" s="65">
        <v>328</v>
      </c>
      <c r="B337" s="60"/>
      <c r="C337" s="112" t="s">
        <v>4710</v>
      </c>
      <c r="D337" s="112"/>
      <c r="E337" s="112"/>
      <c r="F337" s="121" t="s">
        <v>33</v>
      </c>
      <c r="G337" s="122"/>
      <c r="H337" s="123">
        <f>35+215-5.6-24-10.6-1.6-6-10.6-6-7.8</f>
        <v>177.8</v>
      </c>
      <c r="I337" s="123"/>
    </row>
    <row r="338" spans="1:9" s="17" customFormat="1" ht="12.75" customHeight="1" x14ac:dyDescent="0.2">
      <c r="A338" s="65">
        <v>329</v>
      </c>
      <c r="B338" s="60" t="s">
        <v>2242</v>
      </c>
      <c r="C338" s="112" t="s">
        <v>4806</v>
      </c>
      <c r="D338" s="112"/>
      <c r="E338" s="112"/>
      <c r="F338" s="113" t="s">
        <v>29</v>
      </c>
      <c r="G338" s="114"/>
      <c r="H338" s="123">
        <f>109-4.7-19.3-5-5-4.6-4.6-14-9.5-0.9</f>
        <v>41.400000000000013</v>
      </c>
      <c r="I338" s="123"/>
    </row>
    <row r="339" spans="1:9" s="17" customFormat="1" ht="12.75" customHeight="1" x14ac:dyDescent="0.2">
      <c r="A339" s="65">
        <v>330</v>
      </c>
      <c r="B339" s="60" t="s">
        <v>2876</v>
      </c>
      <c r="C339" s="112" t="s">
        <v>5314</v>
      </c>
      <c r="D339" s="112"/>
      <c r="E339" s="112"/>
      <c r="F339" s="113" t="s">
        <v>57</v>
      </c>
      <c r="G339" s="114"/>
      <c r="H339" s="123">
        <v>42.1</v>
      </c>
      <c r="I339" s="123"/>
    </row>
    <row r="340" spans="1:9" s="16" customFormat="1" ht="26.25" customHeight="1" x14ac:dyDescent="0.2">
      <c r="A340" s="65">
        <v>331</v>
      </c>
      <c r="B340" s="60"/>
      <c r="C340" s="112" t="s">
        <v>3952</v>
      </c>
      <c r="D340" s="112"/>
      <c r="E340" s="112"/>
      <c r="F340" s="121" t="s">
        <v>17</v>
      </c>
      <c r="G340" s="122"/>
      <c r="H340" s="123">
        <f>143.9-13.6+163-6.3+44-9.8-22.5-49.3+19.5-7.5+29-3.8-23-29.5-2.4</f>
        <v>231.69999999999996</v>
      </c>
      <c r="I340" s="123"/>
    </row>
    <row r="341" spans="1:9" s="17" customFormat="1" ht="12.75" customHeight="1" x14ac:dyDescent="0.2">
      <c r="A341" s="65">
        <v>332</v>
      </c>
      <c r="B341" s="60" t="s">
        <v>3539</v>
      </c>
      <c r="C341" s="112" t="s">
        <v>5316</v>
      </c>
      <c r="D341" s="112"/>
      <c r="E341" s="112"/>
      <c r="F341" s="113" t="s">
        <v>57</v>
      </c>
      <c r="G341" s="114"/>
      <c r="H341" s="123">
        <v>13</v>
      </c>
      <c r="I341" s="123"/>
    </row>
    <row r="342" spans="1:9" s="17" customFormat="1" ht="12.75" customHeight="1" x14ac:dyDescent="0.2">
      <c r="A342" s="65">
        <v>333</v>
      </c>
      <c r="B342" s="60"/>
      <c r="C342" s="112" t="s">
        <v>1635</v>
      </c>
      <c r="D342" s="112"/>
      <c r="E342" s="112"/>
      <c r="F342" s="113" t="s">
        <v>76</v>
      </c>
      <c r="G342" s="114"/>
      <c r="H342" s="123"/>
      <c r="I342" s="123"/>
    </row>
    <row r="343" spans="1:9" s="17" customFormat="1" ht="12.75" customHeight="1" x14ac:dyDescent="0.2">
      <c r="A343" s="65">
        <v>334</v>
      </c>
      <c r="B343" s="60" t="s">
        <v>2934</v>
      </c>
      <c r="C343" s="117" t="s">
        <v>4798</v>
      </c>
      <c r="D343" s="118"/>
      <c r="E343" s="119"/>
      <c r="F343" s="113" t="s">
        <v>76</v>
      </c>
      <c r="G343" s="114"/>
      <c r="H343" s="123">
        <v>17.5</v>
      </c>
      <c r="I343" s="123"/>
    </row>
    <row r="344" spans="1:9" s="16" customFormat="1" ht="12" customHeight="1" x14ac:dyDescent="0.2">
      <c r="A344" s="65">
        <v>335</v>
      </c>
      <c r="B344" s="60"/>
      <c r="C344" s="120" t="s">
        <v>2275</v>
      </c>
      <c r="D344" s="120"/>
      <c r="E344" s="120"/>
      <c r="F344" s="121" t="s">
        <v>33</v>
      </c>
      <c r="G344" s="122"/>
      <c r="H344" s="123">
        <f>137-19-18.5</f>
        <v>99.5</v>
      </c>
      <c r="I344" s="123"/>
    </row>
    <row r="345" spans="1:9" s="17" customFormat="1" ht="12.75" customHeight="1" x14ac:dyDescent="0.2">
      <c r="A345" s="65">
        <v>336</v>
      </c>
      <c r="B345" s="60"/>
      <c r="C345" s="112" t="s">
        <v>4347</v>
      </c>
      <c r="D345" s="112"/>
      <c r="E345" s="112"/>
      <c r="F345" s="121" t="s">
        <v>45</v>
      </c>
      <c r="G345" s="122"/>
      <c r="H345" s="123">
        <f>32.2-7.5-9+29.4+32.6-7.5+167.6-14.8-2.1+31-8-1.5-15.7-8-54.8-7.8-5-12-16.6-3+3-8-15.8-3</f>
        <v>95.700000000000031</v>
      </c>
      <c r="I345" s="123"/>
    </row>
    <row r="346" spans="1:9" s="17" customFormat="1" ht="12.75" customHeight="1" x14ac:dyDescent="0.2">
      <c r="A346" s="65">
        <v>337</v>
      </c>
      <c r="B346" s="60" t="s">
        <v>2241</v>
      </c>
      <c r="C346" s="117" t="s">
        <v>4802</v>
      </c>
      <c r="D346" s="118"/>
      <c r="E346" s="119"/>
      <c r="F346" s="121" t="s">
        <v>354</v>
      </c>
      <c r="G346" s="122"/>
      <c r="H346" s="123">
        <v>50.7</v>
      </c>
      <c r="I346" s="123"/>
    </row>
    <row r="347" spans="1:9" s="17" customFormat="1" ht="29.25" customHeight="1" x14ac:dyDescent="0.2">
      <c r="A347" s="65">
        <v>338</v>
      </c>
      <c r="B347" s="60"/>
      <c r="C347" s="112" t="s">
        <v>701</v>
      </c>
      <c r="D347" s="112"/>
      <c r="E347" s="112"/>
      <c r="F347" s="121" t="s">
        <v>200</v>
      </c>
      <c r="G347" s="122"/>
      <c r="H347" s="123">
        <f>142.6-0.3-23.2</f>
        <v>119.09999999999998</v>
      </c>
      <c r="I347" s="123"/>
    </row>
    <row r="348" spans="1:9" s="17" customFormat="1" ht="12.75" customHeight="1" x14ac:dyDescent="0.2">
      <c r="A348" s="65">
        <v>339</v>
      </c>
      <c r="B348" s="60"/>
      <c r="C348" s="112" t="s">
        <v>1861</v>
      </c>
      <c r="D348" s="112"/>
      <c r="E348" s="112"/>
      <c r="F348" s="121" t="s">
        <v>1753</v>
      </c>
      <c r="G348" s="122"/>
      <c r="H348" s="123">
        <f>7.5-1.6</f>
        <v>5.9</v>
      </c>
      <c r="I348" s="123"/>
    </row>
    <row r="349" spans="1:9" s="17" customFormat="1" ht="12.75" customHeight="1" x14ac:dyDescent="0.2">
      <c r="A349" s="65">
        <v>340</v>
      </c>
      <c r="B349" s="60" t="s">
        <v>3557</v>
      </c>
      <c r="C349" s="112" t="s">
        <v>4984</v>
      </c>
      <c r="D349" s="112"/>
      <c r="E349" s="112"/>
      <c r="F349" s="113" t="s">
        <v>76</v>
      </c>
      <c r="G349" s="114"/>
      <c r="H349" s="123">
        <v>1.9</v>
      </c>
      <c r="I349" s="123"/>
    </row>
    <row r="350" spans="1:9" s="17" customFormat="1" ht="12.75" customHeight="1" x14ac:dyDescent="0.2">
      <c r="A350" s="65">
        <v>341</v>
      </c>
      <c r="B350" s="60"/>
      <c r="C350" s="117" t="s">
        <v>1913</v>
      </c>
      <c r="D350" s="118"/>
      <c r="E350" s="119"/>
      <c r="F350" s="121" t="s">
        <v>33</v>
      </c>
      <c r="G350" s="122"/>
      <c r="H350" s="115">
        <f>56.9+19.7-1.3-1.6-6.4-6-1-2-3-2-1</f>
        <v>52.3</v>
      </c>
      <c r="I350" s="116"/>
    </row>
    <row r="351" spans="1:9" s="17" customFormat="1" ht="12.75" customHeight="1" x14ac:dyDescent="0.2">
      <c r="A351" s="65">
        <v>342</v>
      </c>
      <c r="B351" s="60"/>
      <c r="C351" s="117" t="s">
        <v>1614</v>
      </c>
      <c r="D351" s="118"/>
      <c r="E351" s="119"/>
      <c r="F351" s="121" t="s">
        <v>31</v>
      </c>
      <c r="G351" s="122"/>
      <c r="H351" s="115">
        <v>12.4</v>
      </c>
      <c r="I351" s="116"/>
    </row>
    <row r="352" spans="1:9" s="17" customFormat="1" ht="12.75" customHeight="1" x14ac:dyDescent="0.2">
      <c r="A352" s="65">
        <v>343</v>
      </c>
      <c r="B352" s="60"/>
      <c r="C352" s="112" t="s">
        <v>3203</v>
      </c>
      <c r="D352" s="112"/>
      <c r="E352" s="112"/>
      <c r="F352" s="113" t="s">
        <v>29</v>
      </c>
      <c r="G352" s="114"/>
      <c r="H352" s="123">
        <f>20.6-5.4-1.4</f>
        <v>13.8</v>
      </c>
      <c r="I352" s="123"/>
    </row>
    <row r="353" spans="1:9" s="17" customFormat="1" ht="12.75" customHeight="1" x14ac:dyDescent="0.2">
      <c r="A353" s="65">
        <v>344</v>
      </c>
      <c r="B353" s="60"/>
      <c r="C353" s="112" t="s">
        <v>3094</v>
      </c>
      <c r="D353" s="112"/>
      <c r="E353" s="112"/>
      <c r="F353" s="113" t="s">
        <v>29</v>
      </c>
      <c r="G353" s="114"/>
      <c r="H353" s="123">
        <v>8.4</v>
      </c>
      <c r="I353" s="123"/>
    </row>
    <row r="354" spans="1:9" s="17" customFormat="1" ht="12.75" customHeight="1" x14ac:dyDescent="0.2">
      <c r="A354" s="65">
        <v>345</v>
      </c>
      <c r="B354" s="60" t="s">
        <v>2224</v>
      </c>
      <c r="C354" s="117" t="s">
        <v>5245</v>
      </c>
      <c r="D354" s="118"/>
      <c r="E354" s="119"/>
      <c r="F354" s="113" t="s">
        <v>62</v>
      </c>
      <c r="G354" s="114"/>
      <c r="H354" s="115">
        <v>9.1</v>
      </c>
      <c r="I354" s="116"/>
    </row>
    <row r="355" spans="1:9" s="17" customFormat="1" ht="11.25" x14ac:dyDescent="0.2">
      <c r="A355" s="65">
        <v>346</v>
      </c>
      <c r="B355" s="60" t="s">
        <v>2242</v>
      </c>
      <c r="C355" s="117" t="s">
        <v>4568</v>
      </c>
      <c r="D355" s="118"/>
      <c r="E355" s="119"/>
      <c r="F355" s="113" t="s">
        <v>29</v>
      </c>
      <c r="G355" s="114"/>
      <c r="H355" s="115">
        <f>20+12.7</f>
        <v>32.700000000000003</v>
      </c>
      <c r="I355" s="116"/>
    </row>
    <row r="356" spans="1:9" s="17" customFormat="1" ht="12.75" customHeight="1" x14ac:dyDescent="0.2">
      <c r="A356" s="65">
        <v>347</v>
      </c>
      <c r="B356" s="60" t="s">
        <v>2242</v>
      </c>
      <c r="C356" s="112" t="s">
        <v>4819</v>
      </c>
      <c r="D356" s="112"/>
      <c r="E356" s="112"/>
      <c r="F356" s="113" t="s">
        <v>29</v>
      </c>
      <c r="G356" s="114"/>
      <c r="H356" s="123">
        <f>17.8+4.3+9.5+4.5-9.5+4.8</f>
        <v>31.400000000000002</v>
      </c>
      <c r="I356" s="123"/>
    </row>
    <row r="357" spans="1:9" s="17" customFormat="1" ht="12.75" customHeight="1" x14ac:dyDescent="0.2">
      <c r="A357" s="65">
        <v>348</v>
      </c>
      <c r="B357" s="60"/>
      <c r="C357" s="112" t="s">
        <v>4267</v>
      </c>
      <c r="D357" s="112"/>
      <c r="E357" s="112"/>
      <c r="F357" s="113" t="s">
        <v>76</v>
      </c>
      <c r="G357" s="114"/>
      <c r="H357" s="123">
        <f>6.9+257.3-8.5-25.3-2.6-4.1-2.6-33-4.3+0.1-2.6</f>
        <v>181.29999999999998</v>
      </c>
      <c r="I357" s="123"/>
    </row>
    <row r="358" spans="1:9" s="17" customFormat="1" ht="12.75" customHeight="1" x14ac:dyDescent="0.2">
      <c r="A358" s="65">
        <v>349</v>
      </c>
      <c r="B358" s="60"/>
      <c r="C358" s="112" t="s">
        <v>4983</v>
      </c>
      <c r="D358" s="112"/>
      <c r="E358" s="112"/>
      <c r="F358" s="113" t="s">
        <v>76</v>
      </c>
      <c r="G358" s="114"/>
      <c r="H358" s="123">
        <f>4.5+3.3+2.8</f>
        <v>10.6</v>
      </c>
      <c r="I358" s="123"/>
    </row>
    <row r="359" spans="1:9" s="17" customFormat="1" ht="12.75" customHeight="1" x14ac:dyDescent="0.2">
      <c r="A359" s="65">
        <v>350</v>
      </c>
      <c r="B359" s="60"/>
      <c r="C359" s="112" t="s">
        <v>1028</v>
      </c>
      <c r="D359" s="112"/>
      <c r="E359" s="112"/>
      <c r="F359" s="113" t="s">
        <v>76</v>
      </c>
      <c r="G359" s="114"/>
      <c r="H359" s="123"/>
      <c r="I359" s="123"/>
    </row>
    <row r="360" spans="1:9" s="17" customFormat="1" ht="12.75" customHeight="1" x14ac:dyDescent="0.2">
      <c r="A360" s="65">
        <v>351</v>
      </c>
      <c r="B360" s="60" t="s">
        <v>2242</v>
      </c>
      <c r="C360" s="112" t="s">
        <v>4569</v>
      </c>
      <c r="D360" s="112"/>
      <c r="E360" s="112"/>
      <c r="F360" s="113" t="s">
        <v>29</v>
      </c>
      <c r="G360" s="114"/>
      <c r="H360" s="123">
        <f>11+6.8</f>
        <v>17.8</v>
      </c>
      <c r="I360" s="123"/>
    </row>
    <row r="361" spans="1:9" s="17" customFormat="1" ht="12.75" customHeight="1" x14ac:dyDescent="0.2">
      <c r="A361" s="65">
        <v>352</v>
      </c>
      <c r="B361" s="60"/>
      <c r="C361" s="112" t="s">
        <v>4929</v>
      </c>
      <c r="D361" s="112"/>
      <c r="E361" s="112"/>
      <c r="F361" s="113" t="s">
        <v>29</v>
      </c>
      <c r="G361" s="114"/>
      <c r="H361" s="123">
        <f>4.5+10.6-4.5</f>
        <v>10.6</v>
      </c>
      <c r="I361" s="123"/>
    </row>
    <row r="362" spans="1:9" s="17" customFormat="1" ht="12.75" customHeight="1" x14ac:dyDescent="0.2">
      <c r="A362" s="65">
        <v>353</v>
      </c>
      <c r="B362" s="60"/>
      <c r="C362" s="112" t="s">
        <v>621</v>
      </c>
      <c r="D362" s="112"/>
      <c r="E362" s="112"/>
      <c r="F362" s="113" t="s">
        <v>76</v>
      </c>
      <c r="G362" s="114"/>
      <c r="H362" s="123"/>
      <c r="I362" s="123"/>
    </row>
    <row r="363" spans="1:9" s="17" customFormat="1" ht="12.75" customHeight="1" x14ac:dyDescent="0.2">
      <c r="A363" s="65">
        <v>354</v>
      </c>
      <c r="B363" s="60"/>
      <c r="C363" s="112" t="s">
        <v>1191</v>
      </c>
      <c r="D363" s="112"/>
      <c r="E363" s="112"/>
      <c r="F363" s="113" t="s">
        <v>59</v>
      </c>
      <c r="G363" s="114"/>
      <c r="H363" s="123">
        <f>132.7-2.7-6.2-9-2.1-2.1-2.4-2.8-2.2-8.3-5.2-2.3-2.5</f>
        <v>84.9</v>
      </c>
      <c r="I363" s="123"/>
    </row>
    <row r="364" spans="1:9" s="17" customFormat="1" ht="12.75" customHeight="1" x14ac:dyDescent="0.2">
      <c r="A364" s="65">
        <v>355</v>
      </c>
      <c r="B364" s="60" t="s">
        <v>2934</v>
      </c>
      <c r="C364" s="112" t="s">
        <v>5363</v>
      </c>
      <c r="D364" s="112"/>
      <c r="E364" s="112"/>
      <c r="F364" s="113" t="s">
        <v>59</v>
      </c>
      <c r="G364" s="114"/>
      <c r="H364" s="123">
        <f>948-8.8-129</f>
        <v>810.2</v>
      </c>
      <c r="I364" s="123"/>
    </row>
    <row r="365" spans="1:9" s="17" customFormat="1" ht="12.75" customHeight="1" x14ac:dyDescent="0.2">
      <c r="A365" s="65">
        <v>356</v>
      </c>
      <c r="B365" s="60" t="s">
        <v>2876</v>
      </c>
      <c r="C365" s="120" t="s">
        <v>5292</v>
      </c>
      <c r="D365" s="120"/>
      <c r="E365" s="120"/>
      <c r="F365" s="121" t="s">
        <v>271</v>
      </c>
      <c r="G365" s="122"/>
      <c r="H365" s="123">
        <v>39.799999999999997</v>
      </c>
      <c r="I365" s="123"/>
    </row>
    <row r="366" spans="1:9" s="17" customFormat="1" ht="11.25" customHeight="1" x14ac:dyDescent="0.2">
      <c r="A366" s="65">
        <v>357</v>
      </c>
      <c r="B366" s="60">
        <v>7</v>
      </c>
      <c r="C366" s="120" t="s">
        <v>2647</v>
      </c>
      <c r="D366" s="120"/>
      <c r="E366" s="120"/>
      <c r="F366" s="125" t="s">
        <v>483</v>
      </c>
      <c r="G366" s="125"/>
      <c r="H366" s="123">
        <v>3000</v>
      </c>
      <c r="I366" s="123"/>
    </row>
    <row r="367" spans="1:9" s="17" customFormat="1" ht="11.25" customHeight="1" x14ac:dyDescent="0.2">
      <c r="A367" s="65">
        <v>358</v>
      </c>
      <c r="B367" s="60"/>
      <c r="C367" s="120" t="s">
        <v>2308</v>
      </c>
      <c r="D367" s="120"/>
      <c r="E367" s="120"/>
      <c r="F367" s="125" t="s">
        <v>483</v>
      </c>
      <c r="G367" s="125"/>
      <c r="H367" s="123">
        <f>4.1-1.7</f>
        <v>2.3999999999999995</v>
      </c>
      <c r="I367" s="123"/>
    </row>
    <row r="368" spans="1:9" s="17" customFormat="1" ht="12.75" customHeight="1" x14ac:dyDescent="0.2">
      <c r="A368" s="65">
        <v>359</v>
      </c>
      <c r="B368" s="60" t="s">
        <v>3557</v>
      </c>
      <c r="C368" s="112" t="s">
        <v>4982</v>
      </c>
      <c r="D368" s="112"/>
      <c r="E368" s="112"/>
      <c r="F368" s="113" t="s">
        <v>76</v>
      </c>
      <c r="G368" s="114"/>
      <c r="H368" s="123">
        <v>1</v>
      </c>
      <c r="I368" s="123"/>
    </row>
    <row r="369" spans="1:9" s="17" customFormat="1" ht="11.25" customHeight="1" x14ac:dyDescent="0.2">
      <c r="A369" s="65">
        <v>360</v>
      </c>
      <c r="B369" s="60"/>
      <c r="C369" s="120" t="s">
        <v>3273</v>
      </c>
      <c r="D369" s="120"/>
      <c r="E369" s="120"/>
      <c r="F369" s="125" t="s">
        <v>483</v>
      </c>
      <c r="G369" s="125"/>
      <c r="H369" s="123">
        <f>2.3-0.8</f>
        <v>1.4999999999999998</v>
      </c>
      <c r="I369" s="123"/>
    </row>
    <row r="370" spans="1:9" s="17" customFormat="1" ht="12.75" customHeight="1" x14ac:dyDescent="0.2">
      <c r="A370" s="65">
        <v>361</v>
      </c>
      <c r="B370" s="60"/>
      <c r="C370" s="117" t="s">
        <v>1615</v>
      </c>
      <c r="D370" s="118"/>
      <c r="E370" s="119"/>
      <c r="F370" s="121" t="s">
        <v>71</v>
      </c>
      <c r="G370" s="122"/>
      <c r="H370" s="115">
        <f>34.8+16.5-2.5+181.3-4.7-18.5-1.6-3.8-8-13.5-14.4-13.5-4.1-6.2-0.7</f>
        <v>141.10000000000005</v>
      </c>
      <c r="I370" s="116"/>
    </row>
    <row r="371" spans="1:9" s="17" customFormat="1" ht="12.75" customHeight="1" x14ac:dyDescent="0.2">
      <c r="A371" s="65">
        <v>362</v>
      </c>
      <c r="B371" s="60"/>
      <c r="C371" s="117" t="s">
        <v>1616</v>
      </c>
      <c r="D371" s="118"/>
      <c r="E371" s="119"/>
      <c r="F371" s="121" t="s">
        <v>71</v>
      </c>
      <c r="G371" s="122"/>
      <c r="H371" s="115">
        <v>2.2000000000000002</v>
      </c>
      <c r="I371" s="116"/>
    </row>
    <row r="372" spans="1:9" s="17" customFormat="1" x14ac:dyDescent="0.2">
      <c r="A372" s="65">
        <v>363</v>
      </c>
      <c r="B372" s="60"/>
      <c r="C372" s="117" t="s">
        <v>3757</v>
      </c>
      <c r="D372" s="118"/>
      <c r="E372" s="119"/>
      <c r="F372" s="121" t="s">
        <v>71</v>
      </c>
      <c r="G372" s="122"/>
      <c r="H372" s="115">
        <f>13.4+2.9+5.9+36.7+43.6-2.9+22.5-6-15-6-1-1.1</f>
        <v>93</v>
      </c>
      <c r="I372" s="116"/>
    </row>
    <row r="373" spans="1:9" s="17" customFormat="1" ht="12.75" customHeight="1" x14ac:dyDescent="0.2">
      <c r="A373" s="65">
        <v>364</v>
      </c>
      <c r="B373" s="60" t="s">
        <v>3539</v>
      </c>
      <c r="C373" s="112" t="s">
        <v>3941</v>
      </c>
      <c r="D373" s="112"/>
      <c r="E373" s="112"/>
      <c r="F373" s="113" t="s">
        <v>184</v>
      </c>
      <c r="G373" s="114"/>
      <c r="H373" s="123">
        <v>5.8</v>
      </c>
      <c r="I373" s="123"/>
    </row>
    <row r="374" spans="1:9" s="17" customFormat="1" ht="12.75" customHeight="1" x14ac:dyDescent="0.2">
      <c r="A374" s="65">
        <v>365</v>
      </c>
      <c r="B374" s="60"/>
      <c r="C374" s="112" t="s">
        <v>3024</v>
      </c>
      <c r="D374" s="112"/>
      <c r="E374" s="112"/>
      <c r="F374" s="113" t="s">
        <v>184</v>
      </c>
      <c r="G374" s="114"/>
      <c r="H374" s="123">
        <f>20-1.4-1.2-1.2+0.4</f>
        <v>16.600000000000001</v>
      </c>
      <c r="I374" s="123"/>
    </row>
    <row r="375" spans="1:9" s="17" customFormat="1" ht="12.75" customHeight="1" x14ac:dyDescent="0.2">
      <c r="A375" s="65">
        <v>366</v>
      </c>
      <c r="B375" s="60" t="s">
        <v>2241</v>
      </c>
      <c r="C375" s="112" t="s">
        <v>3942</v>
      </c>
      <c r="D375" s="112"/>
      <c r="E375" s="112"/>
      <c r="F375" s="113" t="s">
        <v>29</v>
      </c>
      <c r="G375" s="114"/>
      <c r="H375" s="123">
        <f>57.5-40.3-1.3-1.5+0.4</f>
        <v>14.800000000000002</v>
      </c>
      <c r="I375" s="123"/>
    </row>
    <row r="376" spans="1:9" s="17" customFormat="1" ht="12.75" customHeight="1" x14ac:dyDescent="0.2">
      <c r="A376" s="65">
        <v>367</v>
      </c>
      <c r="B376" s="60" t="s">
        <v>2242</v>
      </c>
      <c r="C376" s="112" t="s">
        <v>3943</v>
      </c>
      <c r="D376" s="112"/>
      <c r="E376" s="112"/>
      <c r="F376" s="113" t="s">
        <v>59</v>
      </c>
      <c r="G376" s="114"/>
      <c r="H376" s="123">
        <v>5.9</v>
      </c>
      <c r="I376" s="123"/>
    </row>
    <row r="377" spans="1:9" s="17" customFormat="1" ht="12.75" customHeight="1" x14ac:dyDescent="0.2">
      <c r="A377" s="65">
        <v>368</v>
      </c>
      <c r="B377" s="60" t="s">
        <v>5158</v>
      </c>
      <c r="C377" s="112" t="s">
        <v>5161</v>
      </c>
      <c r="D377" s="112"/>
      <c r="E377" s="112"/>
      <c r="F377" s="113" t="s">
        <v>76</v>
      </c>
      <c r="G377" s="114"/>
      <c r="H377" s="115">
        <v>2.5</v>
      </c>
      <c r="I377" s="116"/>
    </row>
    <row r="378" spans="1:9" s="17" customFormat="1" ht="12.75" customHeight="1" x14ac:dyDescent="0.2">
      <c r="A378" s="65">
        <v>369</v>
      </c>
      <c r="B378" s="60"/>
      <c r="C378" s="117" t="s">
        <v>1648</v>
      </c>
      <c r="D378" s="118"/>
      <c r="E378" s="119"/>
      <c r="F378" s="121" t="s">
        <v>33</v>
      </c>
      <c r="G378" s="122"/>
      <c r="H378" s="115">
        <f>6.8+26-4.7</f>
        <v>28.099999999999998</v>
      </c>
      <c r="I378" s="116"/>
    </row>
    <row r="379" spans="1:9" s="17" customFormat="1" ht="12.75" customHeight="1" x14ac:dyDescent="0.2">
      <c r="A379" s="65">
        <v>370</v>
      </c>
      <c r="B379" s="60" t="s">
        <v>2224</v>
      </c>
      <c r="C379" s="117" t="s">
        <v>4830</v>
      </c>
      <c r="D379" s="118"/>
      <c r="E379" s="119"/>
      <c r="F379" s="121" t="s">
        <v>31</v>
      </c>
      <c r="G379" s="122"/>
      <c r="H379" s="115">
        <f>220.7-0.6+135.6+4.2-8-39-1.3-17-8.2+5.2-8.2</f>
        <v>283.39999999999998</v>
      </c>
      <c r="I379" s="116"/>
    </row>
    <row r="380" spans="1:9" s="17" customFormat="1" ht="12.75" customHeight="1" x14ac:dyDescent="0.2">
      <c r="A380" s="65">
        <v>371</v>
      </c>
      <c r="B380" s="60" t="s">
        <v>2242</v>
      </c>
      <c r="C380" s="117" t="s">
        <v>3964</v>
      </c>
      <c r="D380" s="118"/>
      <c r="E380" s="119"/>
      <c r="F380" s="113" t="s">
        <v>76</v>
      </c>
      <c r="G380" s="114"/>
      <c r="H380" s="123">
        <f>9.6+10.9-4.2-0.8</f>
        <v>15.5</v>
      </c>
      <c r="I380" s="123"/>
    </row>
    <row r="381" spans="1:9" s="17" customFormat="1" ht="12.75" customHeight="1" x14ac:dyDescent="0.2">
      <c r="A381" s="65">
        <v>372</v>
      </c>
      <c r="B381" s="60" t="s">
        <v>5158</v>
      </c>
      <c r="C381" s="112" t="s">
        <v>5162</v>
      </c>
      <c r="D381" s="112"/>
      <c r="E381" s="112"/>
      <c r="F381" s="113" t="s">
        <v>76</v>
      </c>
      <c r="G381" s="114"/>
      <c r="H381" s="115">
        <v>3.3</v>
      </c>
      <c r="I381" s="116"/>
    </row>
    <row r="382" spans="1:9" s="17" customFormat="1" ht="12.75" customHeight="1" x14ac:dyDescent="0.2">
      <c r="A382" s="65">
        <v>373</v>
      </c>
      <c r="B382" s="60"/>
      <c r="C382" s="117" t="s">
        <v>3911</v>
      </c>
      <c r="D382" s="118"/>
      <c r="E382" s="119"/>
      <c r="F382" s="121" t="s">
        <v>31</v>
      </c>
      <c r="G382" s="122"/>
      <c r="H382" s="115">
        <f>14.2-1.7+4.8-3.1</f>
        <v>14.200000000000001</v>
      </c>
      <c r="I382" s="116"/>
    </row>
    <row r="383" spans="1:9" s="17" customFormat="1" ht="12.75" customHeight="1" x14ac:dyDescent="0.2">
      <c r="A383" s="65">
        <v>374</v>
      </c>
      <c r="B383" s="60"/>
      <c r="C383" s="117" t="s">
        <v>4856</v>
      </c>
      <c r="D383" s="118"/>
      <c r="E383" s="119"/>
      <c r="F383" s="121" t="s">
        <v>33</v>
      </c>
      <c r="G383" s="122"/>
      <c r="H383" s="115">
        <f>157.5-65.6-4.8-16-9.8-1.1-1.7</f>
        <v>58.500000000000007</v>
      </c>
      <c r="I383" s="116"/>
    </row>
    <row r="384" spans="1:9" s="17" customFormat="1" ht="12.75" customHeight="1" x14ac:dyDescent="0.2">
      <c r="A384" s="65">
        <v>375</v>
      </c>
      <c r="B384" s="60"/>
      <c r="C384" s="112" t="s">
        <v>432</v>
      </c>
      <c r="D384" s="112"/>
      <c r="E384" s="112"/>
      <c r="F384" s="113" t="s">
        <v>76</v>
      </c>
      <c r="G384" s="114"/>
      <c r="H384" s="123"/>
      <c r="I384" s="123"/>
    </row>
    <row r="385" spans="1:9" s="17" customFormat="1" ht="12.75" customHeight="1" x14ac:dyDescent="0.2">
      <c r="A385" s="65">
        <v>376</v>
      </c>
      <c r="B385" s="60"/>
      <c r="C385" s="112" t="s">
        <v>120</v>
      </c>
      <c r="D385" s="112"/>
      <c r="E385" s="112"/>
      <c r="F385" s="121" t="s">
        <v>200</v>
      </c>
      <c r="G385" s="122"/>
      <c r="H385" s="115">
        <v>12.7</v>
      </c>
      <c r="I385" s="116"/>
    </row>
    <row r="386" spans="1:9" s="17" customFormat="1" ht="12.75" customHeight="1" x14ac:dyDescent="0.2">
      <c r="A386" s="65">
        <v>377</v>
      </c>
      <c r="B386" s="60"/>
      <c r="C386" s="112" t="s">
        <v>4981</v>
      </c>
      <c r="D386" s="112"/>
      <c r="E386" s="112"/>
      <c r="F386" s="113" t="s">
        <v>76</v>
      </c>
      <c r="G386" s="114"/>
      <c r="H386" s="123">
        <v>5.4</v>
      </c>
      <c r="I386" s="123"/>
    </row>
    <row r="387" spans="1:9" s="17" customFormat="1" ht="12.75" customHeight="1" x14ac:dyDescent="0.2">
      <c r="A387" s="65">
        <v>378</v>
      </c>
      <c r="B387" s="60"/>
      <c r="C387" s="112" t="s">
        <v>3352</v>
      </c>
      <c r="D387" s="112"/>
      <c r="E387" s="112"/>
      <c r="F387" s="113" t="s">
        <v>76</v>
      </c>
      <c r="G387" s="114"/>
      <c r="H387" s="123">
        <f>10.6+8.6-4.4+5.1</f>
        <v>19.899999999999999</v>
      </c>
      <c r="I387" s="123"/>
    </row>
    <row r="388" spans="1:9" s="17" customFormat="1" ht="12.75" customHeight="1" x14ac:dyDescent="0.2">
      <c r="A388" s="65">
        <v>379</v>
      </c>
      <c r="B388" s="60"/>
      <c r="C388" s="112" t="s">
        <v>4268</v>
      </c>
      <c r="D388" s="112"/>
      <c r="E388" s="112"/>
      <c r="F388" s="113" t="s">
        <v>76</v>
      </c>
      <c r="G388" s="114"/>
      <c r="H388" s="123">
        <f>24.4+31.3-13.6</f>
        <v>42.1</v>
      </c>
      <c r="I388" s="123"/>
    </row>
    <row r="389" spans="1:9" s="17" customFormat="1" ht="12.75" customHeight="1" x14ac:dyDescent="0.2">
      <c r="A389" s="65">
        <v>380</v>
      </c>
      <c r="B389" s="60"/>
      <c r="C389" s="112" t="s">
        <v>4185</v>
      </c>
      <c r="D389" s="112"/>
      <c r="E389" s="112"/>
      <c r="F389" s="113" t="s">
        <v>76</v>
      </c>
      <c r="G389" s="114"/>
      <c r="H389" s="123">
        <f>4.5+12.8+2.2+6+2.6-4.5+1.3-6-7.5+3.7</f>
        <v>15.100000000000001</v>
      </c>
      <c r="I389" s="123"/>
    </row>
    <row r="390" spans="1:9" s="17" customFormat="1" ht="12.75" customHeight="1" x14ac:dyDescent="0.2">
      <c r="A390" s="65">
        <v>381</v>
      </c>
      <c r="B390" s="60"/>
      <c r="C390" s="112" t="s">
        <v>4820</v>
      </c>
      <c r="D390" s="112"/>
      <c r="E390" s="112"/>
      <c r="F390" s="113" t="s">
        <v>76</v>
      </c>
      <c r="G390" s="114"/>
      <c r="H390" s="123">
        <f>9+5.3+19-4.8</f>
        <v>28.499999999999996</v>
      </c>
      <c r="I390" s="123"/>
    </row>
    <row r="391" spans="1:9" s="17" customFormat="1" ht="12.75" customHeight="1" x14ac:dyDescent="0.2">
      <c r="A391" s="65">
        <v>382</v>
      </c>
      <c r="B391" s="60"/>
      <c r="C391" s="112" t="s">
        <v>4980</v>
      </c>
      <c r="D391" s="112"/>
      <c r="E391" s="112"/>
      <c r="F391" s="113" t="s">
        <v>76</v>
      </c>
      <c r="G391" s="114"/>
      <c r="H391" s="123">
        <v>8</v>
      </c>
      <c r="I391" s="123"/>
    </row>
    <row r="392" spans="1:9" s="17" customFormat="1" ht="12.75" customHeight="1" x14ac:dyDescent="0.2">
      <c r="A392" s="65">
        <v>383</v>
      </c>
      <c r="B392" s="60" t="s">
        <v>2242</v>
      </c>
      <c r="C392" s="120" t="s">
        <v>4033</v>
      </c>
      <c r="D392" s="120"/>
      <c r="E392" s="120"/>
      <c r="F392" s="113" t="s">
        <v>76</v>
      </c>
      <c r="G392" s="114"/>
      <c r="H392" s="123">
        <f>7.9+13.3</f>
        <v>21.200000000000003</v>
      </c>
      <c r="I392" s="123"/>
    </row>
    <row r="393" spans="1:9" s="17" customFormat="1" ht="12.75" customHeight="1" x14ac:dyDescent="0.2">
      <c r="A393" s="65">
        <v>384</v>
      </c>
      <c r="B393" s="60" t="s">
        <v>2242</v>
      </c>
      <c r="C393" s="120" t="s">
        <v>3128</v>
      </c>
      <c r="D393" s="120"/>
      <c r="E393" s="120"/>
      <c r="F393" s="113" t="s">
        <v>62</v>
      </c>
      <c r="G393" s="114"/>
      <c r="H393" s="115">
        <v>5.6</v>
      </c>
      <c r="I393" s="116"/>
    </row>
    <row r="394" spans="1:9" s="17" customFormat="1" ht="12.75" customHeight="1" x14ac:dyDescent="0.2">
      <c r="A394" s="65">
        <v>385</v>
      </c>
      <c r="B394" s="60"/>
      <c r="C394" s="112" t="s">
        <v>529</v>
      </c>
      <c r="D394" s="112"/>
      <c r="E394" s="112"/>
      <c r="F394" s="113" t="s">
        <v>76</v>
      </c>
      <c r="G394" s="114"/>
      <c r="H394" s="123"/>
      <c r="I394" s="123"/>
    </row>
    <row r="395" spans="1:9" s="17" customFormat="1" ht="12.75" customHeight="1" x14ac:dyDescent="0.2">
      <c r="A395" s="65">
        <v>386</v>
      </c>
      <c r="B395" s="60" t="s">
        <v>2876</v>
      </c>
      <c r="C395" s="112" t="s">
        <v>5326</v>
      </c>
      <c r="D395" s="112"/>
      <c r="E395" s="112"/>
      <c r="F395" s="113" t="s">
        <v>59</v>
      </c>
      <c r="G395" s="114"/>
      <c r="H395" s="123">
        <f>657-2.5-29.2-44.2-14.5-29.4-8-4.1-14.8-1.2+0.9-10-2.4-39.3-12.6-5-0.9-4.9-19.3-1.3-14.6+13</f>
        <v>412.69999999999987</v>
      </c>
      <c r="I395" s="123"/>
    </row>
    <row r="396" spans="1:9" s="17" customFormat="1" ht="11.25" x14ac:dyDescent="0.2">
      <c r="A396" s="65">
        <v>387</v>
      </c>
      <c r="B396" s="60" t="s">
        <v>2242</v>
      </c>
      <c r="C396" s="112" t="s">
        <v>5055</v>
      </c>
      <c r="D396" s="112"/>
      <c r="E396" s="112"/>
      <c r="F396" s="113" t="s">
        <v>29</v>
      </c>
      <c r="G396" s="114"/>
      <c r="H396" s="123">
        <f>42.7+21.4-6.3+18.5-4.5</f>
        <v>71.8</v>
      </c>
      <c r="I396" s="123"/>
    </row>
    <row r="397" spans="1:9" s="17" customFormat="1" ht="12.75" customHeight="1" x14ac:dyDescent="0.2">
      <c r="A397" s="65">
        <v>388</v>
      </c>
      <c r="B397" s="60" t="s">
        <v>5158</v>
      </c>
      <c r="C397" s="112" t="s">
        <v>5163</v>
      </c>
      <c r="D397" s="112"/>
      <c r="E397" s="112"/>
      <c r="F397" s="113" t="s">
        <v>76</v>
      </c>
      <c r="G397" s="114"/>
      <c r="H397" s="115">
        <v>4.8</v>
      </c>
      <c r="I397" s="116"/>
    </row>
    <row r="398" spans="1:9" s="17" customFormat="1" ht="12.75" customHeight="1" x14ac:dyDescent="0.2">
      <c r="A398" s="65">
        <v>389</v>
      </c>
      <c r="B398" s="60"/>
      <c r="C398" s="112" t="s">
        <v>4855</v>
      </c>
      <c r="D398" s="112"/>
      <c r="E398" s="112"/>
      <c r="F398" s="113" t="s">
        <v>29</v>
      </c>
      <c r="G398" s="114"/>
      <c r="H398" s="123">
        <f>4.7+4.5+3.8-4.7</f>
        <v>8.3000000000000007</v>
      </c>
      <c r="I398" s="123"/>
    </row>
    <row r="399" spans="1:9" s="17" customFormat="1" ht="12.75" customHeight="1" x14ac:dyDescent="0.2">
      <c r="A399" s="65">
        <v>390</v>
      </c>
      <c r="B399" s="60"/>
      <c r="C399" s="112" t="s">
        <v>5402</v>
      </c>
      <c r="D399" s="112"/>
      <c r="E399" s="112"/>
      <c r="F399" s="113" t="s">
        <v>29</v>
      </c>
      <c r="G399" s="114"/>
      <c r="H399" s="123">
        <f>5.8-3</f>
        <v>2.8</v>
      </c>
      <c r="I399" s="123"/>
    </row>
    <row r="400" spans="1:9" s="17" customFormat="1" ht="11.25" customHeight="1" x14ac:dyDescent="0.2">
      <c r="A400" s="65">
        <v>391</v>
      </c>
      <c r="B400" s="60" t="s">
        <v>3545</v>
      </c>
      <c r="C400" s="120" t="s">
        <v>4213</v>
      </c>
      <c r="D400" s="126"/>
      <c r="E400" s="127"/>
      <c r="F400" s="113" t="s">
        <v>76</v>
      </c>
      <c r="G400" s="114"/>
      <c r="H400" s="123">
        <f>4.4-2.4+6.7</f>
        <v>8.7000000000000011</v>
      </c>
      <c r="I400" s="116"/>
    </row>
    <row r="401" spans="1:9" s="17" customFormat="1" ht="12.75" customHeight="1" x14ac:dyDescent="0.2">
      <c r="A401" s="65">
        <v>392</v>
      </c>
      <c r="B401" s="60" t="s">
        <v>2876</v>
      </c>
      <c r="C401" s="117" t="s">
        <v>5276</v>
      </c>
      <c r="D401" s="118"/>
      <c r="E401" s="119"/>
      <c r="F401" s="121" t="s">
        <v>291</v>
      </c>
      <c r="G401" s="122"/>
      <c r="H401" s="123">
        <v>45</v>
      </c>
      <c r="I401" s="123"/>
    </row>
    <row r="402" spans="1:9" s="17" customFormat="1" ht="12.75" customHeight="1" x14ac:dyDescent="0.2">
      <c r="A402" s="65">
        <v>393</v>
      </c>
      <c r="B402" s="60"/>
      <c r="C402" s="112" t="s">
        <v>3353</v>
      </c>
      <c r="D402" s="112"/>
      <c r="E402" s="112"/>
      <c r="F402" s="113" t="s">
        <v>29</v>
      </c>
      <c r="G402" s="114"/>
      <c r="H402" s="123">
        <v>2.5</v>
      </c>
      <c r="I402" s="123"/>
    </row>
    <row r="403" spans="1:9" s="17" customFormat="1" ht="12.75" customHeight="1" x14ac:dyDescent="0.2">
      <c r="A403" s="65">
        <v>394</v>
      </c>
      <c r="B403" s="60"/>
      <c r="C403" s="112" t="s">
        <v>437</v>
      </c>
      <c r="D403" s="112"/>
      <c r="E403" s="112"/>
      <c r="F403" s="113" t="s">
        <v>76</v>
      </c>
      <c r="G403" s="114"/>
      <c r="H403" s="123"/>
      <c r="I403" s="123"/>
    </row>
    <row r="404" spans="1:9" s="17" customFormat="1" ht="12.75" customHeight="1" x14ac:dyDescent="0.2">
      <c r="A404" s="65">
        <v>395</v>
      </c>
      <c r="B404" s="60"/>
      <c r="C404" s="112" t="s">
        <v>2583</v>
      </c>
      <c r="D404" s="112"/>
      <c r="E404" s="112"/>
      <c r="F404" s="113" t="s">
        <v>29</v>
      </c>
      <c r="G404" s="114"/>
      <c r="H404" s="123">
        <f>2.3-1.3+0.1</f>
        <v>1.0999999999999999</v>
      </c>
      <c r="I404" s="123"/>
    </row>
    <row r="405" spans="1:9" s="17" customFormat="1" ht="12.75" customHeight="1" x14ac:dyDescent="0.2">
      <c r="A405" s="65">
        <v>396</v>
      </c>
      <c r="B405" s="60" t="s">
        <v>5158</v>
      </c>
      <c r="C405" s="112" t="s">
        <v>5160</v>
      </c>
      <c r="D405" s="112"/>
      <c r="E405" s="112"/>
      <c r="F405" s="113" t="s">
        <v>76</v>
      </c>
      <c r="G405" s="114"/>
      <c r="H405" s="115">
        <v>1.8</v>
      </c>
      <c r="I405" s="116"/>
    </row>
    <row r="406" spans="1:9" s="17" customFormat="1" ht="12.75" customHeight="1" x14ac:dyDescent="0.2">
      <c r="A406" s="65">
        <v>397</v>
      </c>
      <c r="B406" s="60" t="s">
        <v>2876</v>
      </c>
      <c r="C406" s="117" t="s">
        <v>5274</v>
      </c>
      <c r="D406" s="118"/>
      <c r="E406" s="119"/>
      <c r="F406" s="121" t="s">
        <v>291</v>
      </c>
      <c r="G406" s="122"/>
      <c r="H406" s="123">
        <v>95.5</v>
      </c>
      <c r="I406" s="123"/>
    </row>
    <row r="407" spans="1:9" s="17" customFormat="1" ht="12.75" customHeight="1" x14ac:dyDescent="0.2">
      <c r="A407" s="65">
        <v>398</v>
      </c>
      <c r="B407" s="60"/>
      <c r="C407" s="117" t="s">
        <v>3547</v>
      </c>
      <c r="D407" s="118"/>
      <c r="E407" s="119"/>
      <c r="F407" s="121" t="s">
        <v>271</v>
      </c>
      <c r="G407" s="122"/>
      <c r="H407" s="115">
        <f>110-3.2-59-1.3-6.5-0.4-3.2-1.1-3.3-2.2-2.1-9.7+204.5-43-16.2-9.8-55.5-1.1-2.2</f>
        <v>94.7</v>
      </c>
      <c r="I407" s="116"/>
    </row>
    <row r="408" spans="1:9" s="17" customFormat="1" ht="12.75" customHeight="1" x14ac:dyDescent="0.2">
      <c r="A408" s="65">
        <v>399</v>
      </c>
      <c r="B408" s="60" t="s">
        <v>3539</v>
      </c>
      <c r="C408" s="117" t="s">
        <v>5042</v>
      </c>
      <c r="D408" s="118"/>
      <c r="E408" s="119"/>
      <c r="F408" s="121" t="s">
        <v>31</v>
      </c>
      <c r="G408" s="122"/>
      <c r="H408" s="115">
        <f>7.9-1+7+18.2+34.5-3.3-34.9+188.4-8.9-27.4-3-6.4-0.1-9.1-54.5-0.3-8.5-15.7-9.4</f>
        <v>73.5</v>
      </c>
      <c r="I408" s="116"/>
    </row>
    <row r="409" spans="1:9" s="17" customFormat="1" ht="12.75" customHeight="1" x14ac:dyDescent="0.2">
      <c r="A409" s="65">
        <v>400</v>
      </c>
      <c r="B409" s="60"/>
      <c r="C409" s="112" t="s">
        <v>2412</v>
      </c>
      <c r="D409" s="112"/>
      <c r="E409" s="112"/>
      <c r="F409" s="121" t="s">
        <v>56</v>
      </c>
      <c r="G409" s="122"/>
      <c r="H409" s="123">
        <f>21-15.3</f>
        <v>5.6999999999999993</v>
      </c>
      <c r="I409" s="123"/>
    </row>
    <row r="410" spans="1:9" s="17" customFormat="1" ht="12.75" customHeight="1" x14ac:dyDescent="0.2">
      <c r="A410" s="65">
        <v>401</v>
      </c>
      <c r="B410" s="60"/>
      <c r="C410" s="112" t="s">
        <v>2088</v>
      </c>
      <c r="D410" s="112"/>
      <c r="E410" s="112"/>
      <c r="F410" s="121" t="s">
        <v>56</v>
      </c>
      <c r="G410" s="122"/>
      <c r="H410" s="123">
        <v>19.8</v>
      </c>
      <c r="I410" s="123"/>
    </row>
    <row r="411" spans="1:9" s="17" customFormat="1" ht="12.75" customHeight="1" x14ac:dyDescent="0.2">
      <c r="A411" s="65">
        <v>402</v>
      </c>
      <c r="B411" s="60" t="s">
        <v>2241</v>
      </c>
      <c r="C411" s="112" t="s">
        <v>2788</v>
      </c>
      <c r="D411" s="112"/>
      <c r="E411" s="112"/>
      <c r="F411" s="121" t="s">
        <v>56</v>
      </c>
      <c r="G411" s="122"/>
      <c r="H411" s="123">
        <f>8.5-4.8</f>
        <v>3.7</v>
      </c>
      <c r="I411" s="123"/>
    </row>
    <row r="412" spans="1:9" s="17" customFormat="1" ht="11.25" x14ac:dyDescent="0.2">
      <c r="A412" s="65">
        <v>403</v>
      </c>
      <c r="B412" s="60"/>
      <c r="C412" s="117" t="s">
        <v>2967</v>
      </c>
      <c r="D412" s="118"/>
      <c r="E412" s="119"/>
      <c r="F412" s="113" t="s">
        <v>29</v>
      </c>
      <c r="G412" s="114"/>
      <c r="H412" s="115">
        <f>4.7+22.3-5.7+4.8+49.5+75-3.5-3.4-4.7-4.8+4.7-3.7-3.7-3.2-3.4-5.3-11.3-3.3-4.7-11+3.1-5.4-5.3-7.5+5-5.3-3.5+11.6-3.1-1.3-0.4-10.7+3.3-10.9-4.1-14.6-35.2+0.9-3</f>
        <v>2.8999999999999932</v>
      </c>
      <c r="I412" s="116"/>
    </row>
    <row r="413" spans="1:9" s="17" customFormat="1" ht="12.75" customHeight="1" x14ac:dyDescent="0.2">
      <c r="A413" s="65">
        <v>404</v>
      </c>
      <c r="B413" s="60" t="s">
        <v>3636</v>
      </c>
      <c r="C413" s="117" t="s">
        <v>4120</v>
      </c>
      <c r="D413" s="118"/>
      <c r="E413" s="119"/>
      <c r="F413" s="113" t="s">
        <v>76</v>
      </c>
      <c r="G413" s="114"/>
      <c r="H413" s="115">
        <v>1.5</v>
      </c>
      <c r="I413" s="116"/>
    </row>
    <row r="414" spans="1:9" s="17" customFormat="1" ht="12.75" customHeight="1" x14ac:dyDescent="0.2">
      <c r="A414" s="65">
        <v>405</v>
      </c>
      <c r="B414" s="60" t="s">
        <v>2242</v>
      </c>
      <c r="C414" s="120" t="s">
        <v>4278</v>
      </c>
      <c r="D414" s="120"/>
      <c r="E414" s="120"/>
      <c r="F414" s="113" t="s">
        <v>76</v>
      </c>
      <c r="G414" s="114"/>
      <c r="H414" s="123">
        <v>6</v>
      </c>
      <c r="I414" s="123"/>
    </row>
    <row r="415" spans="1:9" s="17" customFormat="1" ht="12.75" customHeight="1" x14ac:dyDescent="0.2">
      <c r="A415" s="65">
        <v>406</v>
      </c>
      <c r="B415" s="60"/>
      <c r="C415" s="120" t="s">
        <v>4257</v>
      </c>
      <c r="D415" s="120"/>
      <c r="E415" s="120"/>
      <c r="F415" s="113" t="s">
        <v>76</v>
      </c>
      <c r="G415" s="114"/>
      <c r="H415" s="123">
        <f>34.8+4+20.3+5.6-4-5.6-5.8-23-6-3+3.2-3.2+4.2-7.3-4.2+5+2.2-2.2+4.7+4+5-4-2+5+5.3+6-4.7-8-6+6+2.7-6+4.8-2.7-4.8+6.9-6.9-5.3-2.1+5.3-10-5.3+5.5-5.5</f>
        <v>2.8999999999999808</v>
      </c>
      <c r="I415" s="123"/>
    </row>
    <row r="416" spans="1:9" s="16" customFormat="1" ht="12" customHeight="1" x14ac:dyDescent="0.2">
      <c r="A416" s="65">
        <v>407</v>
      </c>
      <c r="B416" s="60" t="s">
        <v>3636</v>
      </c>
      <c r="C416" s="120" t="s">
        <v>3640</v>
      </c>
      <c r="D416" s="120"/>
      <c r="E416" s="120"/>
      <c r="F416" s="125" t="s">
        <v>76</v>
      </c>
      <c r="G416" s="125"/>
      <c r="H416" s="123">
        <v>6</v>
      </c>
      <c r="I416" s="123"/>
    </row>
    <row r="417" spans="1:9" s="17" customFormat="1" ht="12.75" customHeight="1" x14ac:dyDescent="0.2">
      <c r="A417" s="65">
        <v>408</v>
      </c>
      <c r="B417" s="60"/>
      <c r="C417" s="112" t="s">
        <v>4989</v>
      </c>
      <c r="D417" s="112"/>
      <c r="E417" s="112"/>
      <c r="F417" s="121" t="s">
        <v>17</v>
      </c>
      <c r="G417" s="122"/>
      <c r="H417" s="123">
        <f>29-2.1-5.3-8-6.8+11.6-1.1+64.2-0.3-2.3-0.5-2.1-12.5-5.7-19.5</f>
        <v>38.600000000000009</v>
      </c>
      <c r="I417" s="123"/>
    </row>
    <row r="418" spans="1:9" s="17" customFormat="1" ht="12.75" customHeight="1" x14ac:dyDescent="0.2">
      <c r="A418" s="65">
        <v>409</v>
      </c>
      <c r="B418" s="60"/>
      <c r="C418" s="117" t="s">
        <v>2185</v>
      </c>
      <c r="D418" s="118"/>
      <c r="E418" s="119"/>
      <c r="F418" s="121" t="s">
        <v>33</v>
      </c>
      <c r="G418" s="122"/>
      <c r="H418" s="115">
        <f>22.5-2.6</f>
        <v>19.899999999999999</v>
      </c>
      <c r="I418" s="116"/>
    </row>
    <row r="419" spans="1:9" s="17" customFormat="1" ht="12.75" customHeight="1" x14ac:dyDescent="0.2">
      <c r="A419" s="65">
        <v>410</v>
      </c>
      <c r="B419" s="60"/>
      <c r="C419" s="120" t="s">
        <v>3136</v>
      </c>
      <c r="D419" s="120"/>
      <c r="E419" s="120"/>
      <c r="F419" s="113" t="s">
        <v>76</v>
      </c>
      <c r="G419" s="114"/>
      <c r="H419" s="123"/>
      <c r="I419" s="123"/>
    </row>
    <row r="420" spans="1:9" s="17" customFormat="1" ht="12.75" customHeight="1" x14ac:dyDescent="0.2">
      <c r="A420" s="65">
        <v>411</v>
      </c>
      <c r="B420" s="60"/>
      <c r="C420" s="117" t="s">
        <v>1341</v>
      </c>
      <c r="D420" s="118"/>
      <c r="E420" s="119"/>
      <c r="F420" s="113" t="s">
        <v>59</v>
      </c>
      <c r="G420" s="114"/>
      <c r="H420" s="115">
        <f>122-9.8-15.8-6.7-16.5-3-8.5-17-3-9-3-6.1</f>
        <v>23.6</v>
      </c>
      <c r="I420" s="116"/>
    </row>
    <row r="421" spans="1:9" s="17" customFormat="1" ht="12.75" customHeight="1" x14ac:dyDescent="0.2">
      <c r="A421" s="65">
        <v>412</v>
      </c>
      <c r="B421" s="60"/>
      <c r="C421" s="117" t="s">
        <v>2673</v>
      </c>
      <c r="D421" s="118"/>
      <c r="E421" s="119"/>
      <c r="F421" s="121" t="s">
        <v>31</v>
      </c>
      <c r="G421" s="122"/>
      <c r="H421" s="115">
        <f>16.8+17+2.4+11.8-16.8</f>
        <v>31.2</v>
      </c>
      <c r="I421" s="116"/>
    </row>
    <row r="422" spans="1:9" s="17" customFormat="1" ht="12.75" customHeight="1" x14ac:dyDescent="0.2">
      <c r="A422" s="65">
        <v>413</v>
      </c>
      <c r="B422" s="60"/>
      <c r="C422" s="112" t="s">
        <v>2349</v>
      </c>
      <c r="D422" s="112"/>
      <c r="E422" s="112"/>
      <c r="F422" s="113" t="s">
        <v>76</v>
      </c>
      <c r="G422" s="114"/>
      <c r="H422" s="123">
        <f>10.3-3.8</f>
        <v>6.5000000000000009</v>
      </c>
      <c r="I422" s="123"/>
    </row>
    <row r="423" spans="1:9" s="17" customFormat="1" ht="12.75" customHeight="1" x14ac:dyDescent="0.2">
      <c r="A423" s="65">
        <v>414</v>
      </c>
      <c r="B423" s="60"/>
      <c r="C423" s="117" t="s">
        <v>2746</v>
      </c>
      <c r="D423" s="118"/>
      <c r="E423" s="119"/>
      <c r="F423" s="113" t="s">
        <v>59</v>
      </c>
      <c r="G423" s="114"/>
      <c r="H423" s="115">
        <f>119-3.6-11-11-7-7.3-10.6-3.6-3.8-32.8</f>
        <v>28.300000000000026</v>
      </c>
      <c r="I423" s="116"/>
    </row>
    <row r="424" spans="1:9" s="17" customFormat="1" ht="12.75" customHeight="1" x14ac:dyDescent="0.2">
      <c r="A424" s="65">
        <v>415</v>
      </c>
      <c r="B424" s="60"/>
      <c r="C424" s="120" t="s">
        <v>2760</v>
      </c>
      <c r="D424" s="120"/>
      <c r="E424" s="120"/>
      <c r="F424" s="113" t="s">
        <v>29</v>
      </c>
      <c r="G424" s="114"/>
      <c r="H424" s="123">
        <f>9.2-3.8</f>
        <v>5.3999999999999995</v>
      </c>
      <c r="I424" s="123"/>
    </row>
    <row r="425" spans="1:9" s="17" customFormat="1" ht="12.75" customHeight="1" x14ac:dyDescent="0.2">
      <c r="A425" s="65">
        <v>416</v>
      </c>
      <c r="B425" s="60" t="s">
        <v>3666</v>
      </c>
      <c r="C425" s="112" t="s">
        <v>5074</v>
      </c>
      <c r="D425" s="112"/>
      <c r="E425" s="112"/>
      <c r="F425" s="113" t="s">
        <v>62</v>
      </c>
      <c r="G425" s="114"/>
      <c r="H425" s="123">
        <f>13+3-3.2</f>
        <v>12.8</v>
      </c>
      <c r="I425" s="123"/>
    </row>
    <row r="426" spans="1:9" s="17" customFormat="1" ht="12.75" customHeight="1" x14ac:dyDescent="0.2">
      <c r="A426" s="65">
        <v>417</v>
      </c>
      <c r="B426" s="60" t="s">
        <v>3557</v>
      </c>
      <c r="C426" s="112" t="s">
        <v>4979</v>
      </c>
      <c r="D426" s="112"/>
      <c r="E426" s="112"/>
      <c r="F426" s="113" t="s">
        <v>62</v>
      </c>
      <c r="G426" s="114"/>
      <c r="H426" s="123">
        <v>10.6</v>
      </c>
      <c r="I426" s="123"/>
    </row>
    <row r="427" spans="1:9" s="17" customFormat="1" ht="12.75" customHeight="1" x14ac:dyDescent="0.2">
      <c r="A427" s="65">
        <v>418</v>
      </c>
      <c r="B427" s="60" t="s">
        <v>3636</v>
      </c>
      <c r="C427" s="117" t="s">
        <v>4054</v>
      </c>
      <c r="D427" s="118"/>
      <c r="E427" s="119"/>
      <c r="F427" s="121" t="s">
        <v>31</v>
      </c>
      <c r="G427" s="122"/>
      <c r="H427" s="115">
        <f>4.3+12.8-15.2+0.1</f>
        <v>2.0000000000000022</v>
      </c>
      <c r="I427" s="116"/>
    </row>
    <row r="428" spans="1:9" s="17" customFormat="1" ht="12.75" customHeight="1" x14ac:dyDescent="0.2">
      <c r="A428" s="65">
        <v>419</v>
      </c>
      <c r="B428" s="60" t="s">
        <v>2934</v>
      </c>
      <c r="C428" s="120" t="s">
        <v>5284</v>
      </c>
      <c r="D428" s="120"/>
      <c r="E428" s="120"/>
      <c r="F428" s="121" t="s">
        <v>271</v>
      </c>
      <c r="G428" s="122"/>
      <c r="H428" s="123">
        <v>81.8</v>
      </c>
      <c r="I428" s="123"/>
    </row>
    <row r="429" spans="1:9" s="17" customFormat="1" ht="12.75" customHeight="1" x14ac:dyDescent="0.2">
      <c r="A429" s="65">
        <v>420</v>
      </c>
      <c r="B429" s="60"/>
      <c r="C429" s="117" t="s">
        <v>3274</v>
      </c>
      <c r="D429" s="118"/>
      <c r="E429" s="119"/>
      <c r="F429" s="113" t="s">
        <v>62</v>
      </c>
      <c r="G429" s="114"/>
      <c r="H429" s="115">
        <f>146-1.7+3-0.9</f>
        <v>146.4</v>
      </c>
      <c r="I429" s="116"/>
    </row>
    <row r="430" spans="1:9" s="17" customFormat="1" ht="12.75" customHeight="1" x14ac:dyDescent="0.2">
      <c r="A430" s="65">
        <v>421</v>
      </c>
      <c r="B430" s="60" t="s">
        <v>2241</v>
      </c>
      <c r="C430" s="117" t="s">
        <v>4660</v>
      </c>
      <c r="D430" s="118"/>
      <c r="E430" s="119"/>
      <c r="F430" s="113" t="s">
        <v>57</v>
      </c>
      <c r="G430" s="114"/>
      <c r="H430" s="115">
        <f>30.5+38+3.5</f>
        <v>72</v>
      </c>
      <c r="I430" s="116"/>
    </row>
    <row r="431" spans="1:9" s="17" customFormat="1" ht="12.75" customHeight="1" x14ac:dyDescent="0.2">
      <c r="A431" s="65">
        <v>422</v>
      </c>
      <c r="B431" s="60"/>
      <c r="C431" s="117" t="s">
        <v>2575</v>
      </c>
      <c r="D431" s="118"/>
      <c r="E431" s="119"/>
      <c r="F431" s="121" t="s">
        <v>31</v>
      </c>
      <c r="G431" s="122"/>
      <c r="H431" s="115">
        <f>4.1+54.8</f>
        <v>58.9</v>
      </c>
      <c r="I431" s="116"/>
    </row>
    <row r="432" spans="1:9" s="17" customFormat="1" ht="12.75" customHeight="1" x14ac:dyDescent="0.2">
      <c r="A432" s="65">
        <v>423</v>
      </c>
      <c r="B432" s="60"/>
      <c r="C432" s="117" t="s">
        <v>1617</v>
      </c>
      <c r="D432" s="118"/>
      <c r="E432" s="119"/>
      <c r="F432" s="121" t="s">
        <v>31</v>
      </c>
      <c r="G432" s="122"/>
      <c r="H432" s="115">
        <f>64-8-7.4</f>
        <v>48.6</v>
      </c>
      <c r="I432" s="116"/>
    </row>
    <row r="433" spans="1:9" s="17" customFormat="1" ht="12.75" customHeight="1" x14ac:dyDescent="0.2">
      <c r="A433" s="65">
        <v>424</v>
      </c>
      <c r="B433" s="60"/>
      <c r="C433" s="112" t="s">
        <v>3085</v>
      </c>
      <c r="D433" s="112"/>
      <c r="E433" s="112"/>
      <c r="F433" s="113" t="s">
        <v>76</v>
      </c>
      <c r="G433" s="114"/>
      <c r="H433" s="123">
        <f>1047-18.4-7.3-20.7-47.2-100.2-130-0.8-72-37+34.5-3.8-77.8-46.2</f>
        <v>520.09999999999991</v>
      </c>
      <c r="I433" s="123"/>
    </row>
    <row r="434" spans="1:9" s="17" customFormat="1" ht="11.25" x14ac:dyDescent="0.2">
      <c r="A434" s="65">
        <v>425</v>
      </c>
      <c r="B434" s="60" t="s">
        <v>2241</v>
      </c>
      <c r="C434" s="128" t="s">
        <v>4514</v>
      </c>
      <c r="D434" s="126"/>
      <c r="E434" s="127"/>
      <c r="F434" s="113" t="s">
        <v>76</v>
      </c>
      <c r="G434" s="114"/>
      <c r="H434" s="115">
        <f>6.3-1.1</f>
        <v>5.1999999999999993</v>
      </c>
      <c r="I434" s="116"/>
    </row>
    <row r="435" spans="1:9" s="17" customFormat="1" ht="26.25" customHeight="1" x14ac:dyDescent="0.2">
      <c r="A435" s="65">
        <v>426</v>
      </c>
      <c r="B435" s="60"/>
      <c r="C435" s="112" t="s">
        <v>4936</v>
      </c>
      <c r="D435" s="112"/>
      <c r="E435" s="112"/>
      <c r="F435" s="113" t="s">
        <v>76</v>
      </c>
      <c r="G435" s="114"/>
      <c r="H435" s="123">
        <f>9.4+6.8-3+6-3.4-3.1+9+0.3+3.5-6-2.9-2+3.1+25.9+2.1+6.3+2.9-8.4</f>
        <v>46.5</v>
      </c>
      <c r="I435" s="123"/>
    </row>
    <row r="436" spans="1:9" s="17" customFormat="1" ht="12.75" customHeight="1" x14ac:dyDescent="0.2">
      <c r="A436" s="65">
        <v>427</v>
      </c>
      <c r="B436" s="60" t="s">
        <v>5158</v>
      </c>
      <c r="C436" s="112" t="s">
        <v>5159</v>
      </c>
      <c r="D436" s="112"/>
      <c r="E436" s="112"/>
      <c r="F436" s="113" t="s">
        <v>76</v>
      </c>
      <c r="G436" s="114"/>
      <c r="H436" s="115">
        <v>5.6</v>
      </c>
      <c r="I436" s="116"/>
    </row>
    <row r="437" spans="1:9" s="17" customFormat="1" ht="12.75" customHeight="1" x14ac:dyDescent="0.2">
      <c r="A437" s="65">
        <v>428</v>
      </c>
      <c r="B437" s="60"/>
      <c r="C437" s="112" t="s">
        <v>1065</v>
      </c>
      <c r="D437" s="112"/>
      <c r="E437" s="112"/>
      <c r="F437" s="121" t="s">
        <v>6</v>
      </c>
      <c r="G437" s="122"/>
      <c r="H437" s="123">
        <f>42-4.9-8.4-1.6</f>
        <v>27.1</v>
      </c>
      <c r="I437" s="123"/>
    </row>
    <row r="438" spans="1:9" s="17" customFormat="1" ht="12.75" customHeight="1" x14ac:dyDescent="0.2">
      <c r="A438" s="65">
        <v>429</v>
      </c>
      <c r="B438" s="60"/>
      <c r="C438" s="112" t="s">
        <v>246</v>
      </c>
      <c r="D438" s="112"/>
      <c r="E438" s="112"/>
      <c r="F438" s="121" t="s">
        <v>6</v>
      </c>
      <c r="G438" s="122"/>
      <c r="H438" s="123">
        <v>4</v>
      </c>
      <c r="I438" s="123"/>
    </row>
    <row r="439" spans="1:9" s="17" customFormat="1" ht="11.25" customHeight="1" x14ac:dyDescent="0.2">
      <c r="A439" s="65">
        <v>430</v>
      </c>
      <c r="B439" s="60" t="s">
        <v>2241</v>
      </c>
      <c r="C439" s="112" t="s">
        <v>2417</v>
      </c>
      <c r="D439" s="112"/>
      <c r="E439" s="112"/>
      <c r="F439" s="121" t="s">
        <v>56</v>
      </c>
      <c r="G439" s="122"/>
      <c r="H439" s="123">
        <f>14.2-4.5</f>
        <v>9.6999999999999993</v>
      </c>
      <c r="I439" s="116"/>
    </row>
    <row r="440" spans="1:9" s="17" customFormat="1" ht="11.25" customHeight="1" x14ac:dyDescent="0.2">
      <c r="A440" s="65">
        <v>431</v>
      </c>
      <c r="B440" s="60"/>
      <c r="C440" s="112" t="s">
        <v>3223</v>
      </c>
      <c r="D440" s="112"/>
      <c r="E440" s="112"/>
      <c r="F440" s="121" t="s">
        <v>56</v>
      </c>
      <c r="G440" s="122"/>
      <c r="H440" s="123">
        <v>5.7</v>
      </c>
      <c r="I440" s="116"/>
    </row>
    <row r="441" spans="1:9" s="17" customFormat="1" ht="11.25" x14ac:dyDescent="0.2">
      <c r="A441" s="65">
        <v>432</v>
      </c>
      <c r="B441" s="60" t="s">
        <v>2241</v>
      </c>
      <c r="C441" s="112" t="s">
        <v>3000</v>
      </c>
      <c r="D441" s="112"/>
      <c r="E441" s="112"/>
      <c r="F441" s="113" t="s">
        <v>29</v>
      </c>
      <c r="G441" s="114"/>
      <c r="H441" s="123">
        <v>32.700000000000003</v>
      </c>
      <c r="I441" s="123"/>
    </row>
    <row r="442" spans="1:9" s="17" customFormat="1" ht="12.75" customHeight="1" x14ac:dyDescent="0.2">
      <c r="A442" s="65">
        <v>433</v>
      </c>
      <c r="B442" s="60"/>
      <c r="C442" s="112" t="s">
        <v>5157</v>
      </c>
      <c r="D442" s="112"/>
      <c r="E442" s="112"/>
      <c r="F442" s="113" t="s">
        <v>76</v>
      </c>
      <c r="G442" s="114"/>
      <c r="H442" s="115">
        <v>21.8</v>
      </c>
      <c r="I442" s="116"/>
    </row>
    <row r="443" spans="1:9" s="17" customFormat="1" ht="27.75" customHeight="1" x14ac:dyDescent="0.2">
      <c r="A443" s="65">
        <v>434</v>
      </c>
      <c r="B443" s="60"/>
      <c r="C443" s="112" t="s">
        <v>3317</v>
      </c>
      <c r="D443" s="112"/>
      <c r="E443" s="112"/>
      <c r="F443" s="113" t="s">
        <v>29</v>
      </c>
      <c r="G443" s="114"/>
      <c r="H443" s="123">
        <f>91.4+56.7+28+20+8.6+7.3+3.6</f>
        <v>215.60000000000002</v>
      </c>
      <c r="I443" s="123"/>
    </row>
    <row r="444" spans="1:9" s="17" customFormat="1" ht="27.75" customHeight="1" x14ac:dyDescent="0.2">
      <c r="A444" s="65">
        <v>435</v>
      </c>
      <c r="B444" s="60"/>
      <c r="C444" s="112" t="s">
        <v>5076</v>
      </c>
      <c r="D444" s="112"/>
      <c r="E444" s="112"/>
      <c r="F444" s="113" t="s">
        <v>76</v>
      </c>
      <c r="G444" s="114"/>
      <c r="H444" s="123">
        <f>5.2+7.5+7.3+3.8-3.7+6+10+5-9.7+4.3-3.7</f>
        <v>32</v>
      </c>
      <c r="I444" s="123"/>
    </row>
    <row r="445" spans="1:9" s="17" customFormat="1" ht="12.75" customHeight="1" x14ac:dyDescent="0.2">
      <c r="A445" s="65">
        <v>436</v>
      </c>
      <c r="B445" s="60"/>
      <c r="C445" s="112" t="s">
        <v>3464</v>
      </c>
      <c r="D445" s="112"/>
      <c r="E445" s="112"/>
      <c r="F445" s="113" t="s">
        <v>76</v>
      </c>
      <c r="G445" s="114"/>
      <c r="H445" s="123">
        <f>2+3+68.9-37-19+3.5-2</f>
        <v>19.400000000000006</v>
      </c>
      <c r="I445" s="123"/>
    </row>
    <row r="446" spans="1:9" s="17" customFormat="1" ht="12.75" customHeight="1" x14ac:dyDescent="0.2">
      <c r="A446" s="65">
        <v>437</v>
      </c>
      <c r="B446" s="60"/>
      <c r="C446" s="117" t="s">
        <v>3146</v>
      </c>
      <c r="D446" s="118"/>
      <c r="E446" s="119"/>
      <c r="F446" s="121" t="s">
        <v>31</v>
      </c>
      <c r="G446" s="122"/>
      <c r="H446" s="115">
        <f>93.2+15.8-2.6-2.7-2.6+2.7-2.6-2.6-2.7+3</f>
        <v>98.90000000000002</v>
      </c>
      <c r="I446" s="116"/>
    </row>
    <row r="447" spans="1:9" s="17" customFormat="1" ht="12.75" customHeight="1" x14ac:dyDescent="0.2">
      <c r="A447" s="65">
        <v>438</v>
      </c>
      <c r="B447" s="60"/>
      <c r="C447" s="112" t="s">
        <v>1399</v>
      </c>
      <c r="D447" s="112"/>
      <c r="E447" s="112"/>
      <c r="F447" s="121" t="s">
        <v>56</v>
      </c>
      <c r="G447" s="122"/>
      <c r="H447" s="123">
        <f>2.4+3.2</f>
        <v>5.6</v>
      </c>
      <c r="I447" s="123"/>
    </row>
    <row r="448" spans="1:9" s="17" customFormat="1" ht="12.75" customHeight="1" x14ac:dyDescent="0.2">
      <c r="A448" s="65">
        <v>439</v>
      </c>
      <c r="B448" s="60"/>
      <c r="C448" s="112" t="s">
        <v>3412</v>
      </c>
      <c r="D448" s="112"/>
      <c r="E448" s="112"/>
      <c r="F448" s="121" t="s">
        <v>56</v>
      </c>
      <c r="G448" s="122"/>
      <c r="H448" s="123">
        <v>3.8</v>
      </c>
      <c r="I448" s="123"/>
    </row>
    <row r="449" spans="1:9" s="17" customFormat="1" ht="12.75" customHeight="1" x14ac:dyDescent="0.2">
      <c r="A449" s="65">
        <v>440</v>
      </c>
      <c r="B449" s="60"/>
      <c r="C449" s="112" t="s">
        <v>3477</v>
      </c>
      <c r="D449" s="112"/>
      <c r="E449" s="112"/>
      <c r="F449" s="121" t="s">
        <v>85</v>
      </c>
      <c r="G449" s="122"/>
      <c r="H449" s="115">
        <f>56+15.9</f>
        <v>71.900000000000006</v>
      </c>
      <c r="I449" s="116"/>
    </row>
    <row r="450" spans="1:9" s="17" customFormat="1" ht="12.75" customHeight="1" x14ac:dyDescent="0.2">
      <c r="A450" s="65">
        <v>441</v>
      </c>
      <c r="B450" s="60"/>
      <c r="C450" s="112" t="s">
        <v>1968</v>
      </c>
      <c r="D450" s="112"/>
      <c r="E450" s="112"/>
      <c r="F450" s="121" t="s">
        <v>85</v>
      </c>
      <c r="G450" s="122"/>
      <c r="H450" s="115">
        <v>7.5</v>
      </c>
      <c r="I450" s="116"/>
    </row>
    <row r="451" spans="1:9" s="17" customFormat="1" ht="12.75" customHeight="1" x14ac:dyDescent="0.2">
      <c r="A451" s="65">
        <v>442</v>
      </c>
      <c r="B451" s="60"/>
      <c r="C451" s="112" t="s">
        <v>3478</v>
      </c>
      <c r="D451" s="112"/>
      <c r="E451" s="112"/>
      <c r="F451" s="121" t="s">
        <v>85</v>
      </c>
      <c r="G451" s="122"/>
      <c r="H451" s="115">
        <v>2</v>
      </c>
      <c r="I451" s="116"/>
    </row>
    <row r="452" spans="1:9" s="17" customFormat="1" ht="12.75" customHeight="1" x14ac:dyDescent="0.2">
      <c r="A452" s="65">
        <v>443</v>
      </c>
      <c r="B452" s="60"/>
      <c r="C452" s="112" t="s">
        <v>1457</v>
      </c>
      <c r="D452" s="112"/>
      <c r="E452" s="112"/>
      <c r="F452" s="121" t="s">
        <v>85</v>
      </c>
      <c r="G452" s="122"/>
      <c r="H452" s="115">
        <v>5.6</v>
      </c>
      <c r="I452" s="116"/>
    </row>
    <row r="453" spans="1:9" s="17" customFormat="1" ht="11.25" x14ac:dyDescent="0.2">
      <c r="A453" s="65">
        <v>444</v>
      </c>
      <c r="B453" s="60"/>
      <c r="C453" s="112" t="s">
        <v>3038</v>
      </c>
      <c r="D453" s="112"/>
      <c r="E453" s="112"/>
      <c r="F453" s="113" t="s">
        <v>76</v>
      </c>
      <c r="G453" s="114"/>
      <c r="H453" s="123">
        <f>6+4.5+2+4+22.8-10+3.1+7.3-5.6+278-3.1-4.5+4.9-37-0.5-49.3-22.4+6.2-2.2-2.1-32.5</f>
        <v>169.59999999999997</v>
      </c>
      <c r="I453" s="123"/>
    </row>
    <row r="454" spans="1:9" s="17" customFormat="1" ht="11.25" x14ac:dyDescent="0.2">
      <c r="A454" s="65">
        <v>445</v>
      </c>
      <c r="B454" s="60" t="s">
        <v>2242</v>
      </c>
      <c r="C454" s="112" t="s">
        <v>3044</v>
      </c>
      <c r="D454" s="112"/>
      <c r="E454" s="112"/>
      <c r="F454" s="113" t="s">
        <v>76</v>
      </c>
      <c r="G454" s="114"/>
      <c r="H454" s="123">
        <f>22.4+14+14-4.5-4.5-5.1</f>
        <v>36.299999999999997</v>
      </c>
      <c r="I454" s="123"/>
    </row>
    <row r="455" spans="1:9" s="17" customFormat="1" ht="12.75" customHeight="1" x14ac:dyDescent="0.2">
      <c r="A455" s="65">
        <v>446</v>
      </c>
      <c r="B455" s="60"/>
      <c r="C455" s="117" t="s">
        <v>2589</v>
      </c>
      <c r="D455" s="118"/>
      <c r="E455" s="119"/>
      <c r="F455" s="124" t="s">
        <v>42</v>
      </c>
      <c r="G455" s="124"/>
      <c r="H455" s="115">
        <f>37.2-8.2</f>
        <v>29.000000000000004</v>
      </c>
      <c r="I455" s="116"/>
    </row>
    <row r="456" spans="1:9" s="17" customFormat="1" ht="12.75" customHeight="1" x14ac:dyDescent="0.2">
      <c r="A456" s="65">
        <v>447</v>
      </c>
      <c r="B456" s="60"/>
      <c r="C456" s="117" t="s">
        <v>3758</v>
      </c>
      <c r="D456" s="118"/>
      <c r="E456" s="119"/>
      <c r="F456" s="121" t="s">
        <v>31</v>
      </c>
      <c r="G456" s="122"/>
      <c r="H456" s="115">
        <f>5.1+11.8-0.4-0.4-1.2</f>
        <v>14.900000000000002</v>
      </c>
      <c r="I456" s="116"/>
    </row>
    <row r="457" spans="1:9" s="17" customFormat="1" ht="12.75" customHeight="1" x14ac:dyDescent="0.2">
      <c r="A457" s="65">
        <v>448</v>
      </c>
      <c r="B457" s="60" t="s">
        <v>3636</v>
      </c>
      <c r="C457" s="117" t="s">
        <v>3816</v>
      </c>
      <c r="D457" s="118"/>
      <c r="E457" s="119"/>
      <c r="F457" s="121" t="s">
        <v>271</v>
      </c>
      <c r="G457" s="122"/>
      <c r="H457" s="115">
        <f>10-2.6-2.7-2.5+0.2</f>
        <v>2.4000000000000004</v>
      </c>
      <c r="I457" s="116"/>
    </row>
    <row r="458" spans="1:9" s="17" customFormat="1" ht="12.75" customHeight="1" x14ac:dyDescent="0.2">
      <c r="A458" s="65">
        <v>449</v>
      </c>
      <c r="B458" s="60"/>
      <c r="C458" s="112" t="s">
        <v>5148</v>
      </c>
      <c r="D458" s="112"/>
      <c r="E458" s="112"/>
      <c r="F458" s="121" t="s">
        <v>30</v>
      </c>
      <c r="G458" s="122"/>
      <c r="H458" s="123">
        <f>428.3-1.2-8.3-8.4-30.5-46.3-33-55.7-51.7+3.6-23.2-3.6-21.3-18.4-11.3-0.2-0.5-28.8</f>
        <v>89.500000000000043</v>
      </c>
      <c r="I458" s="123"/>
    </row>
    <row r="459" spans="1:9" s="17" customFormat="1" ht="12.75" customHeight="1" x14ac:dyDescent="0.2">
      <c r="A459" s="65">
        <v>450</v>
      </c>
      <c r="B459" s="60"/>
      <c r="C459" s="112" t="s">
        <v>3318</v>
      </c>
      <c r="D459" s="112"/>
      <c r="E459" s="112"/>
      <c r="F459" s="121" t="s">
        <v>56</v>
      </c>
      <c r="G459" s="122"/>
      <c r="H459" s="123">
        <f>6.4-2.5+85.6-2-5.8-3-16.7+44.7+4.6+3.9+4.6-3.9-4.6-4.6-13-8.1+3.3+1.7-0.2-8.6-36.7+7.4</f>
        <v>52.500000000000007</v>
      </c>
      <c r="I459" s="123"/>
    </row>
    <row r="460" spans="1:9" s="17" customFormat="1" ht="12.75" customHeight="1" x14ac:dyDescent="0.2">
      <c r="A460" s="65">
        <v>451</v>
      </c>
      <c r="B460" s="60"/>
      <c r="C460" s="112" t="s">
        <v>5067</v>
      </c>
      <c r="D460" s="112"/>
      <c r="E460" s="112"/>
      <c r="F460" s="121" t="s">
        <v>56</v>
      </c>
      <c r="G460" s="122"/>
      <c r="H460" s="123">
        <f>7.3+4.6</f>
        <v>11.899999999999999</v>
      </c>
      <c r="I460" s="123"/>
    </row>
    <row r="461" spans="1:9" s="17" customFormat="1" ht="12.75" customHeight="1" x14ac:dyDescent="0.2">
      <c r="A461" s="65">
        <v>452</v>
      </c>
      <c r="B461" s="60"/>
      <c r="C461" s="112" t="s">
        <v>3389</v>
      </c>
      <c r="D461" s="112"/>
      <c r="E461" s="112"/>
      <c r="F461" s="121" t="s">
        <v>56</v>
      </c>
      <c r="G461" s="122"/>
      <c r="H461" s="123">
        <f>6.3-1.6</f>
        <v>4.6999999999999993</v>
      </c>
      <c r="I461" s="123"/>
    </row>
    <row r="462" spans="1:9" s="17" customFormat="1" ht="12.75" customHeight="1" x14ac:dyDescent="0.2">
      <c r="A462" s="65">
        <v>453</v>
      </c>
      <c r="B462" s="60" t="s">
        <v>3574</v>
      </c>
      <c r="C462" s="112" t="s">
        <v>3806</v>
      </c>
      <c r="D462" s="112"/>
      <c r="E462" s="112"/>
      <c r="F462" s="121" t="s">
        <v>56</v>
      </c>
      <c r="G462" s="122"/>
      <c r="H462" s="123">
        <f>6.3-1.6</f>
        <v>4.6999999999999993</v>
      </c>
      <c r="I462" s="123"/>
    </row>
    <row r="463" spans="1:9" s="17" customFormat="1" ht="12.75" customHeight="1" x14ac:dyDescent="0.2">
      <c r="A463" s="65">
        <v>454</v>
      </c>
      <c r="B463" s="60"/>
      <c r="C463" s="117" t="s">
        <v>2711</v>
      </c>
      <c r="D463" s="118"/>
      <c r="E463" s="119"/>
      <c r="F463" s="121" t="s">
        <v>200</v>
      </c>
      <c r="G463" s="122"/>
      <c r="H463" s="115">
        <f>3.2+8.6+13.4-0.2</f>
        <v>25.000000000000004</v>
      </c>
      <c r="I463" s="116"/>
    </row>
    <row r="464" spans="1:9" s="17" customFormat="1" ht="12.75" customHeight="1" x14ac:dyDescent="0.2">
      <c r="A464" s="65">
        <v>455</v>
      </c>
      <c r="B464" s="60"/>
      <c r="C464" s="112" t="s">
        <v>3479</v>
      </c>
      <c r="D464" s="112"/>
      <c r="E464" s="112"/>
      <c r="F464" s="121" t="s">
        <v>85</v>
      </c>
      <c r="G464" s="122"/>
      <c r="H464" s="115">
        <v>5.2</v>
      </c>
      <c r="I464" s="116"/>
    </row>
    <row r="465" spans="1:9" s="17" customFormat="1" ht="12.75" customHeight="1" x14ac:dyDescent="0.2">
      <c r="A465" s="65">
        <v>456</v>
      </c>
      <c r="B465" s="60"/>
      <c r="C465" s="112" t="s">
        <v>3021</v>
      </c>
      <c r="D465" s="112"/>
      <c r="E465" s="112"/>
      <c r="F465" s="113" t="s">
        <v>76</v>
      </c>
      <c r="G465" s="114"/>
      <c r="H465" s="123">
        <f>58-7.6-10-12.3</f>
        <v>28.099999999999998</v>
      </c>
      <c r="I465" s="123"/>
    </row>
    <row r="466" spans="1:9" s="17" customFormat="1" ht="12.75" customHeight="1" x14ac:dyDescent="0.2">
      <c r="A466" s="65">
        <v>457</v>
      </c>
      <c r="B466" s="60"/>
      <c r="C466" s="112" t="s">
        <v>4487</v>
      </c>
      <c r="D466" s="112"/>
      <c r="E466" s="112"/>
      <c r="F466" s="113" t="s">
        <v>76</v>
      </c>
      <c r="G466" s="114"/>
      <c r="H466" s="123">
        <f>5.9+10.3</f>
        <v>16.200000000000003</v>
      </c>
      <c r="I466" s="123"/>
    </row>
    <row r="467" spans="1:9" s="17" customFormat="1" ht="22.5" customHeight="1" x14ac:dyDescent="0.2">
      <c r="A467" s="65">
        <v>458</v>
      </c>
      <c r="B467" s="60"/>
      <c r="C467" s="112" t="s">
        <v>2716</v>
      </c>
      <c r="D467" s="112"/>
      <c r="E467" s="112"/>
      <c r="F467" s="113" t="s">
        <v>62</v>
      </c>
      <c r="G467" s="114"/>
      <c r="H467" s="123">
        <f>6.5+19+11.8-3.5+7.2+11-16.8-25+10.7-3+4.5+6.7+8.3+10.5+4.2-6.7-7.2-5.7-15.2+10.5-4.8-1.4-4.6+34.4+2.9+8.8+8.8-4.6-30+3.3-2.9-6.7+4.9+3.9+5.6+10-10-4.9-10+8-15+3.9+4.3-8.6</f>
        <v>23.1</v>
      </c>
      <c r="I467" s="123"/>
    </row>
    <row r="468" spans="1:9" s="17" customFormat="1" ht="22.5" customHeight="1" x14ac:dyDescent="0.2">
      <c r="A468" s="65">
        <v>459</v>
      </c>
      <c r="B468" s="60"/>
      <c r="C468" s="112" t="s">
        <v>4180</v>
      </c>
      <c r="D468" s="112"/>
      <c r="E468" s="112"/>
      <c r="F468" s="113" t="s">
        <v>76</v>
      </c>
      <c r="G468" s="114"/>
      <c r="H468" s="123">
        <f>28.7-14.1+4.3-4.3+3.5-3.5+20+6.8+2.8+2.8-2.8-2.4+10.4-11-2.3-8.6-3.2</f>
        <v>27.099999999999991</v>
      </c>
      <c r="I468" s="123"/>
    </row>
    <row r="469" spans="1:9" s="17" customFormat="1" ht="12.75" customHeight="1" x14ac:dyDescent="0.2">
      <c r="A469" s="65">
        <v>460</v>
      </c>
      <c r="B469" s="60"/>
      <c r="C469" s="112" t="s">
        <v>4990</v>
      </c>
      <c r="D469" s="112"/>
      <c r="E469" s="112"/>
      <c r="F469" s="113" t="s">
        <v>29</v>
      </c>
      <c r="G469" s="114"/>
      <c r="H469" s="123">
        <f>4.9+4.8+4.6+58-4.1-7-9.7-4.3-8.8</f>
        <v>38.400000000000006</v>
      </c>
      <c r="I469" s="123"/>
    </row>
    <row r="470" spans="1:9" s="17" customFormat="1" ht="12.75" customHeight="1" x14ac:dyDescent="0.2">
      <c r="A470" s="65">
        <v>461</v>
      </c>
      <c r="B470" s="60" t="s">
        <v>2241</v>
      </c>
      <c r="C470" s="120" t="s">
        <v>4173</v>
      </c>
      <c r="D470" s="126"/>
      <c r="E470" s="127"/>
      <c r="F470" s="124" t="s">
        <v>31</v>
      </c>
      <c r="G470" s="124"/>
      <c r="H470" s="123">
        <f>14.6+14.5</f>
        <v>29.1</v>
      </c>
      <c r="I470" s="123"/>
    </row>
    <row r="471" spans="1:9" s="17" customFormat="1" ht="12.75" customHeight="1" x14ac:dyDescent="0.2">
      <c r="A471" s="65">
        <v>462</v>
      </c>
      <c r="B471" s="60"/>
      <c r="C471" s="112" t="s">
        <v>1112</v>
      </c>
      <c r="D471" s="112"/>
      <c r="E471" s="112"/>
      <c r="F471" s="121" t="s">
        <v>56</v>
      </c>
      <c r="G471" s="122"/>
      <c r="H471" s="115">
        <f>22.7-7.5</f>
        <v>15.2</v>
      </c>
      <c r="I471" s="116"/>
    </row>
    <row r="472" spans="1:9" s="17" customFormat="1" ht="12.75" customHeight="1" x14ac:dyDescent="0.2">
      <c r="A472" s="65">
        <v>463</v>
      </c>
      <c r="B472" s="60"/>
      <c r="C472" s="112" t="s">
        <v>2440</v>
      </c>
      <c r="D472" s="112"/>
      <c r="E472" s="112"/>
      <c r="F472" s="121" t="s">
        <v>56</v>
      </c>
      <c r="G472" s="122"/>
      <c r="H472" s="115">
        <f>183-1.7-35.6-9.1-41+115.5-3.3-1.4-11.4-6.7-7-1.4-53.2-7.3</f>
        <v>119.4</v>
      </c>
      <c r="I472" s="116"/>
    </row>
    <row r="473" spans="1:9" s="17" customFormat="1" ht="12.75" customHeight="1" x14ac:dyDescent="0.2">
      <c r="A473" s="65">
        <v>464</v>
      </c>
      <c r="B473" s="60"/>
      <c r="C473" s="112" t="s">
        <v>2854</v>
      </c>
      <c r="D473" s="112"/>
      <c r="E473" s="112"/>
      <c r="F473" s="121" t="s">
        <v>56</v>
      </c>
      <c r="G473" s="122"/>
      <c r="H473" s="115">
        <v>16</v>
      </c>
      <c r="I473" s="116"/>
    </row>
    <row r="474" spans="1:9" s="17" customFormat="1" ht="12.75" customHeight="1" x14ac:dyDescent="0.2">
      <c r="A474" s="65">
        <v>465</v>
      </c>
      <c r="B474" s="60"/>
      <c r="C474" s="112" t="s">
        <v>2924</v>
      </c>
      <c r="D474" s="112"/>
      <c r="E474" s="112"/>
      <c r="F474" s="121" t="s">
        <v>56</v>
      </c>
      <c r="G474" s="122"/>
      <c r="H474" s="115">
        <f>15-3</f>
        <v>12</v>
      </c>
      <c r="I474" s="116"/>
    </row>
    <row r="475" spans="1:9" s="17" customFormat="1" ht="12.75" customHeight="1" x14ac:dyDescent="0.2">
      <c r="A475" s="65">
        <v>466</v>
      </c>
      <c r="B475" s="60"/>
      <c r="C475" s="112" t="s">
        <v>3200</v>
      </c>
      <c r="D475" s="112"/>
      <c r="E475" s="112"/>
      <c r="F475" s="124" t="s">
        <v>200</v>
      </c>
      <c r="G475" s="124"/>
      <c r="H475" s="123">
        <v>3.4</v>
      </c>
      <c r="I475" s="123"/>
    </row>
    <row r="476" spans="1:9" s="17" customFormat="1" ht="12.75" customHeight="1" x14ac:dyDescent="0.2">
      <c r="A476" s="65">
        <v>467</v>
      </c>
      <c r="B476" s="60"/>
      <c r="C476" s="120" t="s">
        <v>507</v>
      </c>
      <c r="D476" s="120"/>
      <c r="E476" s="120"/>
      <c r="F476" s="113" t="s">
        <v>76</v>
      </c>
      <c r="G476" s="114"/>
      <c r="H476" s="123"/>
      <c r="I476" s="123"/>
    </row>
    <row r="477" spans="1:9" s="17" customFormat="1" ht="12.75" customHeight="1" x14ac:dyDescent="0.2">
      <c r="A477" s="65">
        <v>468</v>
      </c>
      <c r="B477" s="60"/>
      <c r="C477" s="112" t="s">
        <v>3354</v>
      </c>
      <c r="D477" s="112"/>
      <c r="E477" s="112"/>
      <c r="F477" s="113" t="s">
        <v>29</v>
      </c>
      <c r="G477" s="114"/>
      <c r="H477" s="123">
        <f>242.6-31.6-3.4-3.5-7.2-7-4.1-42-6.7+5.2+6.4</f>
        <v>148.70000000000002</v>
      </c>
      <c r="I477" s="123"/>
    </row>
    <row r="478" spans="1:9" s="17" customFormat="1" ht="12.75" customHeight="1" x14ac:dyDescent="0.2">
      <c r="A478" s="65">
        <v>469</v>
      </c>
      <c r="B478" s="60" t="s">
        <v>3636</v>
      </c>
      <c r="C478" s="112" t="s">
        <v>3978</v>
      </c>
      <c r="D478" s="112"/>
      <c r="E478" s="112"/>
      <c r="F478" s="113" t="s">
        <v>62</v>
      </c>
      <c r="G478" s="114"/>
      <c r="H478" s="123">
        <v>9.3000000000000007</v>
      </c>
      <c r="I478" s="123"/>
    </row>
    <row r="479" spans="1:9" s="17" customFormat="1" ht="12.75" customHeight="1" x14ac:dyDescent="0.2">
      <c r="A479" s="65">
        <v>470</v>
      </c>
      <c r="B479" s="60"/>
      <c r="C479" s="112" t="s">
        <v>2956</v>
      </c>
      <c r="D479" s="112"/>
      <c r="E479" s="112"/>
      <c r="F479" s="121" t="s">
        <v>56</v>
      </c>
      <c r="G479" s="122"/>
      <c r="H479" s="115">
        <v>36.5</v>
      </c>
      <c r="I479" s="116"/>
    </row>
    <row r="480" spans="1:9" s="17" customFormat="1" ht="12.75" customHeight="1" x14ac:dyDescent="0.2">
      <c r="A480" s="65">
        <v>471</v>
      </c>
      <c r="B480" s="60"/>
      <c r="C480" s="112" t="s">
        <v>4459</v>
      </c>
      <c r="D480" s="112"/>
      <c r="E480" s="112"/>
      <c r="F480" s="113" t="s">
        <v>29</v>
      </c>
      <c r="G480" s="114"/>
      <c r="H480" s="123">
        <f>18.7+7.2</f>
        <v>25.9</v>
      </c>
      <c r="I480" s="123"/>
    </row>
    <row r="481" spans="1:9" s="17" customFormat="1" ht="12.75" customHeight="1" x14ac:dyDescent="0.2">
      <c r="A481" s="65">
        <v>472</v>
      </c>
      <c r="B481" s="60"/>
      <c r="C481" s="120" t="s">
        <v>233</v>
      </c>
      <c r="D481" s="120"/>
      <c r="E481" s="120"/>
      <c r="F481" s="174" t="s">
        <v>234</v>
      </c>
      <c r="G481" s="174"/>
      <c r="H481" s="123">
        <v>14.8</v>
      </c>
      <c r="I481" s="123"/>
    </row>
    <row r="482" spans="1:9" s="17" customFormat="1" ht="12.75" customHeight="1" x14ac:dyDescent="0.2">
      <c r="A482" s="65">
        <v>473</v>
      </c>
      <c r="B482" s="60"/>
      <c r="C482" s="120" t="s">
        <v>381</v>
      </c>
      <c r="D482" s="120"/>
      <c r="E482" s="120"/>
      <c r="F482" s="113" t="s">
        <v>76</v>
      </c>
      <c r="G482" s="114"/>
      <c r="H482" s="123"/>
      <c r="I482" s="123"/>
    </row>
    <row r="483" spans="1:9" s="17" customFormat="1" ht="12.75" customHeight="1" x14ac:dyDescent="0.2">
      <c r="A483" s="65">
        <v>474</v>
      </c>
      <c r="B483" s="60"/>
      <c r="C483" s="112" t="s">
        <v>3017</v>
      </c>
      <c r="D483" s="112"/>
      <c r="E483" s="112"/>
      <c r="F483" s="113" t="s">
        <v>76</v>
      </c>
      <c r="G483" s="114"/>
      <c r="H483" s="123">
        <f>175-1.5-5-51.1-22-0.6-9</f>
        <v>85.800000000000011</v>
      </c>
      <c r="I483" s="123"/>
    </row>
    <row r="484" spans="1:9" s="17" customFormat="1" ht="12.75" customHeight="1" x14ac:dyDescent="0.2">
      <c r="A484" s="65">
        <v>475</v>
      </c>
      <c r="B484" s="60"/>
      <c r="C484" s="112" t="s">
        <v>2087</v>
      </c>
      <c r="D484" s="112"/>
      <c r="E484" s="112"/>
      <c r="F484" s="124" t="s">
        <v>1545</v>
      </c>
      <c r="G484" s="124"/>
      <c r="H484" s="123">
        <v>11.8</v>
      </c>
      <c r="I484" s="123"/>
    </row>
    <row r="485" spans="1:9" s="17" customFormat="1" ht="12.75" customHeight="1" x14ac:dyDescent="0.2">
      <c r="A485" s="65">
        <v>476</v>
      </c>
      <c r="B485" s="60"/>
      <c r="C485" s="112" t="s">
        <v>185</v>
      </c>
      <c r="D485" s="112"/>
      <c r="E485" s="112"/>
      <c r="F485" s="124" t="s">
        <v>200</v>
      </c>
      <c r="G485" s="124"/>
      <c r="H485" s="123">
        <v>6.8</v>
      </c>
      <c r="I485" s="123"/>
    </row>
    <row r="486" spans="1:9" s="17" customFormat="1" ht="12.75" customHeight="1" x14ac:dyDescent="0.2">
      <c r="A486" s="65">
        <v>477</v>
      </c>
      <c r="B486" s="60" t="s">
        <v>2258</v>
      </c>
      <c r="C486" s="112" t="s">
        <v>5354</v>
      </c>
      <c r="D486" s="112"/>
      <c r="E486" s="112"/>
      <c r="F486" s="124" t="s">
        <v>1545</v>
      </c>
      <c r="G486" s="124"/>
      <c r="H486" s="123">
        <f>114-31.5-22.1-16-13.2-9.2</f>
        <v>22</v>
      </c>
      <c r="I486" s="123"/>
    </row>
    <row r="487" spans="1:9" s="17" customFormat="1" ht="12.75" customHeight="1" x14ac:dyDescent="0.2">
      <c r="A487" s="65">
        <v>478</v>
      </c>
      <c r="B487" s="60" t="s">
        <v>2258</v>
      </c>
      <c r="C487" s="112" t="s">
        <v>4925</v>
      </c>
      <c r="D487" s="112"/>
      <c r="E487" s="112"/>
      <c r="F487" s="124" t="s">
        <v>1545</v>
      </c>
      <c r="G487" s="124"/>
      <c r="H487" s="123">
        <f>102.7-35</f>
        <v>67.7</v>
      </c>
      <c r="I487" s="123"/>
    </row>
    <row r="488" spans="1:9" s="17" customFormat="1" ht="12.75" customHeight="1" x14ac:dyDescent="0.2">
      <c r="A488" s="65">
        <v>479</v>
      </c>
      <c r="B488" s="60">
        <v>6</v>
      </c>
      <c r="C488" s="112" t="s">
        <v>4505</v>
      </c>
      <c r="D488" s="112"/>
      <c r="E488" s="112"/>
      <c r="F488" s="124" t="s">
        <v>1545</v>
      </c>
      <c r="G488" s="124"/>
      <c r="H488" s="123">
        <f>260-102.7</f>
        <v>157.30000000000001</v>
      </c>
      <c r="I488" s="123"/>
    </row>
    <row r="489" spans="1:9" s="17" customFormat="1" ht="12.75" customHeight="1" x14ac:dyDescent="0.2">
      <c r="A489" s="65">
        <v>480</v>
      </c>
      <c r="B489" s="60" t="s">
        <v>3636</v>
      </c>
      <c r="C489" s="112" t="s">
        <v>5093</v>
      </c>
      <c r="D489" s="112"/>
      <c r="E489" s="112"/>
      <c r="F489" s="113" t="s">
        <v>76</v>
      </c>
      <c r="G489" s="114"/>
      <c r="H489" s="115">
        <v>3.8</v>
      </c>
      <c r="I489" s="116"/>
    </row>
    <row r="490" spans="1:9" s="17" customFormat="1" ht="12.75" customHeight="1" x14ac:dyDescent="0.2">
      <c r="A490" s="65">
        <v>481</v>
      </c>
      <c r="B490" s="60"/>
      <c r="C490" s="112" t="s">
        <v>3649</v>
      </c>
      <c r="D490" s="112"/>
      <c r="E490" s="112"/>
      <c r="F490" s="113" t="s">
        <v>76</v>
      </c>
      <c r="G490" s="114"/>
      <c r="H490" s="115">
        <v>7.7</v>
      </c>
      <c r="I490" s="116"/>
    </row>
    <row r="491" spans="1:9" s="17" customFormat="1" ht="12.75" customHeight="1" x14ac:dyDescent="0.2">
      <c r="A491" s="65">
        <v>482</v>
      </c>
      <c r="B491" s="60"/>
      <c r="C491" s="112" t="s">
        <v>1025</v>
      </c>
      <c r="D491" s="112"/>
      <c r="E491" s="112"/>
      <c r="F491" s="125" t="s">
        <v>483</v>
      </c>
      <c r="G491" s="125"/>
      <c r="H491" s="123">
        <v>11.5</v>
      </c>
      <c r="I491" s="123"/>
    </row>
    <row r="492" spans="1:9" s="17" customFormat="1" ht="12.75" customHeight="1" x14ac:dyDescent="0.2">
      <c r="A492" s="65">
        <v>483</v>
      </c>
      <c r="B492" s="60"/>
      <c r="C492" s="120" t="s">
        <v>1618</v>
      </c>
      <c r="D492" s="120"/>
      <c r="E492" s="120"/>
      <c r="F492" s="124" t="s">
        <v>31</v>
      </c>
      <c r="G492" s="124"/>
      <c r="H492" s="123">
        <f>56+23.8-70</f>
        <v>9.7999999999999972</v>
      </c>
      <c r="I492" s="123"/>
    </row>
    <row r="493" spans="1:9" s="17" customFormat="1" ht="12.75" customHeight="1" x14ac:dyDescent="0.2">
      <c r="A493" s="65">
        <v>484</v>
      </c>
      <c r="B493" s="60"/>
      <c r="C493" s="112" t="s">
        <v>3023</v>
      </c>
      <c r="D493" s="112"/>
      <c r="E493" s="112"/>
      <c r="F493" s="113" t="s">
        <v>76</v>
      </c>
      <c r="G493" s="114"/>
      <c r="H493" s="123">
        <f>28.7-1.3</f>
        <v>27.4</v>
      </c>
      <c r="I493" s="123"/>
    </row>
    <row r="494" spans="1:9" s="17" customFormat="1" ht="12.75" customHeight="1" x14ac:dyDescent="0.2">
      <c r="A494" s="65">
        <v>485</v>
      </c>
      <c r="B494" s="60"/>
      <c r="C494" s="112" t="s">
        <v>2972</v>
      </c>
      <c r="D494" s="112"/>
      <c r="E494" s="112"/>
      <c r="F494" s="113" t="s">
        <v>59</v>
      </c>
      <c r="G494" s="114"/>
      <c r="H494" s="123">
        <f>31-1.3-4-4-1.2</f>
        <v>20.5</v>
      </c>
      <c r="I494" s="123"/>
    </row>
    <row r="495" spans="1:9" s="17" customFormat="1" ht="12.75" customHeight="1" x14ac:dyDescent="0.2">
      <c r="A495" s="65">
        <v>486</v>
      </c>
      <c r="B495" s="60"/>
      <c r="C495" s="112" t="s">
        <v>976</v>
      </c>
      <c r="D495" s="112"/>
      <c r="E495" s="112"/>
      <c r="F495" s="113" t="s">
        <v>29</v>
      </c>
      <c r="G495" s="114"/>
      <c r="H495" s="123">
        <v>13.3</v>
      </c>
      <c r="I495" s="123"/>
    </row>
    <row r="496" spans="1:9" s="17" customFormat="1" ht="12.75" customHeight="1" x14ac:dyDescent="0.2">
      <c r="A496" s="65">
        <v>487</v>
      </c>
      <c r="B496" s="60"/>
      <c r="C496" s="112" t="s">
        <v>891</v>
      </c>
      <c r="D496" s="112"/>
      <c r="E496" s="112"/>
      <c r="F496" s="121" t="s">
        <v>58</v>
      </c>
      <c r="G496" s="122"/>
      <c r="H496" s="123">
        <f>2.1+3.9</f>
        <v>6</v>
      </c>
      <c r="I496" s="123"/>
    </row>
    <row r="497" spans="1:9" s="17" customFormat="1" ht="12.75" customHeight="1" x14ac:dyDescent="0.2">
      <c r="A497" s="65">
        <v>488</v>
      </c>
      <c r="B497" s="60"/>
      <c r="C497" s="117" t="s">
        <v>438</v>
      </c>
      <c r="D497" s="118"/>
      <c r="E497" s="119"/>
      <c r="F497" s="113" t="s">
        <v>76</v>
      </c>
      <c r="G497" s="114"/>
      <c r="H497" s="115"/>
      <c r="I497" s="116"/>
    </row>
    <row r="498" spans="1:9" s="17" customFormat="1" ht="12.75" customHeight="1" x14ac:dyDescent="0.2">
      <c r="A498" s="65">
        <v>489</v>
      </c>
      <c r="B498" s="60" t="s">
        <v>2242</v>
      </c>
      <c r="C498" s="117" t="s">
        <v>3710</v>
      </c>
      <c r="D498" s="118"/>
      <c r="E498" s="119"/>
      <c r="F498" s="113" t="s">
        <v>57</v>
      </c>
      <c r="G498" s="114"/>
      <c r="H498" s="115">
        <f>98.5-33.7-3.5</f>
        <v>61.3</v>
      </c>
      <c r="I498" s="116"/>
    </row>
    <row r="499" spans="1:9" s="17" customFormat="1" ht="12.75" customHeight="1" x14ac:dyDescent="0.2">
      <c r="A499" s="65">
        <v>490</v>
      </c>
      <c r="B499" s="60"/>
      <c r="C499" s="117" t="s">
        <v>3519</v>
      </c>
      <c r="D499" s="118"/>
      <c r="E499" s="119"/>
      <c r="F499" s="124" t="s">
        <v>31</v>
      </c>
      <c r="G499" s="124"/>
      <c r="H499" s="115">
        <f>80-10.8-4.7+71+50-3.3-2-80-9.8-4.8-1.8-24.5-52.5+0.2</f>
        <v>6.9999999999999973</v>
      </c>
      <c r="I499" s="116"/>
    </row>
    <row r="500" spans="1:9" s="17" customFormat="1" ht="12.75" customHeight="1" x14ac:dyDescent="0.2">
      <c r="A500" s="65">
        <v>491</v>
      </c>
      <c r="B500" s="60"/>
      <c r="C500" s="117" t="s">
        <v>1512</v>
      </c>
      <c r="D500" s="118"/>
      <c r="E500" s="119"/>
      <c r="F500" s="113" t="s">
        <v>62</v>
      </c>
      <c r="G500" s="114"/>
      <c r="H500" s="115">
        <f>102.2-8.4-38-25+3.4-2.2-10-5.2</f>
        <v>16.799999999999997</v>
      </c>
      <c r="I500" s="116"/>
    </row>
    <row r="501" spans="1:9" s="17" customFormat="1" ht="12.75" customHeight="1" x14ac:dyDescent="0.2">
      <c r="A501" s="65">
        <v>492</v>
      </c>
      <c r="B501" s="60"/>
      <c r="C501" s="117" t="s">
        <v>1932</v>
      </c>
      <c r="D501" s="118"/>
      <c r="E501" s="119"/>
      <c r="F501" s="113" t="s">
        <v>59</v>
      </c>
      <c r="G501" s="114"/>
      <c r="H501" s="115">
        <v>39.4</v>
      </c>
      <c r="I501" s="116"/>
    </row>
    <row r="502" spans="1:9" s="17" customFormat="1" ht="12.75" customHeight="1" x14ac:dyDescent="0.2">
      <c r="A502" s="65">
        <v>493</v>
      </c>
      <c r="B502" s="60" t="s">
        <v>3539</v>
      </c>
      <c r="C502" s="120" t="s">
        <v>5281</v>
      </c>
      <c r="D502" s="120"/>
      <c r="E502" s="120"/>
      <c r="F502" s="121" t="s">
        <v>271</v>
      </c>
      <c r="G502" s="122"/>
      <c r="H502" s="123">
        <v>20.6</v>
      </c>
      <c r="I502" s="123"/>
    </row>
    <row r="503" spans="1:9" s="17" customFormat="1" ht="12.75" customHeight="1" x14ac:dyDescent="0.2">
      <c r="A503" s="65">
        <v>494</v>
      </c>
      <c r="B503" s="60" t="s">
        <v>2241</v>
      </c>
      <c r="C503" s="120" t="s">
        <v>5318</v>
      </c>
      <c r="D503" s="120"/>
      <c r="E503" s="120"/>
      <c r="F503" s="121" t="s">
        <v>271</v>
      </c>
      <c r="G503" s="122"/>
      <c r="H503" s="123">
        <v>8.1</v>
      </c>
      <c r="I503" s="123"/>
    </row>
    <row r="504" spans="1:9" s="17" customFormat="1" ht="12.75" customHeight="1" x14ac:dyDescent="0.2">
      <c r="A504" s="65">
        <v>495</v>
      </c>
      <c r="B504" s="60"/>
      <c r="C504" s="112" t="s">
        <v>3442</v>
      </c>
      <c r="D504" s="112"/>
      <c r="E504" s="112"/>
      <c r="F504" s="113" t="s">
        <v>29</v>
      </c>
      <c r="G504" s="114"/>
      <c r="H504" s="123">
        <f>100.6-57-5.3-9-14.6-6.7</f>
        <v>7.9999999999999973</v>
      </c>
      <c r="I504" s="123"/>
    </row>
    <row r="505" spans="1:9" s="17" customFormat="1" ht="12.75" customHeight="1" x14ac:dyDescent="0.2">
      <c r="A505" s="65">
        <v>496</v>
      </c>
      <c r="B505" s="60" t="s">
        <v>2934</v>
      </c>
      <c r="C505" s="117" t="s">
        <v>5327</v>
      </c>
      <c r="D505" s="118"/>
      <c r="E505" s="119"/>
      <c r="F505" s="113" t="s">
        <v>59</v>
      </c>
      <c r="G505" s="114"/>
      <c r="H505" s="123">
        <v>14.8</v>
      </c>
      <c r="I505" s="123"/>
    </row>
    <row r="506" spans="1:9" s="17" customFormat="1" ht="12.75" customHeight="1" x14ac:dyDescent="0.2">
      <c r="A506" s="65">
        <v>497</v>
      </c>
      <c r="B506" s="60" t="s">
        <v>2934</v>
      </c>
      <c r="C506" s="117" t="s">
        <v>5310</v>
      </c>
      <c r="D506" s="118"/>
      <c r="E506" s="119"/>
      <c r="F506" s="121" t="s">
        <v>271</v>
      </c>
      <c r="G506" s="122"/>
      <c r="H506" s="123">
        <v>14.5</v>
      </c>
      <c r="I506" s="123"/>
    </row>
    <row r="507" spans="1:9" s="17" customFormat="1" ht="12.75" customHeight="1" x14ac:dyDescent="0.2">
      <c r="A507" s="65">
        <v>498</v>
      </c>
      <c r="B507" s="60" t="s">
        <v>2242</v>
      </c>
      <c r="C507" s="120" t="s">
        <v>4464</v>
      </c>
      <c r="D507" s="126"/>
      <c r="E507" s="127"/>
      <c r="F507" s="125" t="s">
        <v>59</v>
      </c>
      <c r="G507" s="125"/>
      <c r="H507" s="123">
        <f>28.1+8.1</f>
        <v>36.200000000000003</v>
      </c>
      <c r="I507" s="123"/>
    </row>
    <row r="508" spans="1:9" s="16" customFormat="1" ht="12.75" customHeight="1" x14ac:dyDescent="0.2">
      <c r="A508" s="65">
        <v>499</v>
      </c>
      <c r="B508" s="78"/>
      <c r="C508" s="157" t="s">
        <v>1139</v>
      </c>
      <c r="D508" s="157"/>
      <c r="E508" s="157"/>
      <c r="F508" s="124" t="s">
        <v>521</v>
      </c>
      <c r="G508" s="121"/>
      <c r="H508" s="136">
        <v>57</v>
      </c>
      <c r="I508" s="136"/>
    </row>
    <row r="509" spans="1:9" s="17" customFormat="1" ht="12.75" customHeight="1" x14ac:dyDescent="0.2">
      <c r="A509" s="65">
        <v>500</v>
      </c>
      <c r="B509" s="60"/>
      <c r="C509" s="112" t="s">
        <v>776</v>
      </c>
      <c r="D509" s="112"/>
      <c r="E509" s="112"/>
      <c r="F509" s="124" t="s">
        <v>71</v>
      </c>
      <c r="G509" s="124"/>
      <c r="H509" s="123"/>
      <c r="I509" s="123"/>
    </row>
    <row r="510" spans="1:9" s="17" customFormat="1" ht="12.75" customHeight="1" x14ac:dyDescent="0.2">
      <c r="A510" s="65">
        <v>501</v>
      </c>
      <c r="B510" s="60"/>
      <c r="C510" s="120" t="s">
        <v>3127</v>
      </c>
      <c r="D510" s="120"/>
      <c r="E510" s="120"/>
      <c r="F510" s="113" t="s">
        <v>62</v>
      </c>
      <c r="G510" s="114"/>
      <c r="H510" s="115">
        <v>9.8000000000000007</v>
      </c>
      <c r="I510" s="116"/>
    </row>
    <row r="511" spans="1:9" s="17" customFormat="1" ht="12.75" customHeight="1" x14ac:dyDescent="0.2">
      <c r="A511" s="65">
        <v>502</v>
      </c>
      <c r="B511" s="60" t="s">
        <v>3636</v>
      </c>
      <c r="C511" s="120" t="s">
        <v>5092</v>
      </c>
      <c r="D511" s="120"/>
      <c r="E511" s="120"/>
      <c r="F511" s="113" t="s">
        <v>62</v>
      </c>
      <c r="G511" s="114"/>
      <c r="H511" s="115">
        <v>4.3</v>
      </c>
      <c r="I511" s="116"/>
    </row>
    <row r="512" spans="1:9" s="17" customFormat="1" ht="12.75" customHeight="1" x14ac:dyDescent="0.2">
      <c r="A512" s="65">
        <v>503</v>
      </c>
      <c r="B512" s="60" t="s">
        <v>2241</v>
      </c>
      <c r="C512" s="120" t="s">
        <v>4930</v>
      </c>
      <c r="D512" s="126"/>
      <c r="E512" s="127"/>
      <c r="F512" s="125" t="s">
        <v>59</v>
      </c>
      <c r="G512" s="125"/>
      <c r="H512" s="123">
        <f>56.8+8.2+7-3.2-7</f>
        <v>61.8</v>
      </c>
      <c r="I512" s="123"/>
    </row>
    <row r="513" spans="1:9" s="17" customFormat="1" ht="12.75" customHeight="1" x14ac:dyDescent="0.2">
      <c r="A513" s="65">
        <v>504</v>
      </c>
      <c r="B513" s="60"/>
      <c r="C513" s="117" t="s">
        <v>1368</v>
      </c>
      <c r="D513" s="118"/>
      <c r="E513" s="119"/>
      <c r="F513" s="113" t="s">
        <v>59</v>
      </c>
      <c r="G513" s="114"/>
      <c r="H513" s="115">
        <f>142-66-21.5-42.9</f>
        <v>11.600000000000001</v>
      </c>
      <c r="I513" s="116"/>
    </row>
    <row r="514" spans="1:9" s="17" customFormat="1" ht="12.75" customHeight="1" x14ac:dyDescent="0.2">
      <c r="A514" s="65">
        <v>505</v>
      </c>
      <c r="B514" s="60"/>
      <c r="C514" s="117" t="s">
        <v>1731</v>
      </c>
      <c r="D514" s="118"/>
      <c r="E514" s="119"/>
      <c r="F514" s="121" t="s">
        <v>33</v>
      </c>
      <c r="G514" s="122"/>
      <c r="H514" s="115">
        <f>69.6-7+15.8-3.4-31-3.8</f>
        <v>40.199999999999989</v>
      </c>
      <c r="I514" s="116"/>
    </row>
    <row r="515" spans="1:9" s="17" customFormat="1" ht="12.75" customHeight="1" x14ac:dyDescent="0.2">
      <c r="A515" s="65">
        <v>506</v>
      </c>
      <c r="B515" s="60"/>
      <c r="C515" s="117" t="s">
        <v>2122</v>
      </c>
      <c r="D515" s="118"/>
      <c r="E515" s="119"/>
      <c r="F515" s="113" t="s">
        <v>57</v>
      </c>
      <c r="G515" s="114"/>
      <c r="H515" s="115">
        <f>18.7-4.7</f>
        <v>14</v>
      </c>
      <c r="I515" s="116"/>
    </row>
    <row r="516" spans="1:9" s="17" customFormat="1" ht="12.75" customHeight="1" x14ac:dyDescent="0.2">
      <c r="A516" s="65">
        <v>507</v>
      </c>
      <c r="B516" s="60" t="s">
        <v>3539</v>
      </c>
      <c r="C516" s="120" t="s">
        <v>5283</v>
      </c>
      <c r="D516" s="120"/>
      <c r="E516" s="120"/>
      <c r="F516" s="121" t="s">
        <v>271</v>
      </c>
      <c r="G516" s="122"/>
      <c r="H516" s="123">
        <v>54</v>
      </c>
      <c r="I516" s="123"/>
    </row>
    <row r="517" spans="1:9" s="17" customFormat="1" ht="12.75" customHeight="1" x14ac:dyDescent="0.2">
      <c r="A517" s="65">
        <v>508</v>
      </c>
      <c r="B517" s="60" t="s">
        <v>2241</v>
      </c>
      <c r="C517" s="120" t="s">
        <v>5285</v>
      </c>
      <c r="D517" s="120"/>
      <c r="E517" s="120"/>
      <c r="F517" s="121" t="s">
        <v>271</v>
      </c>
      <c r="G517" s="122"/>
      <c r="H517" s="123">
        <v>24.1</v>
      </c>
      <c r="I517" s="123"/>
    </row>
    <row r="518" spans="1:9" s="16" customFormat="1" ht="12" customHeight="1" x14ac:dyDescent="0.2">
      <c r="A518" s="65">
        <v>509</v>
      </c>
      <c r="B518" s="60"/>
      <c r="C518" s="120" t="s">
        <v>3842</v>
      </c>
      <c r="D518" s="120"/>
      <c r="E518" s="120"/>
      <c r="F518" s="121" t="s">
        <v>31</v>
      </c>
      <c r="G518" s="122"/>
      <c r="H518" s="123">
        <f>24.8+4.9+14.9</f>
        <v>44.6</v>
      </c>
      <c r="I518" s="123"/>
    </row>
    <row r="519" spans="1:9" s="17" customFormat="1" ht="12.75" customHeight="1" x14ac:dyDescent="0.2">
      <c r="A519" s="65">
        <v>510</v>
      </c>
      <c r="B519" s="60"/>
      <c r="C519" s="117" t="s">
        <v>1649</v>
      </c>
      <c r="D519" s="118"/>
      <c r="E519" s="119"/>
      <c r="F519" s="121" t="s">
        <v>33</v>
      </c>
      <c r="G519" s="122"/>
      <c r="H519" s="115">
        <v>54.5</v>
      </c>
      <c r="I519" s="116"/>
    </row>
    <row r="520" spans="1:9" s="17" customFormat="1" ht="12.75" customHeight="1" x14ac:dyDescent="0.2">
      <c r="A520" s="65">
        <v>511</v>
      </c>
      <c r="B520" s="60" t="s">
        <v>3636</v>
      </c>
      <c r="C520" s="117" t="s">
        <v>3723</v>
      </c>
      <c r="D520" s="118"/>
      <c r="E520" s="119"/>
      <c r="F520" s="113" t="s">
        <v>76</v>
      </c>
      <c r="G520" s="114"/>
      <c r="H520" s="123">
        <v>1.4</v>
      </c>
      <c r="I520" s="123"/>
    </row>
    <row r="521" spans="1:9" s="17" customFormat="1" ht="12.75" customHeight="1" x14ac:dyDescent="0.2">
      <c r="A521" s="65">
        <v>512</v>
      </c>
      <c r="B521" s="60"/>
      <c r="C521" s="112" t="s">
        <v>890</v>
      </c>
      <c r="D521" s="112"/>
      <c r="E521" s="112"/>
      <c r="F521" s="125" t="s">
        <v>29</v>
      </c>
      <c r="G521" s="125"/>
      <c r="H521" s="123">
        <f>13.4-3.5-3.5</f>
        <v>6.4</v>
      </c>
      <c r="I521" s="123"/>
    </row>
    <row r="522" spans="1:9" s="17" customFormat="1" ht="12.75" customHeight="1" x14ac:dyDescent="0.2">
      <c r="A522" s="65">
        <v>513</v>
      </c>
      <c r="B522" s="60" t="s">
        <v>2242</v>
      </c>
      <c r="C522" s="128" t="s">
        <v>5122</v>
      </c>
      <c r="D522" s="126"/>
      <c r="E522" s="127"/>
      <c r="F522" s="125" t="s">
        <v>29</v>
      </c>
      <c r="G522" s="125"/>
      <c r="H522" s="115">
        <f>6.4-4.3</f>
        <v>2.1000000000000005</v>
      </c>
      <c r="I522" s="115"/>
    </row>
    <row r="523" spans="1:9" s="17" customFormat="1" ht="12.75" customHeight="1" x14ac:dyDescent="0.2">
      <c r="A523" s="65">
        <v>514</v>
      </c>
      <c r="B523" s="60" t="s">
        <v>3539</v>
      </c>
      <c r="C523" s="120" t="s">
        <v>5335</v>
      </c>
      <c r="D523" s="120"/>
      <c r="E523" s="120"/>
      <c r="F523" s="124" t="s">
        <v>45</v>
      </c>
      <c r="G523" s="124"/>
      <c r="H523" s="123">
        <v>42.1</v>
      </c>
      <c r="I523" s="123"/>
    </row>
    <row r="524" spans="1:9" s="17" customFormat="1" ht="12.75" customHeight="1" x14ac:dyDescent="0.2">
      <c r="A524" s="65">
        <v>515</v>
      </c>
      <c r="B524" s="60"/>
      <c r="C524" s="112" t="s">
        <v>4978</v>
      </c>
      <c r="D524" s="112"/>
      <c r="E524" s="112"/>
      <c r="F524" s="125" t="s">
        <v>29</v>
      </c>
      <c r="G524" s="125"/>
      <c r="H524" s="123">
        <f>10.9+6</f>
        <v>16.899999999999999</v>
      </c>
      <c r="I524" s="123"/>
    </row>
    <row r="525" spans="1:9" s="17" customFormat="1" ht="12.75" customHeight="1" x14ac:dyDescent="0.2">
      <c r="A525" s="65">
        <v>516</v>
      </c>
      <c r="B525" s="60"/>
      <c r="C525" s="112" t="s">
        <v>3965</v>
      </c>
      <c r="D525" s="112"/>
      <c r="E525" s="112"/>
      <c r="F525" s="125" t="s">
        <v>29</v>
      </c>
      <c r="G525" s="125"/>
      <c r="H525" s="123">
        <f>30.8+6.6-6.6+9.4-16.6-3-8-4.2+0.1-4.4-0.7-1.1</f>
        <v>2.299999999999994</v>
      </c>
      <c r="I525" s="123"/>
    </row>
    <row r="526" spans="1:9" s="17" customFormat="1" ht="12.75" customHeight="1" x14ac:dyDescent="0.2">
      <c r="A526" s="65">
        <v>517</v>
      </c>
      <c r="B526" s="60" t="s">
        <v>2876</v>
      </c>
      <c r="C526" s="117" t="s">
        <v>5308</v>
      </c>
      <c r="D526" s="118"/>
      <c r="E526" s="119"/>
      <c r="F526" s="121" t="s">
        <v>291</v>
      </c>
      <c r="G526" s="122"/>
      <c r="H526" s="123">
        <f>42.8+13.5</f>
        <v>56.3</v>
      </c>
      <c r="I526" s="123"/>
    </row>
    <row r="527" spans="1:9" s="17" customFormat="1" ht="12.75" customHeight="1" x14ac:dyDescent="0.2">
      <c r="A527" s="65">
        <v>518</v>
      </c>
      <c r="B527" s="60"/>
      <c r="C527" s="117" t="s">
        <v>1619</v>
      </c>
      <c r="D527" s="117"/>
      <c r="E527" s="117"/>
      <c r="F527" s="124" t="s">
        <v>31</v>
      </c>
      <c r="G527" s="124"/>
      <c r="H527" s="115">
        <f>107.5-5.8-2.8-8.7-9</f>
        <v>81.2</v>
      </c>
      <c r="I527" s="116"/>
    </row>
    <row r="528" spans="1:9" s="17" customFormat="1" ht="12.75" customHeight="1" x14ac:dyDescent="0.2">
      <c r="A528" s="65">
        <v>519</v>
      </c>
      <c r="B528" s="60"/>
      <c r="C528" s="117" t="s">
        <v>1650</v>
      </c>
      <c r="D528" s="118"/>
      <c r="E528" s="119"/>
      <c r="F528" s="124" t="s">
        <v>33</v>
      </c>
      <c r="G528" s="124"/>
      <c r="H528" s="115">
        <f>49.4-10.8-2.8-2.8-2.8</f>
        <v>30.2</v>
      </c>
      <c r="I528" s="116"/>
    </row>
    <row r="529" spans="1:9" s="17" customFormat="1" ht="12.75" customHeight="1" x14ac:dyDescent="0.2">
      <c r="A529" s="65">
        <v>520</v>
      </c>
      <c r="B529" s="60"/>
      <c r="C529" s="112" t="s">
        <v>539</v>
      </c>
      <c r="D529" s="112"/>
      <c r="E529" s="112"/>
      <c r="F529" s="124" t="s">
        <v>200</v>
      </c>
      <c r="G529" s="124"/>
      <c r="H529" s="123">
        <v>4.8</v>
      </c>
      <c r="I529" s="123"/>
    </row>
    <row r="530" spans="1:9" s="17" customFormat="1" ht="12.75" customHeight="1" x14ac:dyDescent="0.2">
      <c r="A530" s="65">
        <v>521</v>
      </c>
      <c r="B530" s="60" t="s">
        <v>2241</v>
      </c>
      <c r="C530" s="120" t="s">
        <v>3975</v>
      </c>
      <c r="D530" s="126"/>
      <c r="E530" s="127"/>
      <c r="F530" s="124" t="s">
        <v>33</v>
      </c>
      <c r="G530" s="124"/>
      <c r="H530" s="123">
        <v>15.9</v>
      </c>
      <c r="I530" s="123"/>
    </row>
    <row r="531" spans="1:9" s="17" customFormat="1" ht="12.75" customHeight="1" x14ac:dyDescent="0.2">
      <c r="A531" s="65">
        <v>522</v>
      </c>
      <c r="B531" s="60" t="s">
        <v>3636</v>
      </c>
      <c r="C531" s="117" t="s">
        <v>3724</v>
      </c>
      <c r="D531" s="118"/>
      <c r="E531" s="119"/>
      <c r="F531" s="113" t="s">
        <v>76</v>
      </c>
      <c r="G531" s="114"/>
      <c r="H531" s="123">
        <v>5.6</v>
      </c>
      <c r="I531" s="123"/>
    </row>
    <row r="532" spans="1:9" s="17" customFormat="1" ht="12.75" customHeight="1" x14ac:dyDescent="0.2">
      <c r="A532" s="65">
        <v>523</v>
      </c>
      <c r="B532" s="60" t="s">
        <v>2241</v>
      </c>
      <c r="C532" s="120" t="s">
        <v>4935</v>
      </c>
      <c r="D532" s="120"/>
      <c r="E532" s="120"/>
      <c r="F532" s="113" t="s">
        <v>62</v>
      </c>
      <c r="G532" s="114"/>
      <c r="H532" s="115">
        <f>24.8+80.4+11.6-9-8.7-7.6-5.9-35.8-5.7</f>
        <v>44.099999999999994</v>
      </c>
      <c r="I532" s="116"/>
    </row>
    <row r="533" spans="1:9" s="17" customFormat="1" ht="12.75" customHeight="1" x14ac:dyDescent="0.2">
      <c r="A533" s="65">
        <v>524</v>
      </c>
      <c r="B533" s="60"/>
      <c r="C533" s="117" t="s">
        <v>2117</v>
      </c>
      <c r="D533" s="118"/>
      <c r="E533" s="119"/>
      <c r="F533" s="125" t="s">
        <v>29</v>
      </c>
      <c r="G533" s="125"/>
      <c r="H533" s="115">
        <f>44.3+6.3-6.3-3.8-6.5+9.2+8-3.7-7.2-10.2+2</f>
        <v>32.099999999999994</v>
      </c>
      <c r="I533" s="116"/>
    </row>
    <row r="534" spans="1:9" s="17" customFormat="1" ht="12.75" customHeight="1" x14ac:dyDescent="0.2">
      <c r="A534" s="65">
        <v>525</v>
      </c>
      <c r="B534" s="60"/>
      <c r="C534" s="112" t="s">
        <v>2309</v>
      </c>
      <c r="D534" s="112"/>
      <c r="E534" s="112"/>
      <c r="F534" s="125" t="s">
        <v>29</v>
      </c>
      <c r="G534" s="125"/>
      <c r="H534" s="123">
        <f>5+26.7+9-5-9</f>
        <v>26.700000000000003</v>
      </c>
      <c r="I534" s="123"/>
    </row>
    <row r="535" spans="1:9" s="17" customFormat="1" ht="12.75" customHeight="1" x14ac:dyDescent="0.2">
      <c r="A535" s="65">
        <v>526</v>
      </c>
      <c r="B535" s="60"/>
      <c r="C535" s="117" t="s">
        <v>3047</v>
      </c>
      <c r="D535" s="118"/>
      <c r="E535" s="119"/>
      <c r="F535" s="124" t="s">
        <v>31</v>
      </c>
      <c r="G535" s="124"/>
      <c r="H535" s="115">
        <f>21.5-9.9</f>
        <v>11.6</v>
      </c>
      <c r="I535" s="116"/>
    </row>
    <row r="536" spans="1:9" s="17" customFormat="1" ht="12.75" customHeight="1" x14ac:dyDescent="0.2">
      <c r="A536" s="65">
        <v>527</v>
      </c>
      <c r="B536" s="60" t="s">
        <v>2876</v>
      </c>
      <c r="C536" s="120" t="s">
        <v>5339</v>
      </c>
      <c r="D536" s="120"/>
      <c r="E536" s="120"/>
      <c r="F536" s="121" t="s">
        <v>271</v>
      </c>
      <c r="G536" s="122"/>
      <c r="H536" s="123">
        <v>101.2</v>
      </c>
      <c r="I536" s="123"/>
    </row>
    <row r="537" spans="1:9" s="17" customFormat="1" ht="11.25" customHeight="1" x14ac:dyDescent="0.2">
      <c r="A537" s="65">
        <v>528</v>
      </c>
      <c r="B537" s="60"/>
      <c r="C537" s="120" t="s">
        <v>4991</v>
      </c>
      <c r="D537" s="120"/>
      <c r="E537" s="120"/>
      <c r="F537" s="113" t="s">
        <v>62</v>
      </c>
      <c r="G537" s="114"/>
      <c r="H537" s="123">
        <f>186.5-14.5-2-76.2-5.4-7.3-14.7-18.3</f>
        <v>48.099999999999994</v>
      </c>
      <c r="I537" s="123"/>
    </row>
    <row r="538" spans="1:9" s="17" customFormat="1" ht="12.75" customHeight="1" x14ac:dyDescent="0.2">
      <c r="A538" s="65">
        <v>529</v>
      </c>
      <c r="B538" s="60"/>
      <c r="C538" s="120" t="s">
        <v>3126</v>
      </c>
      <c r="D538" s="120"/>
      <c r="E538" s="120"/>
      <c r="F538" s="113" t="s">
        <v>62</v>
      </c>
      <c r="G538" s="114"/>
      <c r="H538" s="115">
        <v>11.2</v>
      </c>
      <c r="I538" s="116"/>
    </row>
    <row r="539" spans="1:9" s="16" customFormat="1" ht="12" customHeight="1" x14ac:dyDescent="0.2">
      <c r="A539" s="65">
        <v>530</v>
      </c>
      <c r="B539" s="60"/>
      <c r="C539" s="112" t="s">
        <v>1203</v>
      </c>
      <c r="D539" s="112"/>
      <c r="E539" s="112"/>
      <c r="F539" s="125" t="s">
        <v>1204</v>
      </c>
      <c r="G539" s="125"/>
      <c r="H539" s="123">
        <f>101+3.9-4-12.2-4.4-4.3</f>
        <v>80</v>
      </c>
      <c r="I539" s="123"/>
    </row>
    <row r="540" spans="1:9" s="17" customFormat="1" ht="12.75" customHeight="1" x14ac:dyDescent="0.2">
      <c r="A540" s="65">
        <v>531</v>
      </c>
      <c r="B540" s="60"/>
      <c r="C540" s="112" t="s">
        <v>4627</v>
      </c>
      <c r="D540" s="112"/>
      <c r="E540" s="112"/>
      <c r="F540" s="125" t="s">
        <v>59</v>
      </c>
      <c r="G540" s="125"/>
      <c r="H540" s="123">
        <f>214.5-54-4-29.7-4.7-22.7-23.5-18</f>
        <v>57.899999999999991</v>
      </c>
      <c r="I540" s="123"/>
    </row>
    <row r="541" spans="1:9" s="17" customFormat="1" ht="12.75" customHeight="1" x14ac:dyDescent="0.2">
      <c r="A541" s="65">
        <v>532</v>
      </c>
      <c r="B541" s="60"/>
      <c r="C541" s="112" t="s">
        <v>843</v>
      </c>
      <c r="D541" s="112"/>
      <c r="E541" s="112"/>
      <c r="F541" s="125" t="s">
        <v>76</v>
      </c>
      <c r="G541" s="125"/>
      <c r="H541" s="123"/>
      <c r="I541" s="123"/>
    </row>
    <row r="542" spans="1:9" s="17" customFormat="1" ht="12.75" customHeight="1" x14ac:dyDescent="0.2">
      <c r="A542" s="65">
        <v>533</v>
      </c>
      <c r="B542" s="60"/>
      <c r="C542" s="117" t="s">
        <v>4057</v>
      </c>
      <c r="D542" s="118"/>
      <c r="E542" s="119"/>
      <c r="F542" s="113" t="s">
        <v>76</v>
      </c>
      <c r="G542" s="114"/>
      <c r="H542" s="123">
        <v>3</v>
      </c>
      <c r="I542" s="123"/>
    </row>
    <row r="543" spans="1:9" s="17" customFormat="1" ht="12.75" customHeight="1" x14ac:dyDescent="0.2">
      <c r="A543" s="65">
        <v>534</v>
      </c>
      <c r="B543" s="60" t="s">
        <v>2241</v>
      </c>
      <c r="C543" s="117" t="s">
        <v>5130</v>
      </c>
      <c r="D543" s="118"/>
      <c r="E543" s="119"/>
      <c r="F543" s="124" t="s">
        <v>31</v>
      </c>
      <c r="G543" s="124"/>
      <c r="H543" s="115">
        <f>8.2+14+16.8-5.2-2-8.2-9.6-1+4.9</f>
        <v>17.899999999999999</v>
      </c>
      <c r="I543" s="116"/>
    </row>
    <row r="544" spans="1:9" s="17" customFormat="1" ht="12.75" customHeight="1" x14ac:dyDescent="0.2">
      <c r="A544" s="65">
        <v>535</v>
      </c>
      <c r="B544" s="60"/>
      <c r="C544" s="117" t="s">
        <v>5131</v>
      </c>
      <c r="D544" s="118"/>
      <c r="E544" s="119"/>
      <c r="F544" s="124" t="s">
        <v>31</v>
      </c>
      <c r="G544" s="124"/>
      <c r="H544" s="115">
        <f>25.2+1.3-9.9</f>
        <v>16.600000000000001</v>
      </c>
      <c r="I544" s="116"/>
    </row>
    <row r="545" spans="1:9" s="17" customFormat="1" ht="11.25" customHeight="1" x14ac:dyDescent="0.2">
      <c r="A545" s="65">
        <v>536</v>
      </c>
      <c r="B545" s="60"/>
      <c r="C545" s="120" t="s">
        <v>2686</v>
      </c>
      <c r="D545" s="126"/>
      <c r="E545" s="127"/>
      <c r="F545" s="113" t="s">
        <v>76</v>
      </c>
      <c r="G545" s="114"/>
      <c r="H545" s="123">
        <f>3.6+3.4</f>
        <v>7</v>
      </c>
      <c r="I545" s="116"/>
    </row>
    <row r="546" spans="1:9" s="17" customFormat="1" ht="12.75" customHeight="1" x14ac:dyDescent="0.2">
      <c r="A546" s="65">
        <v>537</v>
      </c>
      <c r="B546" s="60"/>
      <c r="C546" s="117" t="s">
        <v>3726</v>
      </c>
      <c r="D546" s="118"/>
      <c r="E546" s="119"/>
      <c r="F546" s="124" t="s">
        <v>31</v>
      </c>
      <c r="G546" s="124"/>
      <c r="H546" s="115">
        <v>6.9</v>
      </c>
      <c r="I546" s="116"/>
    </row>
    <row r="547" spans="1:9" s="17" customFormat="1" ht="12.75" customHeight="1" x14ac:dyDescent="0.2">
      <c r="A547" s="65">
        <v>538</v>
      </c>
      <c r="B547" s="60"/>
      <c r="C547" s="117" t="s">
        <v>1933</v>
      </c>
      <c r="D547" s="118"/>
      <c r="E547" s="119"/>
      <c r="F547" s="125" t="s">
        <v>57</v>
      </c>
      <c r="G547" s="125"/>
      <c r="H547" s="123">
        <f>40.3-5.1+2.4-2.6-2.5-4.7-7.5</f>
        <v>20.299999999999994</v>
      </c>
      <c r="I547" s="123"/>
    </row>
    <row r="548" spans="1:9" s="16" customFormat="1" ht="12" customHeight="1" x14ac:dyDescent="0.2">
      <c r="A548" s="65">
        <v>539</v>
      </c>
      <c r="B548" s="60" t="s">
        <v>3636</v>
      </c>
      <c r="C548" s="117" t="s">
        <v>3776</v>
      </c>
      <c r="D548" s="118"/>
      <c r="E548" s="119"/>
      <c r="F548" s="125" t="s">
        <v>140</v>
      </c>
      <c r="G548" s="125"/>
      <c r="H548" s="123">
        <v>2.8</v>
      </c>
      <c r="I548" s="123"/>
    </row>
    <row r="549" spans="1:9" s="17" customFormat="1" ht="12.75" customHeight="1" x14ac:dyDescent="0.2">
      <c r="A549" s="65">
        <v>540</v>
      </c>
      <c r="B549" s="60"/>
      <c r="C549" s="117" t="s">
        <v>1604</v>
      </c>
      <c r="D549" s="118"/>
      <c r="E549" s="119"/>
      <c r="F549" s="124" t="s">
        <v>31</v>
      </c>
      <c r="G549" s="124"/>
      <c r="H549" s="123">
        <f>33.3-4.5</f>
        <v>28.799999999999997</v>
      </c>
      <c r="I549" s="123"/>
    </row>
    <row r="550" spans="1:9" s="17" customFormat="1" ht="12.75" customHeight="1" x14ac:dyDescent="0.2">
      <c r="A550" s="65">
        <v>541</v>
      </c>
      <c r="B550" s="60"/>
      <c r="C550" s="117" t="s">
        <v>2003</v>
      </c>
      <c r="D550" s="118"/>
      <c r="E550" s="119"/>
      <c r="F550" s="124" t="s">
        <v>31</v>
      </c>
      <c r="G550" s="124"/>
      <c r="H550" s="123">
        <f>54.4+49-2.3</f>
        <v>101.10000000000001</v>
      </c>
      <c r="I550" s="123"/>
    </row>
    <row r="551" spans="1:9" s="17" customFormat="1" ht="12.75" customHeight="1" x14ac:dyDescent="0.2">
      <c r="A551" s="65">
        <v>542</v>
      </c>
      <c r="B551" s="60"/>
      <c r="C551" s="117" t="s">
        <v>1651</v>
      </c>
      <c r="D551" s="118"/>
      <c r="E551" s="119"/>
      <c r="F551" s="124" t="s">
        <v>33</v>
      </c>
      <c r="G551" s="124"/>
      <c r="H551" s="123">
        <f>29.3+51.4</f>
        <v>80.7</v>
      </c>
      <c r="I551" s="123"/>
    </row>
    <row r="552" spans="1:9" s="17" customFormat="1" ht="12.75" customHeight="1" x14ac:dyDescent="0.2">
      <c r="A552" s="65">
        <v>543</v>
      </c>
      <c r="B552" s="60"/>
      <c r="C552" s="117" t="s">
        <v>1416</v>
      </c>
      <c r="D552" s="118"/>
      <c r="E552" s="119"/>
      <c r="F552" s="125" t="s">
        <v>57</v>
      </c>
      <c r="G552" s="125"/>
      <c r="H552" s="115">
        <f>39.5-6.5-6.5-8.7-4.4-5.3+0.3-3.2</f>
        <v>5.200000000000002</v>
      </c>
      <c r="I552" s="116"/>
    </row>
    <row r="553" spans="1:9" s="17" customFormat="1" ht="12.75" customHeight="1" x14ac:dyDescent="0.2">
      <c r="A553" s="65">
        <v>544</v>
      </c>
      <c r="B553" s="60"/>
      <c r="C553" s="117" t="s">
        <v>4208</v>
      </c>
      <c r="D553" s="118"/>
      <c r="E553" s="119"/>
      <c r="F553" s="125" t="s">
        <v>29</v>
      </c>
      <c r="G553" s="125"/>
      <c r="H553" s="115">
        <f>25+3-3-3.3-13.5-3.6+0.1</f>
        <v>4.6999999999999993</v>
      </c>
      <c r="I553" s="116"/>
    </row>
    <row r="554" spans="1:9" s="17" customFormat="1" ht="12.75" customHeight="1" x14ac:dyDescent="0.2">
      <c r="A554" s="65">
        <v>545</v>
      </c>
      <c r="B554" s="60" t="s">
        <v>2934</v>
      </c>
      <c r="C554" s="117" t="s">
        <v>5277</v>
      </c>
      <c r="D554" s="118"/>
      <c r="E554" s="119"/>
      <c r="F554" s="121" t="s">
        <v>291</v>
      </c>
      <c r="G554" s="122"/>
      <c r="H554" s="123">
        <v>17.3</v>
      </c>
      <c r="I554" s="123"/>
    </row>
    <row r="555" spans="1:9" s="17" customFormat="1" ht="12.75" customHeight="1" x14ac:dyDescent="0.2">
      <c r="A555" s="65">
        <v>546</v>
      </c>
      <c r="B555" s="60"/>
      <c r="C555" s="117" t="s">
        <v>3780</v>
      </c>
      <c r="D555" s="118"/>
      <c r="E555" s="119"/>
      <c r="F555" s="125" t="s">
        <v>59</v>
      </c>
      <c r="G555" s="125"/>
      <c r="H555" s="115">
        <f>129.2-5-5.5-23-13.5-0.3-9.7-11-3-25+1.8-1.3-26.2</f>
        <v>7.4999999999999893</v>
      </c>
      <c r="I555" s="116"/>
    </row>
    <row r="556" spans="1:9" s="17" customFormat="1" ht="12.75" customHeight="1" x14ac:dyDescent="0.2">
      <c r="A556" s="65">
        <v>547</v>
      </c>
      <c r="B556" s="60" t="s">
        <v>2876</v>
      </c>
      <c r="C556" s="117" t="s">
        <v>5273</v>
      </c>
      <c r="D556" s="118"/>
      <c r="E556" s="119"/>
      <c r="F556" s="121" t="s">
        <v>291</v>
      </c>
      <c r="G556" s="122"/>
      <c r="H556" s="123">
        <v>36.299999999999997</v>
      </c>
      <c r="I556" s="123"/>
    </row>
    <row r="557" spans="1:9" s="17" customFormat="1" ht="12.75" customHeight="1" x14ac:dyDescent="0.2">
      <c r="A557" s="65">
        <v>548</v>
      </c>
      <c r="B557" s="60"/>
      <c r="C557" s="117" t="s">
        <v>2148</v>
      </c>
      <c r="D557" s="118"/>
      <c r="E557" s="119"/>
      <c r="F557" s="125" t="s">
        <v>29</v>
      </c>
      <c r="G557" s="125"/>
      <c r="H557" s="115">
        <f>6.9-3.7</f>
        <v>3.2</v>
      </c>
      <c r="I557" s="116"/>
    </row>
    <row r="558" spans="1:9" s="17" customFormat="1" ht="12.75" customHeight="1" x14ac:dyDescent="0.2">
      <c r="A558" s="65">
        <v>549</v>
      </c>
      <c r="B558" s="60"/>
      <c r="C558" s="112" t="s">
        <v>439</v>
      </c>
      <c r="D558" s="118"/>
      <c r="E558" s="119"/>
      <c r="F558" s="113" t="s">
        <v>76</v>
      </c>
      <c r="G558" s="114"/>
      <c r="H558" s="123"/>
      <c r="I558" s="116"/>
    </row>
    <row r="559" spans="1:9" s="17" customFormat="1" ht="12.75" customHeight="1" x14ac:dyDescent="0.2">
      <c r="A559" s="65">
        <v>550</v>
      </c>
      <c r="B559" s="60"/>
      <c r="C559" s="117" t="s">
        <v>2165</v>
      </c>
      <c r="D559" s="117"/>
      <c r="E559" s="117"/>
      <c r="F559" s="124" t="s">
        <v>33</v>
      </c>
      <c r="G559" s="124"/>
      <c r="H559" s="115">
        <f>34.9-5.9</f>
        <v>29</v>
      </c>
      <c r="I559" s="116"/>
    </row>
    <row r="560" spans="1:9" s="17" customFormat="1" ht="12.75" customHeight="1" x14ac:dyDescent="0.2">
      <c r="A560" s="65">
        <v>551</v>
      </c>
      <c r="B560" s="60" t="s">
        <v>2241</v>
      </c>
      <c r="C560" s="117" t="s">
        <v>3147</v>
      </c>
      <c r="D560" s="118"/>
      <c r="E560" s="119"/>
      <c r="F560" s="125" t="s">
        <v>29</v>
      </c>
      <c r="G560" s="125"/>
      <c r="H560" s="115">
        <v>16.2</v>
      </c>
      <c r="I560" s="116"/>
    </row>
    <row r="561" spans="1:9" s="17" customFormat="1" ht="12.75" customHeight="1" x14ac:dyDescent="0.2">
      <c r="A561" s="65">
        <v>552</v>
      </c>
      <c r="B561" s="60"/>
      <c r="C561" s="117" t="s">
        <v>5125</v>
      </c>
      <c r="D561" s="118"/>
      <c r="E561" s="119"/>
      <c r="F561" s="125" t="s">
        <v>29</v>
      </c>
      <c r="G561" s="125"/>
      <c r="H561" s="115">
        <f>6.8+4.1+5-0.8-3.5+0.2</f>
        <v>11.799999999999997</v>
      </c>
      <c r="I561" s="115"/>
    </row>
    <row r="562" spans="1:9" s="17" customFormat="1" ht="12.75" customHeight="1" x14ac:dyDescent="0.2">
      <c r="A562" s="65">
        <v>553</v>
      </c>
      <c r="B562" s="60" t="s">
        <v>2876</v>
      </c>
      <c r="C562" s="117" t="s">
        <v>5272</v>
      </c>
      <c r="D562" s="118"/>
      <c r="E562" s="119"/>
      <c r="F562" s="121" t="s">
        <v>271</v>
      </c>
      <c r="G562" s="122"/>
      <c r="H562" s="123">
        <v>19.5</v>
      </c>
      <c r="I562" s="123"/>
    </row>
    <row r="563" spans="1:9" s="17" customFormat="1" ht="12.75" customHeight="1" x14ac:dyDescent="0.2">
      <c r="A563" s="65">
        <v>554</v>
      </c>
      <c r="B563" s="60"/>
      <c r="C563" s="117" t="s">
        <v>1652</v>
      </c>
      <c r="D563" s="118"/>
      <c r="E563" s="119"/>
      <c r="F563" s="124" t="s">
        <v>33</v>
      </c>
      <c r="G563" s="124"/>
      <c r="H563" s="115">
        <f>20.5-4.3-10.3</f>
        <v>5.8999999999999986</v>
      </c>
      <c r="I563" s="116"/>
    </row>
    <row r="564" spans="1:9" s="17" customFormat="1" ht="12.75" customHeight="1" x14ac:dyDescent="0.2">
      <c r="A564" s="65">
        <v>555</v>
      </c>
      <c r="B564" s="60" t="s">
        <v>2876</v>
      </c>
      <c r="C564" s="117" t="s">
        <v>5309</v>
      </c>
      <c r="D564" s="118"/>
      <c r="E564" s="119"/>
      <c r="F564" s="121" t="s">
        <v>271</v>
      </c>
      <c r="G564" s="122"/>
      <c r="H564" s="123">
        <v>11.4</v>
      </c>
      <c r="I564" s="123"/>
    </row>
    <row r="565" spans="1:9" s="17" customFormat="1" ht="12.75" customHeight="1" x14ac:dyDescent="0.2">
      <c r="A565" s="65">
        <v>556</v>
      </c>
      <c r="B565" s="60"/>
      <c r="C565" s="117" t="s">
        <v>4280</v>
      </c>
      <c r="D565" s="118"/>
      <c r="E565" s="119"/>
      <c r="F565" s="113" t="s">
        <v>76</v>
      </c>
      <c r="G565" s="114"/>
      <c r="H565" s="123">
        <f>14.1+8.5</f>
        <v>22.6</v>
      </c>
      <c r="I565" s="123"/>
    </row>
    <row r="566" spans="1:9" s="17" customFormat="1" ht="12.75" customHeight="1" x14ac:dyDescent="0.2">
      <c r="A566" s="65">
        <v>557</v>
      </c>
      <c r="B566" s="60" t="s">
        <v>2242</v>
      </c>
      <c r="C566" s="128" t="s">
        <v>4034</v>
      </c>
      <c r="D566" s="126"/>
      <c r="E566" s="127"/>
      <c r="F566" s="138" t="s">
        <v>29</v>
      </c>
      <c r="G566" s="139"/>
      <c r="H566" s="115">
        <v>7.3</v>
      </c>
      <c r="I566" s="116"/>
    </row>
    <row r="567" spans="1:9" s="16" customFormat="1" ht="12" customHeight="1" x14ac:dyDescent="0.2">
      <c r="A567" s="65">
        <v>558</v>
      </c>
      <c r="B567" s="60" t="s">
        <v>3636</v>
      </c>
      <c r="C567" s="117" t="s">
        <v>3775</v>
      </c>
      <c r="D567" s="118"/>
      <c r="E567" s="119"/>
      <c r="F567" s="125" t="s">
        <v>140</v>
      </c>
      <c r="G567" s="125"/>
      <c r="H567" s="123">
        <v>3.7</v>
      </c>
      <c r="I567" s="123"/>
    </row>
    <row r="568" spans="1:9" s="17" customFormat="1" ht="12.75" customHeight="1" x14ac:dyDescent="0.2">
      <c r="A568" s="65">
        <v>559</v>
      </c>
      <c r="B568" s="60"/>
      <c r="C568" s="117" t="s">
        <v>1389</v>
      </c>
      <c r="D568" s="118"/>
      <c r="E568" s="119"/>
      <c r="F568" s="121" t="s">
        <v>56</v>
      </c>
      <c r="G568" s="122"/>
      <c r="H568" s="115">
        <v>3.7</v>
      </c>
      <c r="I568" s="116"/>
    </row>
    <row r="569" spans="1:9" s="17" customFormat="1" ht="12.75" customHeight="1" x14ac:dyDescent="0.2">
      <c r="A569" s="65">
        <v>560</v>
      </c>
      <c r="B569" s="60"/>
      <c r="C569" s="117" t="s">
        <v>1390</v>
      </c>
      <c r="D569" s="118"/>
      <c r="E569" s="119"/>
      <c r="F569" s="121" t="s">
        <v>56</v>
      </c>
      <c r="G569" s="122"/>
      <c r="H569" s="115">
        <v>25.7</v>
      </c>
      <c r="I569" s="116"/>
    </row>
    <row r="570" spans="1:9" s="17" customFormat="1" ht="12.75" customHeight="1" x14ac:dyDescent="0.2">
      <c r="A570" s="65">
        <v>561</v>
      </c>
      <c r="B570" s="60"/>
      <c r="C570" s="112" t="s">
        <v>440</v>
      </c>
      <c r="D570" s="112"/>
      <c r="E570" s="112"/>
      <c r="F570" s="121" t="s">
        <v>56</v>
      </c>
      <c r="G570" s="122"/>
      <c r="H570" s="123"/>
      <c r="I570" s="123"/>
    </row>
    <row r="571" spans="1:9" s="17" customFormat="1" ht="12.75" customHeight="1" x14ac:dyDescent="0.2">
      <c r="A571" s="65">
        <v>562</v>
      </c>
      <c r="B571" s="60" t="s">
        <v>3666</v>
      </c>
      <c r="C571" s="117" t="s">
        <v>5389</v>
      </c>
      <c r="D571" s="118"/>
      <c r="E571" s="119"/>
      <c r="F571" s="125" t="s">
        <v>29</v>
      </c>
      <c r="G571" s="125"/>
      <c r="H571" s="115">
        <f>71.7+14.3-17.7-13.9-14.1-5.6-7</f>
        <v>27.699999999999996</v>
      </c>
      <c r="I571" s="116"/>
    </row>
    <row r="572" spans="1:9" s="17" customFormat="1" ht="12.75" customHeight="1" x14ac:dyDescent="0.2">
      <c r="A572" s="65">
        <v>563</v>
      </c>
      <c r="B572" s="60"/>
      <c r="C572" s="117" t="s">
        <v>2850</v>
      </c>
      <c r="D572" s="118"/>
      <c r="E572" s="119"/>
      <c r="F572" s="113" t="s">
        <v>59</v>
      </c>
      <c r="G572" s="114"/>
      <c r="H572" s="115">
        <f>137.3-30-35</f>
        <v>72.300000000000011</v>
      </c>
      <c r="I572" s="116"/>
    </row>
    <row r="573" spans="1:9" s="17" customFormat="1" ht="12.75" customHeight="1" x14ac:dyDescent="0.2">
      <c r="A573" s="65">
        <v>564</v>
      </c>
      <c r="B573" s="60"/>
      <c r="C573" s="112" t="s">
        <v>580</v>
      </c>
      <c r="D573" s="112"/>
      <c r="E573" s="112"/>
      <c r="F573" s="121" t="s">
        <v>56</v>
      </c>
      <c r="G573" s="122"/>
      <c r="H573" s="123">
        <v>1.9</v>
      </c>
      <c r="I573" s="123"/>
    </row>
    <row r="574" spans="1:9" s="17" customFormat="1" ht="11.25" x14ac:dyDescent="0.2">
      <c r="A574" s="65">
        <v>565</v>
      </c>
      <c r="B574" s="60" t="s">
        <v>2241</v>
      </c>
      <c r="C574" s="128" t="s">
        <v>4194</v>
      </c>
      <c r="D574" s="126"/>
      <c r="E574" s="127"/>
      <c r="F574" s="113" t="s">
        <v>76</v>
      </c>
      <c r="G574" s="114"/>
      <c r="H574" s="115">
        <v>8.3000000000000007</v>
      </c>
      <c r="I574" s="116"/>
    </row>
    <row r="575" spans="1:9" s="17" customFormat="1" ht="11.25" x14ac:dyDescent="0.2">
      <c r="A575" s="65">
        <v>566</v>
      </c>
      <c r="B575" s="60"/>
      <c r="C575" s="128" t="s">
        <v>5091</v>
      </c>
      <c r="D575" s="126"/>
      <c r="E575" s="127"/>
      <c r="F575" s="113" t="s">
        <v>76</v>
      </c>
      <c r="G575" s="114"/>
      <c r="H575" s="115">
        <f>30.6-25.6+5.4+19.3-5+5.3+8+8.6-5.4+3.4-4.5+118.3-12.2-5.3+16.4-6.5-6.2-6.3+12.3-2-34.7+24.6+50.9-2.6-12.6+7.5-4.3-41.3-8.6-70+18.7-18.7-12+9.2-4.3+4</f>
        <v>54.400000000000034</v>
      </c>
      <c r="I575" s="116"/>
    </row>
    <row r="576" spans="1:9" s="17" customFormat="1" ht="12.75" customHeight="1" x14ac:dyDescent="0.2">
      <c r="A576" s="65">
        <v>567</v>
      </c>
      <c r="B576" s="60" t="s">
        <v>2241</v>
      </c>
      <c r="C576" s="128" t="s">
        <v>1853</v>
      </c>
      <c r="D576" s="126"/>
      <c r="E576" s="127"/>
      <c r="F576" s="113" t="s">
        <v>59</v>
      </c>
      <c r="G576" s="114"/>
      <c r="H576" s="115">
        <f>123+23.7+6.5-6.5-43.2-4-11.4-1.8+6.3</f>
        <v>92.59999999999998</v>
      </c>
      <c r="I576" s="116"/>
    </row>
    <row r="577" spans="1:9" s="17" customFormat="1" ht="12.75" customHeight="1" x14ac:dyDescent="0.2">
      <c r="A577" s="65">
        <v>568</v>
      </c>
      <c r="B577" s="60"/>
      <c r="C577" s="112" t="s">
        <v>4051</v>
      </c>
      <c r="D577" s="112"/>
      <c r="E577" s="112"/>
      <c r="F577" s="124" t="s">
        <v>42</v>
      </c>
      <c r="G577" s="124"/>
      <c r="H577" s="123">
        <f>4.3+4.9+116.4-31.8-5.6-5.3-0.5-5.8-1.8-12.5+2.3-2.3</f>
        <v>62.300000000000026</v>
      </c>
      <c r="I577" s="123"/>
    </row>
    <row r="578" spans="1:9" s="17" customFormat="1" ht="12.75" customHeight="1" x14ac:dyDescent="0.2">
      <c r="A578" s="65">
        <v>569</v>
      </c>
      <c r="B578" s="60"/>
      <c r="C578" s="128" t="s">
        <v>5392</v>
      </c>
      <c r="D578" s="126"/>
      <c r="E578" s="127"/>
      <c r="F578" s="113" t="s">
        <v>76</v>
      </c>
      <c r="G578" s="114"/>
      <c r="H578" s="115">
        <f>31.8-3.9+7.3+0.1-3.7</f>
        <v>31.600000000000005</v>
      </c>
      <c r="I578" s="116"/>
    </row>
    <row r="579" spans="1:9" s="17" customFormat="1" ht="12.75" customHeight="1" x14ac:dyDescent="0.2">
      <c r="A579" s="65">
        <v>570</v>
      </c>
      <c r="B579" s="60"/>
      <c r="C579" s="117" t="s">
        <v>4118</v>
      </c>
      <c r="D579" s="118"/>
      <c r="E579" s="119"/>
      <c r="F579" s="113" t="s">
        <v>76</v>
      </c>
      <c r="G579" s="114"/>
      <c r="H579" s="115">
        <v>4.7</v>
      </c>
      <c r="I579" s="116"/>
    </row>
    <row r="580" spans="1:9" s="17" customFormat="1" ht="12.75" customHeight="1" x14ac:dyDescent="0.2">
      <c r="A580" s="65">
        <v>571</v>
      </c>
      <c r="B580" s="60"/>
      <c r="C580" s="112" t="s">
        <v>1144</v>
      </c>
      <c r="D580" s="112"/>
      <c r="E580" s="112"/>
      <c r="F580" s="124" t="s">
        <v>200</v>
      </c>
      <c r="G580" s="124"/>
      <c r="H580" s="123">
        <f>22+3.4+2.6</f>
        <v>28</v>
      </c>
      <c r="I580" s="123"/>
    </row>
    <row r="581" spans="1:9" s="17" customFormat="1" ht="12.75" customHeight="1" x14ac:dyDescent="0.2">
      <c r="A581" s="65">
        <v>572</v>
      </c>
      <c r="B581" s="60"/>
      <c r="C581" s="117" t="s">
        <v>1675</v>
      </c>
      <c r="D581" s="118"/>
      <c r="E581" s="119"/>
      <c r="F581" s="124" t="s">
        <v>42</v>
      </c>
      <c r="G581" s="124"/>
      <c r="H581" s="115">
        <f>28.2+22-41.3</f>
        <v>8.9000000000000057</v>
      </c>
      <c r="I581" s="116"/>
    </row>
    <row r="582" spans="1:9" s="17" customFormat="1" ht="12.75" customHeight="1" x14ac:dyDescent="0.2">
      <c r="A582" s="65">
        <v>573</v>
      </c>
      <c r="B582" s="60"/>
      <c r="C582" s="112" t="s">
        <v>579</v>
      </c>
      <c r="D582" s="112"/>
      <c r="E582" s="112"/>
      <c r="F582" s="124" t="s">
        <v>56</v>
      </c>
      <c r="G582" s="124"/>
      <c r="H582" s="123">
        <v>2.8</v>
      </c>
      <c r="I582" s="123"/>
    </row>
    <row r="583" spans="1:9" s="17" customFormat="1" ht="12.75" customHeight="1" x14ac:dyDescent="0.2">
      <c r="A583" s="65">
        <v>574</v>
      </c>
      <c r="B583" s="60"/>
      <c r="C583" s="112" t="s">
        <v>1967</v>
      </c>
      <c r="D583" s="112"/>
      <c r="E583" s="112"/>
      <c r="F583" s="121" t="s">
        <v>85</v>
      </c>
      <c r="G583" s="122"/>
      <c r="H583" s="115">
        <v>6.8</v>
      </c>
      <c r="I583" s="116"/>
    </row>
    <row r="584" spans="1:9" s="17" customFormat="1" ht="30.75" customHeight="1" x14ac:dyDescent="0.2">
      <c r="A584" s="65">
        <v>575</v>
      </c>
      <c r="B584" s="60"/>
      <c r="C584" s="117" t="s">
        <v>4129</v>
      </c>
      <c r="D584" s="118"/>
      <c r="E584" s="119"/>
      <c r="F584" s="113" t="s">
        <v>483</v>
      </c>
      <c r="G584" s="114"/>
      <c r="H584" s="115">
        <f>10.8+28.4+5+8.2+6+13.2-8.2+9.8+9.6-52.5+23+17.3-5.6-0.8+19.5+5.8-4.3+6.4-6.4-8.9-6-2.8-5.6-7.3-24.2+5.3-6.3-2.4-5.3-9.6+62.4+31.8-2.8+4.6+27.4+4.3+3.4+10.4-5.2+5.2+7.4-5.2+16.2-3.4-44-44.2+6+6.6+5.1</f>
        <v>98.100000000000009</v>
      </c>
      <c r="I584" s="116"/>
    </row>
    <row r="585" spans="1:9" s="17" customFormat="1" ht="11.25" x14ac:dyDescent="0.2">
      <c r="A585" s="65">
        <v>576</v>
      </c>
      <c r="B585" s="60" t="s">
        <v>2241</v>
      </c>
      <c r="C585" s="117" t="s">
        <v>2785</v>
      </c>
      <c r="D585" s="118"/>
      <c r="E585" s="119"/>
      <c r="F585" s="113" t="s">
        <v>483</v>
      </c>
      <c r="G585" s="114"/>
      <c r="H585" s="115">
        <v>16.2</v>
      </c>
      <c r="I585" s="116"/>
    </row>
    <row r="586" spans="1:9" s="17" customFormat="1" ht="11.25" x14ac:dyDescent="0.2">
      <c r="A586" s="65">
        <v>577</v>
      </c>
      <c r="B586" s="60"/>
      <c r="C586" s="117" t="s">
        <v>4458</v>
      </c>
      <c r="D586" s="118"/>
      <c r="E586" s="119"/>
      <c r="F586" s="113" t="s">
        <v>483</v>
      </c>
      <c r="G586" s="114"/>
      <c r="H586" s="115">
        <f>7+5.3</f>
        <v>12.3</v>
      </c>
      <c r="I586" s="116"/>
    </row>
    <row r="587" spans="1:9" s="17" customFormat="1" ht="12.75" customHeight="1" x14ac:dyDescent="0.2">
      <c r="A587" s="65">
        <v>578</v>
      </c>
      <c r="B587" s="60"/>
      <c r="C587" s="117" t="s">
        <v>430</v>
      </c>
      <c r="D587" s="118"/>
      <c r="E587" s="119"/>
      <c r="F587" s="113" t="s">
        <v>76</v>
      </c>
      <c r="G587" s="114"/>
      <c r="H587" s="115"/>
      <c r="I587" s="116"/>
    </row>
    <row r="588" spans="1:9" s="17" customFormat="1" ht="12.75" customHeight="1" x14ac:dyDescent="0.2">
      <c r="A588" s="65">
        <v>579</v>
      </c>
      <c r="B588" s="60"/>
      <c r="C588" s="112" t="s">
        <v>497</v>
      </c>
      <c r="D588" s="112"/>
      <c r="E588" s="112"/>
      <c r="F588" s="125" t="s">
        <v>76</v>
      </c>
      <c r="G588" s="125"/>
      <c r="H588" s="115"/>
      <c r="I588" s="116"/>
    </row>
    <row r="589" spans="1:9" s="17" customFormat="1" ht="12.75" customHeight="1" x14ac:dyDescent="0.2">
      <c r="A589" s="65">
        <v>580</v>
      </c>
      <c r="B589" s="60" t="s">
        <v>3557</v>
      </c>
      <c r="C589" s="112" t="s">
        <v>4457</v>
      </c>
      <c r="D589" s="112"/>
      <c r="E589" s="112"/>
      <c r="F589" s="121" t="s">
        <v>130</v>
      </c>
      <c r="G589" s="122"/>
      <c r="H589" s="115">
        <v>5.5</v>
      </c>
      <c r="I589" s="116"/>
    </row>
    <row r="590" spans="1:9" s="17" customFormat="1" ht="12.75" customHeight="1" x14ac:dyDescent="0.2">
      <c r="A590" s="65">
        <v>581</v>
      </c>
      <c r="B590" s="60"/>
      <c r="C590" s="112" t="s">
        <v>545</v>
      </c>
      <c r="D590" s="112"/>
      <c r="E590" s="112"/>
      <c r="F590" s="121" t="s">
        <v>6</v>
      </c>
      <c r="G590" s="122"/>
      <c r="H590" s="123">
        <v>4.9000000000000004</v>
      </c>
      <c r="I590" s="123"/>
    </row>
    <row r="591" spans="1:9" s="17" customFormat="1" ht="12.75" customHeight="1" x14ac:dyDescent="0.2">
      <c r="A591" s="65">
        <v>582</v>
      </c>
      <c r="B591" s="60"/>
      <c r="C591" s="117" t="s">
        <v>3787</v>
      </c>
      <c r="D591" s="118"/>
      <c r="E591" s="119"/>
      <c r="F591" s="124" t="s">
        <v>33</v>
      </c>
      <c r="G591" s="124"/>
      <c r="H591" s="115">
        <f>212.5-45-2.5+7.5-32.8-5.3-33.6-7.5-2.7-5.3-4.9-14</f>
        <v>66.399999999999977</v>
      </c>
      <c r="I591" s="116"/>
    </row>
    <row r="592" spans="1:9" s="17" customFormat="1" ht="12.75" customHeight="1" x14ac:dyDescent="0.2">
      <c r="A592" s="65">
        <v>583</v>
      </c>
      <c r="B592" s="60"/>
      <c r="C592" s="117" t="s">
        <v>1653</v>
      </c>
      <c r="D592" s="118"/>
      <c r="E592" s="119"/>
      <c r="F592" s="124" t="s">
        <v>33</v>
      </c>
      <c r="G592" s="124"/>
      <c r="H592" s="115">
        <v>2.9</v>
      </c>
      <c r="I592" s="116"/>
    </row>
    <row r="593" spans="1:9" s="17" customFormat="1" ht="12.75" customHeight="1" x14ac:dyDescent="0.2">
      <c r="A593" s="65">
        <v>584</v>
      </c>
      <c r="B593" s="60"/>
      <c r="C593" s="117" t="s">
        <v>4952</v>
      </c>
      <c r="D593" s="118"/>
      <c r="E593" s="119"/>
      <c r="F593" s="124" t="s">
        <v>42</v>
      </c>
      <c r="G593" s="124"/>
      <c r="H593" s="115">
        <f>93-77.5</f>
        <v>15.5</v>
      </c>
      <c r="I593" s="116"/>
    </row>
    <row r="594" spans="1:9" s="17" customFormat="1" ht="12.75" customHeight="1" x14ac:dyDescent="0.2">
      <c r="A594" s="65">
        <v>585</v>
      </c>
      <c r="B594" s="60"/>
      <c r="C594" s="117" t="s">
        <v>1889</v>
      </c>
      <c r="D594" s="118"/>
      <c r="E594" s="119"/>
      <c r="F594" s="124" t="s">
        <v>42</v>
      </c>
      <c r="G594" s="124"/>
      <c r="H594" s="115">
        <f>46.3-25.5</f>
        <v>20.799999999999997</v>
      </c>
      <c r="I594" s="116"/>
    </row>
    <row r="595" spans="1:9" s="17" customFormat="1" ht="12.75" customHeight="1" x14ac:dyDescent="0.2">
      <c r="A595" s="65">
        <v>586</v>
      </c>
      <c r="B595" s="60"/>
      <c r="C595" s="117" t="s">
        <v>4130</v>
      </c>
      <c r="D595" s="118"/>
      <c r="E595" s="119"/>
      <c r="F595" s="124" t="s">
        <v>42</v>
      </c>
      <c r="G595" s="124"/>
      <c r="H595" s="115">
        <v>6.6</v>
      </c>
      <c r="I595" s="116"/>
    </row>
    <row r="596" spans="1:9" s="17" customFormat="1" ht="12.75" customHeight="1" x14ac:dyDescent="0.2">
      <c r="A596" s="65">
        <v>587</v>
      </c>
      <c r="B596" s="60" t="s">
        <v>2241</v>
      </c>
      <c r="C596" s="112" t="s">
        <v>2866</v>
      </c>
      <c r="D596" s="112"/>
      <c r="E596" s="112"/>
      <c r="F596" s="121" t="s">
        <v>56</v>
      </c>
      <c r="G596" s="122"/>
      <c r="H596" s="115">
        <f>50+6.2</f>
        <v>56.2</v>
      </c>
      <c r="I596" s="116"/>
    </row>
    <row r="597" spans="1:9" s="17" customFormat="1" ht="12.75" customHeight="1" x14ac:dyDescent="0.2">
      <c r="A597" s="65">
        <v>588</v>
      </c>
      <c r="B597" s="60" t="s">
        <v>2241</v>
      </c>
      <c r="C597" s="112" t="s">
        <v>1318</v>
      </c>
      <c r="D597" s="112"/>
      <c r="E597" s="112"/>
      <c r="F597" s="124" t="s">
        <v>56</v>
      </c>
      <c r="G597" s="124"/>
      <c r="H597" s="123">
        <v>10.4</v>
      </c>
      <c r="I597" s="123"/>
    </row>
    <row r="598" spans="1:9" s="17" customFormat="1" ht="12.75" customHeight="1" x14ac:dyDescent="0.2">
      <c r="A598" s="65">
        <v>589</v>
      </c>
      <c r="B598" s="60"/>
      <c r="C598" s="120" t="s">
        <v>769</v>
      </c>
      <c r="D598" s="120"/>
      <c r="E598" s="120"/>
      <c r="F598" s="124" t="s">
        <v>200</v>
      </c>
      <c r="G598" s="124"/>
      <c r="H598" s="115">
        <f>47-8.1-18.4-6.2+6.5</f>
        <v>20.8</v>
      </c>
      <c r="I598" s="116"/>
    </row>
    <row r="599" spans="1:9" s="17" customFormat="1" ht="12.75" customHeight="1" x14ac:dyDescent="0.2">
      <c r="A599" s="65">
        <v>590</v>
      </c>
      <c r="B599" s="60"/>
      <c r="C599" s="120" t="s">
        <v>1140</v>
      </c>
      <c r="D599" s="120"/>
      <c r="E599" s="120"/>
      <c r="F599" s="124" t="s">
        <v>200</v>
      </c>
      <c r="G599" s="124"/>
      <c r="H599" s="123">
        <f>40-9-7.3-6.8+4</f>
        <v>20.9</v>
      </c>
      <c r="I599" s="123"/>
    </row>
    <row r="600" spans="1:9" s="17" customFormat="1" ht="12.75" customHeight="1" x14ac:dyDescent="0.2">
      <c r="A600" s="65">
        <v>591</v>
      </c>
      <c r="B600" s="60"/>
      <c r="C600" s="117" t="s">
        <v>1100</v>
      </c>
      <c r="D600" s="118"/>
      <c r="E600" s="119"/>
      <c r="F600" s="121" t="s">
        <v>200</v>
      </c>
      <c r="G600" s="122"/>
      <c r="H600" s="115">
        <v>12</v>
      </c>
      <c r="I600" s="116"/>
    </row>
    <row r="601" spans="1:9" s="17" customFormat="1" ht="12.75" customHeight="1" x14ac:dyDescent="0.2">
      <c r="A601" s="65">
        <v>592</v>
      </c>
      <c r="B601" s="60"/>
      <c r="C601" s="128" t="s">
        <v>663</v>
      </c>
      <c r="D601" s="126"/>
      <c r="E601" s="127"/>
      <c r="F601" s="138" t="s">
        <v>59</v>
      </c>
      <c r="G601" s="139"/>
      <c r="H601" s="115">
        <v>19.399999999999999</v>
      </c>
      <c r="I601" s="116"/>
    </row>
    <row r="602" spans="1:9" s="17" customFormat="1" ht="27" customHeight="1" x14ac:dyDescent="0.2">
      <c r="A602" s="65">
        <v>593</v>
      </c>
      <c r="B602" s="60"/>
      <c r="C602" s="128" t="s">
        <v>3505</v>
      </c>
      <c r="D602" s="126"/>
      <c r="E602" s="127"/>
      <c r="F602" s="138" t="s">
        <v>76</v>
      </c>
      <c r="G602" s="139"/>
      <c r="H602" s="115">
        <f>40.7+8.1+20.3-9.8+7.5+8.3+9.8-10.5+11.6-9.8+6.6-6.5+15.5-10.8-3.2-14-5.9+5.9+6.8-15.1+4.7+29+8.5-12.2+7.4-5.7</f>
        <v>87.199999999999989</v>
      </c>
      <c r="I602" s="116"/>
    </row>
    <row r="603" spans="1:9" s="17" customFormat="1" ht="12.75" customHeight="1" x14ac:dyDescent="0.2">
      <c r="A603" s="65">
        <v>594</v>
      </c>
      <c r="B603" s="60"/>
      <c r="C603" s="128" t="s">
        <v>3506</v>
      </c>
      <c r="D603" s="126"/>
      <c r="E603" s="127"/>
      <c r="F603" s="138" t="s">
        <v>29</v>
      </c>
      <c r="G603" s="139"/>
      <c r="H603" s="115">
        <f>24.5-6.8+6.6+7.8+8.2-14.7</f>
        <v>25.599999999999998</v>
      </c>
      <c r="I603" s="116"/>
    </row>
    <row r="604" spans="1:9" s="17" customFormat="1" ht="12.75" customHeight="1" x14ac:dyDescent="0.2">
      <c r="A604" s="65">
        <v>595</v>
      </c>
      <c r="B604" s="60" t="s">
        <v>2242</v>
      </c>
      <c r="C604" s="128" t="s">
        <v>4463</v>
      </c>
      <c r="D604" s="126"/>
      <c r="E604" s="127"/>
      <c r="F604" s="138" t="s">
        <v>29</v>
      </c>
      <c r="G604" s="139"/>
      <c r="H604" s="115">
        <f>16.4+44+8.2</f>
        <v>68.599999999999994</v>
      </c>
      <c r="I604" s="116"/>
    </row>
    <row r="605" spans="1:9" s="17" customFormat="1" ht="12.75" customHeight="1" x14ac:dyDescent="0.2">
      <c r="A605" s="65">
        <v>596</v>
      </c>
      <c r="B605" s="60"/>
      <c r="C605" s="117" t="s">
        <v>1018</v>
      </c>
      <c r="D605" s="118"/>
      <c r="E605" s="119"/>
      <c r="F605" s="113" t="s">
        <v>76</v>
      </c>
      <c r="G605" s="114"/>
      <c r="H605" s="115">
        <v>22</v>
      </c>
      <c r="I605" s="116"/>
    </row>
    <row r="606" spans="1:9" s="17" customFormat="1" ht="12.75" customHeight="1" x14ac:dyDescent="0.2">
      <c r="A606" s="65">
        <v>597</v>
      </c>
      <c r="B606" s="60"/>
      <c r="C606" s="117" t="s">
        <v>1386</v>
      </c>
      <c r="D606" s="118"/>
      <c r="E606" s="119"/>
      <c r="F606" s="113" t="s">
        <v>76</v>
      </c>
      <c r="G606" s="114"/>
      <c r="H606" s="115">
        <v>10</v>
      </c>
      <c r="I606" s="116"/>
    </row>
    <row r="607" spans="1:9" s="17" customFormat="1" ht="12.75" customHeight="1" x14ac:dyDescent="0.2">
      <c r="A607" s="65">
        <v>598</v>
      </c>
      <c r="B607" s="60"/>
      <c r="C607" s="117" t="s">
        <v>2636</v>
      </c>
      <c r="D607" s="118"/>
      <c r="E607" s="119"/>
      <c r="F607" s="124" t="s">
        <v>42</v>
      </c>
      <c r="G607" s="124"/>
      <c r="H607" s="115">
        <f>27.3+4-8.3-6.4-9.5</f>
        <v>7.1000000000000014</v>
      </c>
      <c r="I607" s="116"/>
    </row>
    <row r="608" spans="1:9" s="17" customFormat="1" ht="12.75" customHeight="1" x14ac:dyDescent="0.2">
      <c r="A608" s="65">
        <v>599</v>
      </c>
      <c r="B608" s="60"/>
      <c r="C608" s="112" t="s">
        <v>1220</v>
      </c>
      <c r="D608" s="112"/>
      <c r="E608" s="112"/>
      <c r="F608" s="124" t="s">
        <v>56</v>
      </c>
      <c r="G608" s="124"/>
      <c r="H608" s="123">
        <f>13.8-3.8+20.3</f>
        <v>30.3</v>
      </c>
      <c r="I608" s="123"/>
    </row>
    <row r="609" spans="1:9" s="17" customFormat="1" ht="12.75" customHeight="1" x14ac:dyDescent="0.2">
      <c r="A609" s="65">
        <v>600</v>
      </c>
      <c r="B609" s="60"/>
      <c r="C609" s="112" t="s">
        <v>1456</v>
      </c>
      <c r="D609" s="112"/>
      <c r="E609" s="112"/>
      <c r="F609" s="121" t="s">
        <v>85</v>
      </c>
      <c r="G609" s="122"/>
      <c r="H609" s="115">
        <v>22</v>
      </c>
      <c r="I609" s="116"/>
    </row>
    <row r="610" spans="1:9" s="17" customFormat="1" ht="12.75" customHeight="1" x14ac:dyDescent="0.2">
      <c r="A610" s="65">
        <v>601</v>
      </c>
      <c r="B610" s="60"/>
      <c r="C610" s="117" t="s">
        <v>528</v>
      </c>
      <c r="D610" s="118"/>
      <c r="E610" s="119"/>
      <c r="F610" s="138" t="s">
        <v>76</v>
      </c>
      <c r="G610" s="139"/>
      <c r="H610" s="115">
        <f>109-8.2-92.5+19.3-11.6-6.6</f>
        <v>9.3999999999999986</v>
      </c>
      <c r="I610" s="116"/>
    </row>
    <row r="611" spans="1:9" s="17" customFormat="1" ht="12.75" customHeight="1" x14ac:dyDescent="0.2">
      <c r="A611" s="65">
        <v>602</v>
      </c>
      <c r="B611" s="60"/>
      <c r="C611" s="112" t="s">
        <v>3020</v>
      </c>
      <c r="D611" s="112"/>
      <c r="E611" s="112"/>
      <c r="F611" s="125" t="s">
        <v>59</v>
      </c>
      <c r="G611" s="125"/>
      <c r="H611" s="115">
        <f>57.7+151.2-57.7-7-11-12.1-3.5-4-10.5+52.6+50.6-50.3-14.4-11.8</f>
        <v>129.79999999999998</v>
      </c>
      <c r="I611" s="116"/>
    </row>
    <row r="612" spans="1:9" s="17" customFormat="1" ht="12.75" customHeight="1" x14ac:dyDescent="0.2">
      <c r="A612" s="65">
        <v>603</v>
      </c>
      <c r="B612" s="60"/>
      <c r="C612" s="117" t="s">
        <v>3334</v>
      </c>
      <c r="D612" s="118"/>
      <c r="E612" s="119"/>
      <c r="F612" s="138" t="s">
        <v>76</v>
      </c>
      <c r="G612" s="139"/>
      <c r="H612" s="115">
        <f>33.8+8.8-8.8-8.5</f>
        <v>25.299999999999997</v>
      </c>
      <c r="I612" s="116"/>
    </row>
    <row r="613" spans="1:9" s="17" customFormat="1" ht="12.75" customHeight="1" x14ac:dyDescent="0.2">
      <c r="A613" s="65">
        <v>604</v>
      </c>
      <c r="B613" s="60" t="s">
        <v>3656</v>
      </c>
      <c r="C613" s="117" t="s">
        <v>5063</v>
      </c>
      <c r="D613" s="118"/>
      <c r="E613" s="119"/>
      <c r="F613" s="138" t="s">
        <v>76</v>
      </c>
      <c r="G613" s="139"/>
      <c r="H613" s="115">
        <f>56.8-3.7</f>
        <v>53.099999999999994</v>
      </c>
      <c r="I613" s="116"/>
    </row>
    <row r="614" spans="1:9" s="17" customFormat="1" ht="12.75" customHeight="1" x14ac:dyDescent="0.2">
      <c r="A614" s="65">
        <v>605</v>
      </c>
      <c r="B614" s="60"/>
      <c r="C614" s="117" t="s">
        <v>2734</v>
      </c>
      <c r="D614" s="118"/>
      <c r="E614" s="119"/>
      <c r="F614" s="121" t="s">
        <v>61</v>
      </c>
      <c r="G614" s="122"/>
      <c r="H614" s="115"/>
      <c r="I614" s="116"/>
    </row>
    <row r="615" spans="1:9" s="17" customFormat="1" ht="12.75" customHeight="1" x14ac:dyDescent="0.2">
      <c r="A615" s="65">
        <v>606</v>
      </c>
      <c r="B615" s="60"/>
      <c r="C615" s="112" t="s">
        <v>3004</v>
      </c>
      <c r="D615" s="112"/>
      <c r="E615" s="112"/>
      <c r="F615" s="124" t="s">
        <v>56</v>
      </c>
      <c r="G615" s="124"/>
      <c r="H615" s="123">
        <f>11.1-1.8-3.5</f>
        <v>5.7999999999999989</v>
      </c>
      <c r="I615" s="123"/>
    </row>
    <row r="616" spans="1:9" s="17" customFormat="1" ht="12.75" customHeight="1" x14ac:dyDescent="0.2">
      <c r="A616" s="65">
        <v>607</v>
      </c>
      <c r="B616" s="60"/>
      <c r="C616" s="112" t="s">
        <v>2982</v>
      </c>
      <c r="D616" s="112"/>
      <c r="E616" s="112"/>
      <c r="F616" s="124" t="s">
        <v>200</v>
      </c>
      <c r="G616" s="124"/>
      <c r="H616" s="123">
        <f>17.9+9.5</f>
        <v>27.4</v>
      </c>
      <c r="I616" s="123"/>
    </row>
    <row r="617" spans="1:9" s="17" customFormat="1" ht="12.75" customHeight="1" x14ac:dyDescent="0.2">
      <c r="A617" s="65">
        <v>608</v>
      </c>
      <c r="B617" s="60"/>
      <c r="C617" s="112" t="s">
        <v>1306</v>
      </c>
      <c r="D617" s="112"/>
      <c r="E617" s="112"/>
      <c r="F617" s="113" t="s">
        <v>76</v>
      </c>
      <c r="G617" s="114"/>
      <c r="H617" s="123">
        <f>33.4-7.5-12.7-6.6+16.7-6.6+10.7+10.2+8.6-8.6+23.4</f>
        <v>60.999999999999993</v>
      </c>
      <c r="I617" s="123"/>
    </row>
    <row r="618" spans="1:9" s="17" customFormat="1" ht="12.75" customHeight="1" x14ac:dyDescent="0.2">
      <c r="A618" s="65">
        <v>609</v>
      </c>
      <c r="B618" s="60"/>
      <c r="C618" s="117" t="s">
        <v>4171</v>
      </c>
      <c r="D618" s="118"/>
      <c r="E618" s="119"/>
      <c r="F618" s="113" t="s">
        <v>76</v>
      </c>
      <c r="G618" s="114"/>
      <c r="H618" s="115">
        <f>8.6+12+7.4+14.6</f>
        <v>42.6</v>
      </c>
      <c r="I618" s="116"/>
    </row>
    <row r="619" spans="1:9" s="17" customFormat="1" ht="12.75" customHeight="1" x14ac:dyDescent="0.2">
      <c r="A619" s="65">
        <v>610</v>
      </c>
      <c r="B619" s="60"/>
      <c r="C619" s="117" t="s">
        <v>1654</v>
      </c>
      <c r="D619" s="118"/>
      <c r="E619" s="119"/>
      <c r="F619" s="124" t="s">
        <v>33</v>
      </c>
      <c r="G619" s="124"/>
      <c r="H619" s="115">
        <v>3.8</v>
      </c>
      <c r="I619" s="116"/>
    </row>
    <row r="620" spans="1:9" s="17" customFormat="1" ht="12.75" customHeight="1" x14ac:dyDescent="0.2">
      <c r="A620" s="65">
        <v>611</v>
      </c>
      <c r="B620" s="60"/>
      <c r="C620" s="117" t="s">
        <v>1769</v>
      </c>
      <c r="D620" s="118"/>
      <c r="E620" s="119"/>
      <c r="F620" s="124" t="s">
        <v>31</v>
      </c>
      <c r="G620" s="124"/>
      <c r="H620" s="115">
        <v>7</v>
      </c>
      <c r="I620" s="116"/>
    </row>
    <row r="621" spans="1:9" s="17" customFormat="1" ht="12.75" customHeight="1" x14ac:dyDescent="0.2">
      <c r="A621" s="65">
        <v>612</v>
      </c>
      <c r="B621" s="60" t="s">
        <v>2224</v>
      </c>
      <c r="C621" s="112" t="s">
        <v>3616</v>
      </c>
      <c r="D621" s="112"/>
      <c r="E621" s="112"/>
      <c r="F621" s="124" t="s">
        <v>33</v>
      </c>
      <c r="G621" s="124"/>
      <c r="H621" s="123">
        <f>116-29.5-2.6-29.5-14.8</f>
        <v>39.600000000000009</v>
      </c>
      <c r="I621" s="123"/>
    </row>
    <row r="622" spans="1:9" s="17" customFormat="1" ht="12.75" customHeight="1" x14ac:dyDescent="0.2">
      <c r="A622" s="65">
        <v>613</v>
      </c>
      <c r="B622" s="60"/>
      <c r="C622" s="117" t="s">
        <v>4172</v>
      </c>
      <c r="D622" s="118"/>
      <c r="E622" s="119"/>
      <c r="F622" s="113" t="s">
        <v>76</v>
      </c>
      <c r="G622" s="114"/>
      <c r="H622" s="115">
        <v>16.5</v>
      </c>
      <c r="I622" s="116"/>
    </row>
    <row r="623" spans="1:9" s="17" customFormat="1" ht="12.75" customHeight="1" x14ac:dyDescent="0.2">
      <c r="A623" s="65">
        <v>614</v>
      </c>
      <c r="B623" s="60"/>
      <c r="C623" s="112" t="s">
        <v>559</v>
      </c>
      <c r="D623" s="112"/>
      <c r="E623" s="112"/>
      <c r="F623" s="124" t="s">
        <v>36</v>
      </c>
      <c r="G623" s="124"/>
      <c r="H623" s="123">
        <v>43</v>
      </c>
      <c r="I623" s="123"/>
    </row>
    <row r="624" spans="1:9" s="17" customFormat="1" ht="12.75" customHeight="1" x14ac:dyDescent="0.2">
      <c r="A624" s="65">
        <v>615</v>
      </c>
      <c r="B624" s="60"/>
      <c r="C624" s="117" t="s">
        <v>3727</v>
      </c>
      <c r="D624" s="118"/>
      <c r="E624" s="119"/>
      <c r="F624" s="113" t="s">
        <v>76</v>
      </c>
      <c r="G624" s="114"/>
      <c r="H624" s="115">
        <f>88+3.8+24.2-95.2-17</f>
        <v>3.7999999999999972</v>
      </c>
      <c r="I624" s="116"/>
    </row>
    <row r="625" spans="1:9" s="17" customFormat="1" ht="12.75" customHeight="1" x14ac:dyDescent="0.2">
      <c r="A625" s="65">
        <v>616</v>
      </c>
      <c r="B625" s="60" t="s">
        <v>2242</v>
      </c>
      <c r="C625" s="112" t="s">
        <v>3979</v>
      </c>
      <c r="D625" s="112"/>
      <c r="E625" s="112"/>
      <c r="F625" s="113" t="s">
        <v>29</v>
      </c>
      <c r="G625" s="114"/>
      <c r="H625" s="123">
        <v>18.3</v>
      </c>
      <c r="I625" s="123"/>
    </row>
    <row r="626" spans="1:9" s="17" customFormat="1" ht="12.75" customHeight="1" x14ac:dyDescent="0.2">
      <c r="A626" s="65">
        <v>617</v>
      </c>
      <c r="B626" s="60"/>
      <c r="C626" s="117" t="s">
        <v>2406</v>
      </c>
      <c r="D626" s="118"/>
      <c r="E626" s="119"/>
      <c r="F626" s="113" t="s">
        <v>76</v>
      </c>
      <c r="G626" s="114"/>
      <c r="H626" s="115">
        <f>256.8-2.9-29</f>
        <v>224.9</v>
      </c>
      <c r="I626" s="116"/>
    </row>
    <row r="627" spans="1:9" s="17" customFormat="1" ht="12.75" customHeight="1" x14ac:dyDescent="0.2">
      <c r="A627" s="65">
        <v>618</v>
      </c>
      <c r="B627" s="60"/>
      <c r="C627" s="117" t="s">
        <v>2893</v>
      </c>
      <c r="D627" s="118"/>
      <c r="E627" s="119"/>
      <c r="F627" s="113" t="s">
        <v>76</v>
      </c>
      <c r="G627" s="114"/>
      <c r="H627" s="115">
        <f>63.5-8.3</f>
        <v>55.2</v>
      </c>
      <c r="I627" s="116"/>
    </row>
    <row r="628" spans="1:9" s="17" customFormat="1" ht="12.75" customHeight="1" x14ac:dyDescent="0.2">
      <c r="A628" s="65">
        <v>619</v>
      </c>
      <c r="B628" s="60"/>
      <c r="C628" s="112" t="s">
        <v>578</v>
      </c>
      <c r="D628" s="112"/>
      <c r="E628" s="112"/>
      <c r="F628" s="124" t="s">
        <v>56</v>
      </c>
      <c r="G628" s="124"/>
      <c r="H628" s="123">
        <v>5.8</v>
      </c>
      <c r="I628" s="123"/>
    </row>
    <row r="629" spans="1:9" s="17" customFormat="1" ht="12.75" customHeight="1" x14ac:dyDescent="0.2">
      <c r="A629" s="65">
        <v>620</v>
      </c>
      <c r="B629" s="60"/>
      <c r="C629" s="112" t="s">
        <v>1177</v>
      </c>
      <c r="D629" s="112"/>
      <c r="E629" s="112"/>
      <c r="F629" s="124" t="s">
        <v>36</v>
      </c>
      <c r="G629" s="124"/>
      <c r="H629" s="123">
        <v>31.2</v>
      </c>
      <c r="I629" s="123"/>
    </row>
    <row r="630" spans="1:9" s="17" customFormat="1" ht="12.75" customHeight="1" x14ac:dyDescent="0.2">
      <c r="A630" s="65">
        <v>621</v>
      </c>
      <c r="B630" s="60"/>
      <c r="C630" s="117" t="s">
        <v>3766</v>
      </c>
      <c r="D630" s="118"/>
      <c r="E630" s="119"/>
      <c r="F630" s="113" t="s">
        <v>133</v>
      </c>
      <c r="G630" s="114"/>
      <c r="H630" s="115">
        <f>21.8-10.8</f>
        <v>11</v>
      </c>
      <c r="I630" s="116"/>
    </row>
    <row r="631" spans="1:9" s="17" customFormat="1" ht="12.75" customHeight="1" x14ac:dyDescent="0.2">
      <c r="A631" s="65">
        <v>622</v>
      </c>
      <c r="B631" s="60"/>
      <c r="C631" s="117" t="s">
        <v>1676</v>
      </c>
      <c r="D631" s="118"/>
      <c r="E631" s="119"/>
      <c r="F631" s="124" t="s">
        <v>31</v>
      </c>
      <c r="G631" s="124"/>
      <c r="H631" s="115">
        <v>42</v>
      </c>
      <c r="I631" s="116"/>
    </row>
    <row r="632" spans="1:9" s="17" customFormat="1" ht="12.75" customHeight="1" x14ac:dyDescent="0.2">
      <c r="A632" s="65">
        <v>623</v>
      </c>
      <c r="B632" s="60"/>
      <c r="C632" s="117" t="s">
        <v>1655</v>
      </c>
      <c r="D632" s="118"/>
      <c r="E632" s="119"/>
      <c r="F632" s="121" t="s">
        <v>17</v>
      </c>
      <c r="G632" s="122"/>
      <c r="H632" s="115">
        <f>45-2.6</f>
        <v>42.4</v>
      </c>
      <c r="I632" s="116"/>
    </row>
    <row r="633" spans="1:9" s="17" customFormat="1" ht="12.75" customHeight="1" x14ac:dyDescent="0.2">
      <c r="A633" s="65">
        <v>624</v>
      </c>
      <c r="B633" s="60"/>
      <c r="C633" s="112" t="s">
        <v>2315</v>
      </c>
      <c r="D633" s="112"/>
      <c r="E633" s="112"/>
      <c r="F633" s="113" t="s">
        <v>76</v>
      </c>
      <c r="G633" s="114"/>
      <c r="H633" s="123">
        <f>13.8+2.6-11.8-3+6.4+4.5-10.4+3.3-2.1+29.2-3.3+5.9-0.3-3.5+3.5-1.5-1.5+0.1-3-7</f>
        <v>21.900000000000006</v>
      </c>
      <c r="I633" s="123"/>
    </row>
    <row r="634" spans="1:9" s="17" customFormat="1" ht="11.25" customHeight="1" x14ac:dyDescent="0.2">
      <c r="A634" s="65">
        <v>625</v>
      </c>
      <c r="B634" s="60"/>
      <c r="C634" s="120" t="s">
        <v>3176</v>
      </c>
      <c r="D634" s="120"/>
      <c r="E634" s="120"/>
      <c r="F634" s="125" t="s">
        <v>59</v>
      </c>
      <c r="G634" s="125"/>
      <c r="H634" s="123">
        <f>85-9.2-1.6</f>
        <v>74.2</v>
      </c>
      <c r="I634" s="123"/>
    </row>
    <row r="635" spans="1:9" s="17" customFormat="1" ht="12.75" customHeight="1" x14ac:dyDescent="0.2">
      <c r="A635" s="65">
        <v>626</v>
      </c>
      <c r="B635" s="60" t="s">
        <v>2241</v>
      </c>
      <c r="C635" s="112" t="s">
        <v>3694</v>
      </c>
      <c r="D635" s="112"/>
      <c r="E635" s="112"/>
      <c r="F635" s="124" t="s">
        <v>291</v>
      </c>
      <c r="G635" s="124"/>
      <c r="H635" s="123">
        <f>22.7-6.4-11.1</f>
        <v>5.1999999999999975</v>
      </c>
      <c r="I635" s="123"/>
    </row>
    <row r="636" spans="1:9" s="17" customFormat="1" ht="12.75" customHeight="1" x14ac:dyDescent="0.2">
      <c r="A636" s="65">
        <v>627</v>
      </c>
      <c r="B636" s="60" t="s">
        <v>2224</v>
      </c>
      <c r="C636" s="117" t="s">
        <v>5058</v>
      </c>
      <c r="D636" s="118"/>
      <c r="E636" s="119"/>
      <c r="F636" s="113" t="s">
        <v>76</v>
      </c>
      <c r="G636" s="114"/>
      <c r="H636" s="115">
        <v>45</v>
      </c>
      <c r="I636" s="116"/>
    </row>
    <row r="637" spans="1:9" s="17" customFormat="1" ht="12.75" customHeight="1" x14ac:dyDescent="0.2">
      <c r="A637" s="65">
        <v>628</v>
      </c>
      <c r="B637" s="60" t="s">
        <v>2934</v>
      </c>
      <c r="C637" s="120" t="s">
        <v>5313</v>
      </c>
      <c r="D637" s="126"/>
      <c r="E637" s="127"/>
      <c r="F637" s="113" t="s">
        <v>57</v>
      </c>
      <c r="G637" s="114"/>
      <c r="H637" s="123">
        <v>16.600000000000001</v>
      </c>
      <c r="I637" s="123"/>
    </row>
    <row r="638" spans="1:9" s="17" customFormat="1" ht="12.75" customHeight="1" x14ac:dyDescent="0.2">
      <c r="A638" s="65">
        <v>629</v>
      </c>
      <c r="B638" s="60"/>
      <c r="C638" s="117" t="s">
        <v>2744</v>
      </c>
      <c r="D638" s="118"/>
      <c r="E638" s="119"/>
      <c r="F638" s="121" t="s">
        <v>56</v>
      </c>
      <c r="G638" s="122"/>
      <c r="H638" s="115">
        <f>29.3-4-20.3+0.1</f>
        <v>5.0999999999999996</v>
      </c>
      <c r="I638" s="116"/>
    </row>
    <row r="639" spans="1:9" s="17" customFormat="1" ht="12.75" customHeight="1" x14ac:dyDescent="0.2">
      <c r="A639" s="65">
        <v>630</v>
      </c>
      <c r="B639" s="60"/>
      <c r="C639" s="117" t="s">
        <v>4119</v>
      </c>
      <c r="D639" s="118"/>
      <c r="E639" s="119"/>
      <c r="F639" s="113" t="s">
        <v>76</v>
      </c>
      <c r="G639" s="114"/>
      <c r="H639" s="115">
        <v>5.5</v>
      </c>
      <c r="I639" s="116"/>
    </row>
    <row r="640" spans="1:9" s="17" customFormat="1" ht="12.75" customHeight="1" x14ac:dyDescent="0.2">
      <c r="A640" s="65">
        <v>631</v>
      </c>
      <c r="B640" s="60" t="s">
        <v>2242</v>
      </c>
      <c r="C640" s="117" t="s">
        <v>5156</v>
      </c>
      <c r="D640" s="118"/>
      <c r="E640" s="119"/>
      <c r="F640" s="113" t="s">
        <v>76</v>
      </c>
      <c r="G640" s="114"/>
      <c r="H640" s="115">
        <f>20.4+9.9</f>
        <v>30.299999999999997</v>
      </c>
      <c r="I640" s="116"/>
    </row>
    <row r="641" spans="1:9" s="17" customFormat="1" ht="11.25" x14ac:dyDescent="0.2">
      <c r="A641" s="65">
        <v>632</v>
      </c>
      <c r="B641" s="60"/>
      <c r="C641" s="112" t="s">
        <v>1982</v>
      </c>
      <c r="D641" s="112"/>
      <c r="E641" s="112"/>
      <c r="F641" s="113" t="s">
        <v>76</v>
      </c>
      <c r="G641" s="114"/>
      <c r="H641" s="123"/>
      <c r="I641" s="123"/>
    </row>
    <row r="642" spans="1:9" s="17" customFormat="1" ht="12.75" customHeight="1" x14ac:dyDescent="0.2">
      <c r="A642" s="65">
        <v>633</v>
      </c>
      <c r="B642" s="60"/>
      <c r="C642" s="112" t="s">
        <v>299</v>
      </c>
      <c r="D642" s="112"/>
      <c r="E642" s="112"/>
      <c r="F642" s="113" t="s">
        <v>76</v>
      </c>
      <c r="G642" s="114"/>
      <c r="H642" s="123"/>
      <c r="I642" s="123"/>
    </row>
    <row r="643" spans="1:9" s="17" customFormat="1" ht="12.75" customHeight="1" x14ac:dyDescent="0.2">
      <c r="A643" s="65">
        <v>634</v>
      </c>
      <c r="B643" s="60" t="s">
        <v>2241</v>
      </c>
      <c r="C643" s="112" t="s">
        <v>2246</v>
      </c>
      <c r="D643" s="112"/>
      <c r="E643" s="112"/>
      <c r="F643" s="121" t="s">
        <v>30</v>
      </c>
      <c r="G643" s="122"/>
      <c r="H643" s="123">
        <f>778-515.6-1.4-80-7.5+47.5-17.2-37.1-45.3-36.3-9.4</f>
        <v>75.700000000000017</v>
      </c>
      <c r="I643" s="123"/>
    </row>
    <row r="644" spans="1:9" s="17" customFormat="1" ht="12.75" customHeight="1" x14ac:dyDescent="0.2">
      <c r="A644" s="65">
        <v>635</v>
      </c>
      <c r="B644" s="60"/>
      <c r="C644" s="117" t="s">
        <v>343</v>
      </c>
      <c r="D644" s="118"/>
      <c r="E644" s="119"/>
      <c r="F644" s="68" t="s">
        <v>76</v>
      </c>
      <c r="G644" s="69"/>
      <c r="H644" s="115"/>
      <c r="I644" s="116"/>
    </row>
    <row r="645" spans="1:9" s="17" customFormat="1" ht="12.75" customHeight="1" x14ac:dyDescent="0.2">
      <c r="A645" s="65">
        <v>636</v>
      </c>
      <c r="B645" s="60"/>
      <c r="C645" s="117" t="s">
        <v>1543</v>
      </c>
      <c r="D645" s="118"/>
      <c r="E645" s="119"/>
      <c r="F645" s="113" t="s">
        <v>184</v>
      </c>
      <c r="G645" s="114"/>
      <c r="H645" s="115">
        <f>29.9-15</f>
        <v>14.899999999999999</v>
      </c>
      <c r="I645" s="116"/>
    </row>
    <row r="646" spans="1:9" s="17" customFormat="1" ht="12.75" customHeight="1" x14ac:dyDescent="0.2">
      <c r="A646" s="65">
        <v>637</v>
      </c>
      <c r="B646" s="60"/>
      <c r="C646" s="120" t="s">
        <v>1656</v>
      </c>
      <c r="D646" s="120"/>
      <c r="E646" s="120"/>
      <c r="F646" s="124" t="s">
        <v>271</v>
      </c>
      <c r="G646" s="124"/>
      <c r="H646" s="123">
        <f>64.5-9.2-9.2-9.2</f>
        <v>36.899999999999991</v>
      </c>
      <c r="I646" s="123"/>
    </row>
    <row r="647" spans="1:9" s="17" customFormat="1" ht="12.75" customHeight="1" x14ac:dyDescent="0.2">
      <c r="A647" s="65">
        <v>638</v>
      </c>
      <c r="B647" s="60"/>
      <c r="C647" s="112" t="s">
        <v>3124</v>
      </c>
      <c r="D647" s="112"/>
      <c r="E647" s="112"/>
      <c r="F647" s="121" t="s">
        <v>56</v>
      </c>
      <c r="G647" s="122"/>
      <c r="H647" s="123">
        <v>21</v>
      </c>
      <c r="I647" s="123"/>
    </row>
    <row r="648" spans="1:9" s="17" customFormat="1" ht="11.25" customHeight="1" x14ac:dyDescent="0.2">
      <c r="A648" s="65">
        <v>639</v>
      </c>
      <c r="B648" s="60"/>
      <c r="C648" s="120" t="s">
        <v>3825</v>
      </c>
      <c r="D648" s="126"/>
      <c r="E648" s="127"/>
      <c r="F648" s="113" t="s">
        <v>76</v>
      </c>
      <c r="G648" s="114"/>
      <c r="H648" s="123">
        <f>17-12.5</f>
        <v>4.5</v>
      </c>
      <c r="I648" s="116"/>
    </row>
    <row r="649" spans="1:9" s="17" customFormat="1" ht="12.75" customHeight="1" x14ac:dyDescent="0.2">
      <c r="A649" s="65">
        <v>640</v>
      </c>
      <c r="B649" s="60" t="s">
        <v>2258</v>
      </c>
      <c r="C649" s="120" t="s">
        <v>5343</v>
      </c>
      <c r="D649" s="126"/>
      <c r="E649" s="127"/>
      <c r="F649" s="113" t="s">
        <v>76</v>
      </c>
      <c r="G649" s="114"/>
      <c r="H649" s="123">
        <f>5.4+18.5+25-2.2-4.5-21.6</f>
        <v>20.599999999999994</v>
      </c>
      <c r="I649" s="116"/>
    </row>
    <row r="650" spans="1:9" s="17" customFormat="1" ht="11.25" customHeight="1" x14ac:dyDescent="0.2">
      <c r="A650" s="65">
        <v>641</v>
      </c>
      <c r="B650" s="60" t="s">
        <v>3545</v>
      </c>
      <c r="C650" s="120" t="s">
        <v>3546</v>
      </c>
      <c r="D650" s="126"/>
      <c r="E650" s="127"/>
      <c r="F650" s="113" t="s">
        <v>76</v>
      </c>
      <c r="G650" s="114"/>
      <c r="H650" s="123">
        <v>4</v>
      </c>
      <c r="I650" s="116"/>
    </row>
    <row r="651" spans="1:9" s="17" customFormat="1" ht="12.75" customHeight="1" x14ac:dyDescent="0.2">
      <c r="A651" s="65">
        <v>642</v>
      </c>
      <c r="B651" s="60" t="s">
        <v>2934</v>
      </c>
      <c r="C651" s="117" t="s">
        <v>5311</v>
      </c>
      <c r="D651" s="118"/>
      <c r="E651" s="119"/>
      <c r="F651" s="121" t="s">
        <v>271</v>
      </c>
      <c r="G651" s="122"/>
      <c r="H651" s="123">
        <v>12.3</v>
      </c>
      <c r="I651" s="123"/>
    </row>
    <row r="652" spans="1:9" s="17" customFormat="1" ht="12.75" customHeight="1" x14ac:dyDescent="0.2">
      <c r="A652" s="65">
        <v>643</v>
      </c>
      <c r="B652" s="60"/>
      <c r="C652" s="120" t="s">
        <v>3974</v>
      </c>
      <c r="D652" s="126"/>
      <c r="E652" s="127"/>
      <c r="F652" s="125" t="s">
        <v>76</v>
      </c>
      <c r="G652" s="125"/>
      <c r="H652" s="123">
        <v>6.9</v>
      </c>
      <c r="I652" s="123"/>
    </row>
    <row r="653" spans="1:9" s="17" customFormat="1" ht="11.25" customHeight="1" x14ac:dyDescent="0.2">
      <c r="A653" s="65">
        <v>644</v>
      </c>
      <c r="B653" s="60"/>
      <c r="C653" s="120" t="s">
        <v>1754</v>
      </c>
      <c r="D653" s="126"/>
      <c r="E653" s="127"/>
      <c r="F653" s="113" t="s">
        <v>76</v>
      </c>
      <c r="G653" s="114"/>
      <c r="H653" s="123">
        <v>5</v>
      </c>
      <c r="I653" s="116"/>
    </row>
    <row r="654" spans="1:9" s="17" customFormat="1" ht="11.25" customHeight="1" x14ac:dyDescent="0.2">
      <c r="A654" s="65">
        <v>645</v>
      </c>
      <c r="B654" s="60"/>
      <c r="C654" s="120" t="s">
        <v>3496</v>
      </c>
      <c r="D654" s="126"/>
      <c r="E654" s="127"/>
      <c r="F654" s="113" t="s">
        <v>76</v>
      </c>
      <c r="G654" s="114"/>
      <c r="H654" s="123">
        <v>6</v>
      </c>
      <c r="I654" s="116"/>
    </row>
    <row r="655" spans="1:9" s="17" customFormat="1" ht="12.75" customHeight="1" x14ac:dyDescent="0.2">
      <c r="A655" s="65">
        <v>646</v>
      </c>
      <c r="B655" s="60"/>
      <c r="C655" s="117" t="s">
        <v>441</v>
      </c>
      <c r="D655" s="118"/>
      <c r="E655" s="119"/>
      <c r="F655" s="113" t="s">
        <v>76</v>
      </c>
      <c r="G655" s="114"/>
      <c r="H655" s="115"/>
      <c r="I655" s="116"/>
    </row>
    <row r="656" spans="1:9" s="17" customFormat="1" ht="12.75" customHeight="1" x14ac:dyDescent="0.2">
      <c r="A656" s="65">
        <v>647</v>
      </c>
      <c r="B656" s="60"/>
      <c r="C656" s="112" t="s">
        <v>610</v>
      </c>
      <c r="D656" s="112"/>
      <c r="E656" s="112"/>
      <c r="F656" s="124" t="s">
        <v>200</v>
      </c>
      <c r="G656" s="124"/>
      <c r="H656" s="123">
        <f>5.9+7</f>
        <v>12.9</v>
      </c>
      <c r="I656" s="123"/>
    </row>
    <row r="657" spans="1:9" s="17" customFormat="1" ht="12.75" customHeight="1" x14ac:dyDescent="0.2">
      <c r="A657" s="65">
        <v>648</v>
      </c>
      <c r="B657" s="60" t="s">
        <v>2224</v>
      </c>
      <c r="C657" s="120" t="s">
        <v>4320</v>
      </c>
      <c r="D657" s="126"/>
      <c r="E657" s="127"/>
      <c r="F657" s="113" t="s">
        <v>29</v>
      </c>
      <c r="G657" s="114"/>
      <c r="H657" s="123">
        <v>10.7</v>
      </c>
      <c r="I657" s="123"/>
    </row>
    <row r="658" spans="1:9" s="17" customFormat="1" ht="11.25" customHeight="1" x14ac:dyDescent="0.2">
      <c r="A658" s="65">
        <v>649</v>
      </c>
      <c r="B658" s="60"/>
      <c r="C658" s="120" t="s">
        <v>2748</v>
      </c>
      <c r="D658" s="126"/>
      <c r="E658" s="127"/>
      <c r="F658" s="113" t="s">
        <v>76</v>
      </c>
      <c r="G658" s="114"/>
      <c r="H658" s="123">
        <f>94.2-17.2-8.4-25.8-8.7-8.7</f>
        <v>25.399999999999995</v>
      </c>
      <c r="I658" s="116"/>
    </row>
    <row r="659" spans="1:9" s="17" customFormat="1" ht="11.25" customHeight="1" x14ac:dyDescent="0.2">
      <c r="A659" s="65">
        <v>650</v>
      </c>
      <c r="B659" s="60"/>
      <c r="C659" s="120" t="s">
        <v>4663</v>
      </c>
      <c r="D659" s="126"/>
      <c r="E659" s="127"/>
      <c r="F659" s="113" t="s">
        <v>76</v>
      </c>
      <c r="G659" s="114"/>
      <c r="H659" s="123">
        <v>11.7</v>
      </c>
      <c r="I659" s="116"/>
    </row>
    <row r="660" spans="1:9" s="17" customFormat="1" ht="11.25" customHeight="1" x14ac:dyDescent="0.2">
      <c r="A660" s="65">
        <v>651</v>
      </c>
      <c r="B660" s="60"/>
      <c r="C660" s="120" t="s">
        <v>3199</v>
      </c>
      <c r="D660" s="126"/>
      <c r="E660" s="127"/>
      <c r="F660" s="113" t="s">
        <v>76</v>
      </c>
      <c r="G660" s="114"/>
      <c r="H660" s="123">
        <f>12.6+6.2+6.6+6.4</f>
        <v>31.799999999999997</v>
      </c>
      <c r="I660" s="116"/>
    </row>
    <row r="661" spans="1:9" s="16" customFormat="1" ht="12" customHeight="1" x14ac:dyDescent="0.2">
      <c r="A661" s="65">
        <v>652</v>
      </c>
      <c r="B661" s="60"/>
      <c r="C661" s="117" t="s">
        <v>3355</v>
      </c>
      <c r="D661" s="118"/>
      <c r="E661" s="119"/>
      <c r="F661" s="125" t="s">
        <v>483</v>
      </c>
      <c r="G661" s="125"/>
      <c r="H661" s="123">
        <f>3.2+6.8-3.2+4.4</f>
        <v>11.2</v>
      </c>
      <c r="I661" s="123"/>
    </row>
    <row r="662" spans="1:9" s="17" customFormat="1" ht="12.75" customHeight="1" x14ac:dyDescent="0.2">
      <c r="A662" s="65">
        <v>653</v>
      </c>
      <c r="B662" s="60" t="s">
        <v>2876</v>
      </c>
      <c r="C662" s="120" t="s">
        <v>5287</v>
      </c>
      <c r="D662" s="126"/>
      <c r="E662" s="127"/>
      <c r="F662" s="113" t="s">
        <v>57</v>
      </c>
      <c r="G662" s="114"/>
      <c r="H662" s="123">
        <v>59.5</v>
      </c>
      <c r="I662" s="123"/>
    </row>
    <row r="663" spans="1:9" s="17" customFormat="1" ht="12.75" customHeight="1" x14ac:dyDescent="0.2">
      <c r="A663" s="65">
        <v>654</v>
      </c>
      <c r="B663" s="60" t="s">
        <v>2876</v>
      </c>
      <c r="C663" s="120" t="s">
        <v>5337</v>
      </c>
      <c r="D663" s="126"/>
      <c r="E663" s="127"/>
      <c r="F663" s="113" t="s">
        <v>57</v>
      </c>
      <c r="G663" s="114"/>
      <c r="H663" s="123">
        <v>49.1</v>
      </c>
      <c r="I663" s="123"/>
    </row>
    <row r="664" spans="1:9" s="17" customFormat="1" ht="11.25" customHeight="1" x14ac:dyDescent="0.2">
      <c r="A664" s="65">
        <v>655</v>
      </c>
      <c r="B664" s="60"/>
      <c r="C664" s="120" t="s">
        <v>4531</v>
      </c>
      <c r="D664" s="126"/>
      <c r="E664" s="127"/>
      <c r="F664" s="113" t="s">
        <v>57</v>
      </c>
      <c r="G664" s="114"/>
      <c r="H664" s="123">
        <f>11.5-2.7-2+40.6-3-3.5</f>
        <v>40.900000000000006</v>
      </c>
      <c r="I664" s="116"/>
    </row>
    <row r="665" spans="1:9" s="17" customFormat="1" ht="12.75" customHeight="1" x14ac:dyDescent="0.2">
      <c r="A665" s="65">
        <v>656</v>
      </c>
      <c r="B665" s="60"/>
      <c r="C665" s="120" t="s">
        <v>3428</v>
      </c>
      <c r="D665" s="126"/>
      <c r="E665" s="127"/>
      <c r="F665" s="125" t="s">
        <v>76</v>
      </c>
      <c r="G665" s="125"/>
      <c r="H665" s="123">
        <f>8.5+7.1</f>
        <v>15.6</v>
      </c>
      <c r="I665" s="123"/>
    </row>
    <row r="666" spans="1:9" s="17" customFormat="1" ht="12.75" customHeight="1" x14ac:dyDescent="0.2">
      <c r="A666" s="65">
        <v>657</v>
      </c>
      <c r="B666" s="60"/>
      <c r="C666" s="120" t="s">
        <v>4328</v>
      </c>
      <c r="D666" s="126"/>
      <c r="E666" s="127"/>
      <c r="F666" s="125" t="s">
        <v>76</v>
      </c>
      <c r="G666" s="125"/>
      <c r="H666" s="123">
        <f>9.3+7.4</f>
        <v>16.700000000000003</v>
      </c>
      <c r="I666" s="123"/>
    </row>
    <row r="667" spans="1:9" s="17" customFormat="1" ht="11.25" customHeight="1" x14ac:dyDescent="0.2">
      <c r="A667" s="65">
        <v>658</v>
      </c>
      <c r="B667" s="60"/>
      <c r="C667" s="120" t="s">
        <v>5090</v>
      </c>
      <c r="D667" s="126"/>
      <c r="E667" s="127"/>
      <c r="F667" s="113" t="s">
        <v>76</v>
      </c>
      <c r="G667" s="114"/>
      <c r="H667" s="123">
        <v>17.399999999999999</v>
      </c>
      <c r="I667" s="116"/>
    </row>
    <row r="668" spans="1:9" s="17" customFormat="1" ht="12.75" customHeight="1" x14ac:dyDescent="0.2">
      <c r="A668" s="65">
        <v>659</v>
      </c>
      <c r="B668" s="60"/>
      <c r="C668" s="117" t="s">
        <v>5072</v>
      </c>
      <c r="D668" s="118"/>
      <c r="E668" s="119"/>
      <c r="F668" s="121" t="s">
        <v>56</v>
      </c>
      <c r="G668" s="122"/>
      <c r="H668" s="115">
        <f>19.2-4.4-9.7</f>
        <v>5.0999999999999996</v>
      </c>
      <c r="I668" s="116"/>
    </row>
    <row r="669" spans="1:9" s="17" customFormat="1" ht="12.75" customHeight="1" x14ac:dyDescent="0.2">
      <c r="A669" s="65">
        <v>660</v>
      </c>
      <c r="B669" s="60" t="s">
        <v>2241</v>
      </c>
      <c r="C669" s="117" t="s">
        <v>3218</v>
      </c>
      <c r="D669" s="118"/>
      <c r="E669" s="119"/>
      <c r="F669" s="121" t="s">
        <v>31</v>
      </c>
      <c r="G669" s="122"/>
      <c r="H669" s="115">
        <f>196.5-9.4+122-9+53.9-7.5-42.2-9.3-9.9-9.9-35.8-8.7-9.7-0.9-29.3-8.5-9.5-9-9.6-23.8-9.7-19.6-19.5-41.7+0.1-9-17.2+1.5</f>
        <v>15.300000000000022</v>
      </c>
      <c r="I669" s="116"/>
    </row>
    <row r="670" spans="1:9" s="17" customFormat="1" ht="12.75" customHeight="1" x14ac:dyDescent="0.2">
      <c r="A670" s="65">
        <v>661</v>
      </c>
      <c r="B670" s="60"/>
      <c r="C670" s="117" t="s">
        <v>1677</v>
      </c>
      <c r="D670" s="118"/>
      <c r="E670" s="119"/>
      <c r="F670" s="121" t="s">
        <v>31</v>
      </c>
      <c r="G670" s="122"/>
      <c r="H670" s="115">
        <f>47+10.3+47.3-16.6-6.9+112+25.5-3.1-9-2.8-2.4-3.5-23-18.4-3.7</f>
        <v>152.69999999999999</v>
      </c>
      <c r="I670" s="116"/>
    </row>
    <row r="671" spans="1:9" s="17" customFormat="1" ht="12.75" customHeight="1" x14ac:dyDescent="0.2">
      <c r="A671" s="65">
        <v>662</v>
      </c>
      <c r="B671" s="60"/>
      <c r="C671" s="112" t="s">
        <v>4279</v>
      </c>
      <c r="D671" s="112"/>
      <c r="E671" s="112"/>
      <c r="F671" s="124" t="s">
        <v>200</v>
      </c>
      <c r="G671" s="124"/>
      <c r="H671" s="123">
        <v>9.6999999999999993</v>
      </c>
      <c r="I671" s="123"/>
    </row>
    <row r="672" spans="1:9" s="17" customFormat="1" ht="12.75" customHeight="1" x14ac:dyDescent="0.2">
      <c r="A672" s="65">
        <v>663</v>
      </c>
      <c r="B672" s="60"/>
      <c r="C672" s="112" t="s">
        <v>631</v>
      </c>
      <c r="D672" s="112"/>
      <c r="E672" s="112"/>
      <c r="F672" s="124" t="s">
        <v>200</v>
      </c>
      <c r="G672" s="124"/>
      <c r="H672" s="123">
        <f>17.3-8.5-0.6</f>
        <v>8.2000000000000011</v>
      </c>
      <c r="I672" s="123"/>
    </row>
    <row r="673" spans="1:9" s="17" customFormat="1" ht="12.75" customHeight="1" x14ac:dyDescent="0.2">
      <c r="A673" s="65">
        <v>664</v>
      </c>
      <c r="B673" s="60"/>
      <c r="C673" s="117" t="s">
        <v>1822</v>
      </c>
      <c r="D673" s="118"/>
      <c r="E673" s="119"/>
      <c r="F673" s="113" t="s">
        <v>76</v>
      </c>
      <c r="G673" s="114"/>
      <c r="H673" s="115">
        <f>78.7-24.5-0.5</f>
        <v>53.7</v>
      </c>
      <c r="I673" s="116"/>
    </row>
    <row r="674" spans="1:9" s="17" customFormat="1" ht="24.75" customHeight="1" x14ac:dyDescent="0.2">
      <c r="A674" s="65">
        <v>665</v>
      </c>
      <c r="B674" s="60"/>
      <c r="C674" s="117" t="s">
        <v>5209</v>
      </c>
      <c r="D674" s="118"/>
      <c r="E674" s="119"/>
      <c r="F674" s="113" t="s">
        <v>76</v>
      </c>
      <c r="G674" s="114"/>
      <c r="H674" s="115">
        <f>7.7+63.9+7.8+19+12.1+24.2-4+9.8-5.8-9.5</f>
        <v>125.19999999999999</v>
      </c>
      <c r="I674" s="116"/>
    </row>
    <row r="675" spans="1:9" s="17" customFormat="1" ht="12.75" customHeight="1" x14ac:dyDescent="0.2">
      <c r="A675" s="65">
        <v>666</v>
      </c>
      <c r="B675" s="60" t="s">
        <v>2224</v>
      </c>
      <c r="C675" s="117" t="s">
        <v>3110</v>
      </c>
      <c r="D675" s="118"/>
      <c r="E675" s="119"/>
      <c r="F675" s="113" t="s">
        <v>59</v>
      </c>
      <c r="G675" s="114"/>
      <c r="H675" s="115">
        <f>52.5-10.4</f>
        <v>42.1</v>
      </c>
      <c r="I675" s="116"/>
    </row>
    <row r="676" spans="1:9" s="17" customFormat="1" ht="12.75" customHeight="1" x14ac:dyDescent="0.2">
      <c r="A676" s="65">
        <v>667</v>
      </c>
      <c r="B676" s="60" t="s">
        <v>2224</v>
      </c>
      <c r="C676" s="117" t="s">
        <v>4456</v>
      </c>
      <c r="D676" s="118"/>
      <c r="E676" s="119"/>
      <c r="F676" s="113" t="s">
        <v>140</v>
      </c>
      <c r="G676" s="114"/>
      <c r="H676" s="115">
        <f>14.2+15.2</f>
        <v>29.4</v>
      </c>
      <c r="I676" s="116"/>
    </row>
    <row r="677" spans="1:9" s="17" customFormat="1" ht="12.75" customHeight="1" x14ac:dyDescent="0.2">
      <c r="A677" s="65">
        <v>668</v>
      </c>
      <c r="B677" s="60" t="s">
        <v>2224</v>
      </c>
      <c r="C677" s="117" t="s">
        <v>5153</v>
      </c>
      <c r="D677" s="118"/>
      <c r="E677" s="119"/>
      <c r="F677" s="113" t="s">
        <v>76</v>
      </c>
      <c r="G677" s="114"/>
      <c r="H677" s="115">
        <v>8.5</v>
      </c>
      <c r="I677" s="116"/>
    </row>
    <row r="678" spans="1:9" s="17" customFormat="1" ht="12.75" customHeight="1" x14ac:dyDescent="0.2">
      <c r="A678" s="65">
        <v>669</v>
      </c>
      <c r="B678" s="60"/>
      <c r="C678" s="112" t="s">
        <v>3809</v>
      </c>
      <c r="D678" s="112"/>
      <c r="E678" s="112"/>
      <c r="F678" s="124" t="s">
        <v>61</v>
      </c>
      <c r="G678" s="124"/>
      <c r="H678" s="123">
        <f>300-1.5-26.5-13.5-13-4-1-12.9</f>
        <v>227.6</v>
      </c>
      <c r="I678" s="123"/>
    </row>
    <row r="679" spans="1:9" s="17" customFormat="1" ht="12.75" customHeight="1" x14ac:dyDescent="0.2">
      <c r="A679" s="65">
        <v>670</v>
      </c>
      <c r="B679" s="60"/>
      <c r="C679" s="112" t="s">
        <v>1827</v>
      </c>
      <c r="D679" s="112"/>
      <c r="E679" s="112"/>
      <c r="F679" s="124" t="s">
        <v>61</v>
      </c>
      <c r="G679" s="124"/>
      <c r="H679" s="123">
        <f>62.7-12</f>
        <v>50.7</v>
      </c>
      <c r="I679" s="123"/>
    </row>
    <row r="680" spans="1:9" s="17" customFormat="1" ht="12.75" customHeight="1" x14ac:dyDescent="0.2">
      <c r="A680" s="65">
        <v>671</v>
      </c>
      <c r="B680" s="60"/>
      <c r="C680" s="112" t="s">
        <v>2095</v>
      </c>
      <c r="D680" s="112"/>
      <c r="E680" s="112"/>
      <c r="F680" s="124" t="s">
        <v>61</v>
      </c>
      <c r="G680" s="124"/>
      <c r="H680" s="123">
        <v>56.2</v>
      </c>
      <c r="I680" s="123"/>
    </row>
    <row r="681" spans="1:9" s="17" customFormat="1" ht="12.75" customHeight="1" x14ac:dyDescent="0.2">
      <c r="A681" s="65">
        <v>672</v>
      </c>
      <c r="B681" s="60" t="s">
        <v>2241</v>
      </c>
      <c r="C681" s="117" t="s">
        <v>3198</v>
      </c>
      <c r="D681" s="118"/>
      <c r="E681" s="119"/>
      <c r="F681" s="121" t="s">
        <v>291</v>
      </c>
      <c r="G681" s="122"/>
      <c r="H681" s="115">
        <v>26.6</v>
      </c>
      <c r="I681" s="116"/>
    </row>
    <row r="682" spans="1:9" s="17" customFormat="1" ht="12.75" customHeight="1" x14ac:dyDescent="0.2">
      <c r="A682" s="65">
        <v>673</v>
      </c>
      <c r="B682" s="60"/>
      <c r="C682" s="117" t="s">
        <v>1678</v>
      </c>
      <c r="D682" s="118"/>
      <c r="E682" s="119"/>
      <c r="F682" s="121" t="s">
        <v>31</v>
      </c>
      <c r="G682" s="122"/>
      <c r="H682" s="115">
        <f>54+17.5-25.2-4.5</f>
        <v>41.8</v>
      </c>
      <c r="I682" s="116"/>
    </row>
    <row r="683" spans="1:9" s="17" customFormat="1" ht="12.75" customHeight="1" x14ac:dyDescent="0.2">
      <c r="A683" s="65">
        <v>674</v>
      </c>
      <c r="B683" s="60" t="s">
        <v>2224</v>
      </c>
      <c r="C683" s="117" t="s">
        <v>5247</v>
      </c>
      <c r="D683" s="118"/>
      <c r="E683" s="119"/>
      <c r="F683" s="121" t="s">
        <v>56</v>
      </c>
      <c r="G683" s="122"/>
      <c r="H683" s="115">
        <v>31.8</v>
      </c>
      <c r="I683" s="116"/>
    </row>
    <row r="684" spans="1:9" s="17" customFormat="1" ht="12.75" customHeight="1" x14ac:dyDescent="0.2">
      <c r="A684" s="65">
        <v>675</v>
      </c>
      <c r="B684" s="60"/>
      <c r="C684" s="117" t="s">
        <v>1507</v>
      </c>
      <c r="D684" s="118"/>
      <c r="E684" s="119"/>
      <c r="F684" s="121" t="s">
        <v>56</v>
      </c>
      <c r="G684" s="122"/>
      <c r="H684" s="115">
        <f>8.3-0.8-0.4-0.5</f>
        <v>6.6000000000000005</v>
      </c>
      <c r="I684" s="116"/>
    </row>
    <row r="685" spans="1:9" s="17" customFormat="1" ht="12.75" customHeight="1" x14ac:dyDescent="0.2">
      <c r="A685" s="65">
        <v>676</v>
      </c>
      <c r="B685" s="60"/>
      <c r="C685" s="117" t="s">
        <v>4117</v>
      </c>
      <c r="D685" s="118"/>
      <c r="E685" s="119"/>
      <c r="F685" s="113" t="s">
        <v>76</v>
      </c>
      <c r="G685" s="114"/>
      <c r="H685" s="115">
        <v>12.5</v>
      </c>
      <c r="I685" s="116"/>
    </row>
    <row r="686" spans="1:9" s="17" customFormat="1" ht="12.75" customHeight="1" x14ac:dyDescent="0.2">
      <c r="A686" s="65">
        <v>677</v>
      </c>
      <c r="B686" s="60"/>
      <c r="C686" s="117" t="s">
        <v>1103</v>
      </c>
      <c r="D686" s="118"/>
      <c r="E686" s="119"/>
      <c r="F686" s="113" t="s">
        <v>76</v>
      </c>
      <c r="G686" s="114"/>
      <c r="H686" s="115"/>
      <c r="I686" s="116"/>
    </row>
    <row r="687" spans="1:9" s="17" customFormat="1" ht="12.75" customHeight="1" x14ac:dyDescent="0.2">
      <c r="A687" s="65">
        <v>678</v>
      </c>
      <c r="B687" s="60" t="s">
        <v>2224</v>
      </c>
      <c r="C687" s="117" t="s">
        <v>5246</v>
      </c>
      <c r="D687" s="118"/>
      <c r="E687" s="119"/>
      <c r="F687" s="113" t="s">
        <v>76</v>
      </c>
      <c r="G687" s="114"/>
      <c r="H687" s="115">
        <v>18.100000000000001</v>
      </c>
      <c r="I687" s="116"/>
    </row>
    <row r="688" spans="1:9" s="17" customFormat="1" ht="12.75" customHeight="1" x14ac:dyDescent="0.2">
      <c r="A688" s="65">
        <v>679</v>
      </c>
      <c r="B688" s="60" t="s">
        <v>3636</v>
      </c>
      <c r="C688" s="117" t="s">
        <v>5150</v>
      </c>
      <c r="D688" s="118"/>
      <c r="E688" s="119"/>
      <c r="F688" s="113" t="s">
        <v>76</v>
      </c>
      <c r="G688" s="114"/>
      <c r="H688" s="115">
        <v>6.6</v>
      </c>
      <c r="I688" s="116"/>
    </row>
    <row r="689" spans="1:9" s="17" customFormat="1" ht="12.75" customHeight="1" x14ac:dyDescent="0.2">
      <c r="A689" s="65">
        <v>680</v>
      </c>
      <c r="B689" s="60"/>
      <c r="C689" s="117" t="s">
        <v>582</v>
      </c>
      <c r="D689" s="118"/>
      <c r="E689" s="119"/>
      <c r="F689" s="121" t="s">
        <v>61</v>
      </c>
      <c r="G689" s="122"/>
      <c r="H689" s="115"/>
      <c r="I689" s="116"/>
    </row>
    <row r="690" spans="1:9" s="17" customFormat="1" ht="12.75" customHeight="1" x14ac:dyDescent="0.2">
      <c r="A690" s="65">
        <v>681</v>
      </c>
      <c r="B690" s="60"/>
      <c r="C690" s="120" t="s">
        <v>1679</v>
      </c>
      <c r="D690" s="120"/>
      <c r="E690" s="120"/>
      <c r="F690" s="124" t="s">
        <v>31</v>
      </c>
      <c r="G690" s="124"/>
      <c r="H690" s="123">
        <f>69+121.5-16.2-16.3-25</f>
        <v>133</v>
      </c>
      <c r="I690" s="123"/>
    </row>
    <row r="691" spans="1:9" s="17" customFormat="1" ht="12.75" customHeight="1" x14ac:dyDescent="0.2">
      <c r="A691" s="65">
        <v>682</v>
      </c>
      <c r="B691" s="60"/>
      <c r="C691" s="117" t="s">
        <v>4649</v>
      </c>
      <c r="D691" s="118"/>
      <c r="E691" s="119"/>
      <c r="F691" s="113" t="s">
        <v>62</v>
      </c>
      <c r="G691" s="114"/>
      <c r="H691" s="115">
        <f>50+27.7-7.7-18.5-17.2-9.2</f>
        <v>25.099999999999998</v>
      </c>
      <c r="I691" s="116"/>
    </row>
    <row r="692" spans="1:9" s="17" customFormat="1" ht="12.75" customHeight="1" x14ac:dyDescent="0.2">
      <c r="A692" s="65">
        <v>683</v>
      </c>
      <c r="B692" s="60"/>
      <c r="C692" s="117" t="s">
        <v>2780</v>
      </c>
      <c r="D692" s="118"/>
      <c r="E692" s="119"/>
      <c r="F692" s="121" t="s">
        <v>61</v>
      </c>
      <c r="G692" s="122"/>
      <c r="H692" s="115">
        <f>462.5-13-8.6-8.8-8.8-3.1-8.5-12.7-44.6-28.1-8.6-11-51.4-20.4-17.2-99.7</f>
        <v>117.99999999999987</v>
      </c>
      <c r="I692" s="116"/>
    </row>
    <row r="693" spans="1:9" s="17" customFormat="1" ht="12.75" customHeight="1" x14ac:dyDescent="0.2">
      <c r="A693" s="65">
        <v>684</v>
      </c>
      <c r="B693" s="60"/>
      <c r="C693" s="117" t="s">
        <v>4883</v>
      </c>
      <c r="D693" s="118"/>
      <c r="E693" s="119"/>
      <c r="F693" s="125" t="s">
        <v>483</v>
      </c>
      <c r="G693" s="125"/>
      <c r="H693" s="115">
        <f>38.4+4.6+4.8-4.8+8.8-1.7-12.3+6.3-6.3-7.1</f>
        <v>30.699999999999996</v>
      </c>
      <c r="I693" s="116"/>
    </row>
    <row r="694" spans="1:9" s="17" customFormat="1" ht="12.75" customHeight="1" x14ac:dyDescent="0.2">
      <c r="A694" s="65">
        <v>685</v>
      </c>
      <c r="B694" s="60"/>
      <c r="C694" s="117" t="s">
        <v>2687</v>
      </c>
      <c r="D694" s="118"/>
      <c r="E694" s="119"/>
      <c r="F694" s="125" t="s">
        <v>483</v>
      </c>
      <c r="G694" s="125"/>
      <c r="H694" s="115">
        <v>8.4</v>
      </c>
      <c r="I694" s="116"/>
    </row>
    <row r="695" spans="1:9" s="17" customFormat="1" ht="12.75" customHeight="1" x14ac:dyDescent="0.2">
      <c r="A695" s="65">
        <v>686</v>
      </c>
      <c r="B695" s="60"/>
      <c r="C695" s="117" t="s">
        <v>2480</v>
      </c>
      <c r="D695" s="118"/>
      <c r="E695" s="119"/>
      <c r="F695" s="125" t="s">
        <v>483</v>
      </c>
      <c r="G695" s="125"/>
      <c r="H695" s="115">
        <f>25.8+43.6+90-15.7+45.5+40.5-1.4+28.5-8</f>
        <v>248.8</v>
      </c>
      <c r="I695" s="116"/>
    </row>
    <row r="696" spans="1:9" s="17" customFormat="1" ht="12.75" customHeight="1" x14ac:dyDescent="0.2">
      <c r="A696" s="65">
        <v>687</v>
      </c>
      <c r="B696" s="60"/>
      <c r="C696" s="117" t="s">
        <v>4557</v>
      </c>
      <c r="D696" s="118"/>
      <c r="E696" s="119"/>
      <c r="F696" s="125" t="s">
        <v>184</v>
      </c>
      <c r="G696" s="125"/>
      <c r="H696" s="115">
        <f>6.4-2.6</f>
        <v>3.8000000000000003</v>
      </c>
      <c r="I696" s="116"/>
    </row>
    <row r="697" spans="1:9" s="17" customFormat="1" ht="12.75" customHeight="1" x14ac:dyDescent="0.2">
      <c r="A697" s="65">
        <v>688</v>
      </c>
      <c r="B697" s="60"/>
      <c r="C697" s="117" t="s">
        <v>3241</v>
      </c>
      <c r="D697" s="118"/>
      <c r="E697" s="119"/>
      <c r="F697" s="124" t="s">
        <v>42</v>
      </c>
      <c r="G697" s="124"/>
      <c r="H697" s="115">
        <f>66.3-16.5-41+0.2-0.9-2.6+8.4-2.8+4.6-5.6-4.6</f>
        <v>5.4999999999999982</v>
      </c>
      <c r="I697" s="116"/>
    </row>
    <row r="698" spans="1:9" s="17" customFormat="1" ht="12.75" customHeight="1" x14ac:dyDescent="0.2">
      <c r="A698" s="65">
        <v>689</v>
      </c>
      <c r="B698" s="60"/>
      <c r="C698" s="117" t="s">
        <v>2778</v>
      </c>
      <c r="D698" s="118"/>
      <c r="E698" s="119"/>
      <c r="F698" s="124" t="s">
        <v>42</v>
      </c>
      <c r="G698" s="124"/>
      <c r="H698" s="115">
        <f>17.6-5.2</f>
        <v>12.400000000000002</v>
      </c>
      <c r="I698" s="116"/>
    </row>
    <row r="699" spans="1:9" s="17" customFormat="1" ht="12.75" customHeight="1" x14ac:dyDescent="0.2">
      <c r="A699" s="65">
        <v>690</v>
      </c>
      <c r="B699" s="60" t="s">
        <v>2258</v>
      </c>
      <c r="C699" s="117" t="s">
        <v>3963</v>
      </c>
      <c r="D699" s="118"/>
      <c r="E699" s="119"/>
      <c r="F699" s="125" t="s">
        <v>29</v>
      </c>
      <c r="G699" s="125"/>
      <c r="H699" s="115">
        <f>27.6-13.6</f>
        <v>14.000000000000002</v>
      </c>
      <c r="I699" s="116"/>
    </row>
    <row r="700" spans="1:9" s="17" customFormat="1" ht="12.75" customHeight="1" x14ac:dyDescent="0.2">
      <c r="A700" s="65">
        <v>691</v>
      </c>
      <c r="B700" s="60" t="s">
        <v>2258</v>
      </c>
      <c r="C700" s="117" t="s">
        <v>2688</v>
      </c>
      <c r="D700" s="118"/>
      <c r="E700" s="119"/>
      <c r="F700" s="125" t="s">
        <v>29</v>
      </c>
      <c r="G700" s="125"/>
      <c r="H700" s="115">
        <f>203+42.5+6.2-20-31.2+6.1-6.2-28.5</f>
        <v>171.9</v>
      </c>
      <c r="I700" s="116"/>
    </row>
    <row r="701" spans="1:9" s="17" customFormat="1" ht="12.75" customHeight="1" x14ac:dyDescent="0.2">
      <c r="A701" s="65">
        <v>692</v>
      </c>
      <c r="B701" s="60" t="s">
        <v>2258</v>
      </c>
      <c r="C701" s="117" t="s">
        <v>2113</v>
      </c>
      <c r="D701" s="118"/>
      <c r="E701" s="119"/>
      <c r="F701" s="125" t="s">
        <v>29</v>
      </c>
      <c r="G701" s="125"/>
      <c r="H701" s="115">
        <f>7+5.4+31.7-5.4-22-7</f>
        <v>9.7000000000000028</v>
      </c>
      <c r="I701" s="116"/>
    </row>
    <row r="702" spans="1:9" s="17" customFormat="1" ht="12.75" customHeight="1" x14ac:dyDescent="0.2">
      <c r="A702" s="65">
        <v>693</v>
      </c>
      <c r="B702" s="60"/>
      <c r="C702" s="117" t="s">
        <v>2054</v>
      </c>
      <c r="D702" s="118"/>
      <c r="E702" s="119"/>
      <c r="F702" s="124" t="s">
        <v>42</v>
      </c>
      <c r="G702" s="124"/>
      <c r="H702" s="115">
        <v>8.8000000000000007</v>
      </c>
      <c r="I702" s="116"/>
    </row>
    <row r="703" spans="1:9" s="17" customFormat="1" ht="12.75" customHeight="1" x14ac:dyDescent="0.2">
      <c r="A703" s="65">
        <v>694</v>
      </c>
      <c r="B703" s="60"/>
      <c r="C703" s="112" t="s">
        <v>551</v>
      </c>
      <c r="D703" s="112"/>
      <c r="E703" s="112"/>
      <c r="F703" s="124" t="s">
        <v>200</v>
      </c>
      <c r="G703" s="124"/>
      <c r="H703" s="123">
        <v>9.1999999999999993</v>
      </c>
      <c r="I703" s="123"/>
    </row>
    <row r="704" spans="1:9" s="17" customFormat="1" ht="12.75" customHeight="1" x14ac:dyDescent="0.2">
      <c r="A704" s="65">
        <v>695</v>
      </c>
      <c r="B704" s="60"/>
      <c r="C704" s="112" t="s">
        <v>3005</v>
      </c>
      <c r="D704" s="112"/>
      <c r="E704" s="112"/>
      <c r="F704" s="124" t="s">
        <v>56</v>
      </c>
      <c r="G704" s="124"/>
      <c r="H704" s="123">
        <f>8.6-3.3</f>
        <v>5.3</v>
      </c>
      <c r="I704" s="123"/>
    </row>
    <row r="705" spans="1:9" s="17" customFormat="1" ht="12.75" customHeight="1" x14ac:dyDescent="0.2">
      <c r="A705" s="65">
        <v>696</v>
      </c>
      <c r="B705" s="60"/>
      <c r="C705" s="112" t="s">
        <v>4358</v>
      </c>
      <c r="D705" s="112"/>
      <c r="E705" s="112"/>
      <c r="F705" s="124" t="s">
        <v>56</v>
      </c>
      <c r="G705" s="124"/>
      <c r="H705" s="123">
        <v>7.9</v>
      </c>
      <c r="I705" s="123"/>
    </row>
    <row r="706" spans="1:9" s="17" customFormat="1" ht="12.75" customHeight="1" x14ac:dyDescent="0.2">
      <c r="A706" s="65">
        <v>697</v>
      </c>
      <c r="B706" s="60"/>
      <c r="C706" s="128" t="s">
        <v>275</v>
      </c>
      <c r="D706" s="126"/>
      <c r="E706" s="127"/>
      <c r="F706" s="121" t="s">
        <v>6</v>
      </c>
      <c r="G706" s="122"/>
      <c r="H706" s="140">
        <f>16.8-3.5</f>
        <v>13.3</v>
      </c>
      <c r="I706" s="141"/>
    </row>
    <row r="707" spans="1:9" s="17" customFormat="1" ht="24" customHeight="1" x14ac:dyDescent="0.2">
      <c r="A707" s="65">
        <v>698</v>
      </c>
      <c r="B707" s="60"/>
      <c r="C707" s="117" t="s">
        <v>1273</v>
      </c>
      <c r="D707" s="118"/>
      <c r="E707" s="119"/>
      <c r="F707" s="125" t="s">
        <v>29</v>
      </c>
      <c r="G707" s="125"/>
      <c r="H707" s="115">
        <f>141.6-49.6+9.4+10-2.7+8.6-4+31.7-8.6-0.7-3.8</f>
        <v>131.9</v>
      </c>
      <c r="I707" s="116"/>
    </row>
    <row r="708" spans="1:9" s="17" customFormat="1" ht="12.75" customHeight="1" x14ac:dyDescent="0.2">
      <c r="A708" s="65">
        <v>699</v>
      </c>
      <c r="B708" s="60"/>
      <c r="C708" s="117" t="s">
        <v>5152</v>
      </c>
      <c r="D708" s="118"/>
      <c r="E708" s="119"/>
      <c r="F708" s="125" t="s">
        <v>29</v>
      </c>
      <c r="G708" s="125"/>
      <c r="H708" s="115">
        <f>15.4+39-5.6-9.8-15+7+27.4+4.9-7.1-11.4-7.1+12.3</f>
        <v>50</v>
      </c>
      <c r="I708" s="116"/>
    </row>
    <row r="709" spans="1:9" s="17" customFormat="1" ht="12.75" customHeight="1" x14ac:dyDescent="0.2">
      <c r="A709" s="65">
        <v>700</v>
      </c>
      <c r="B709" s="60"/>
      <c r="C709" s="117" t="s">
        <v>3466</v>
      </c>
      <c r="D709" s="118"/>
      <c r="E709" s="119"/>
      <c r="F709" s="125" t="s">
        <v>29</v>
      </c>
      <c r="G709" s="125"/>
      <c r="H709" s="115">
        <f>39.7-11-10.9</f>
        <v>17.800000000000004</v>
      </c>
      <c r="I709" s="116"/>
    </row>
    <row r="710" spans="1:9" s="17" customFormat="1" ht="12.75" customHeight="1" x14ac:dyDescent="0.2">
      <c r="A710" s="65">
        <v>701</v>
      </c>
      <c r="B710" s="60"/>
      <c r="C710" s="117" t="s">
        <v>2005</v>
      </c>
      <c r="D710" s="118"/>
      <c r="E710" s="119"/>
      <c r="F710" s="125" t="s">
        <v>29</v>
      </c>
      <c r="G710" s="125"/>
      <c r="H710" s="115">
        <v>66</v>
      </c>
      <c r="I710" s="116"/>
    </row>
    <row r="711" spans="1:9" s="17" customFormat="1" ht="12.75" customHeight="1" x14ac:dyDescent="0.2">
      <c r="A711" s="65">
        <v>702</v>
      </c>
      <c r="B711" s="60"/>
      <c r="C711" s="117" t="s">
        <v>2176</v>
      </c>
      <c r="D711" s="118"/>
      <c r="E711" s="119"/>
      <c r="F711" s="125" t="s">
        <v>29</v>
      </c>
      <c r="G711" s="125"/>
      <c r="H711" s="115">
        <v>72.599999999999994</v>
      </c>
      <c r="I711" s="116"/>
    </row>
    <row r="712" spans="1:9" s="17" customFormat="1" ht="12.75" customHeight="1" x14ac:dyDescent="0.2">
      <c r="A712" s="65">
        <v>703</v>
      </c>
      <c r="B712" s="60"/>
      <c r="C712" s="117" t="s">
        <v>3319</v>
      </c>
      <c r="D712" s="118"/>
      <c r="E712" s="119"/>
      <c r="F712" s="125" t="s">
        <v>29</v>
      </c>
      <c r="G712" s="125"/>
      <c r="H712" s="115">
        <v>29.3</v>
      </c>
      <c r="I712" s="116"/>
    </row>
    <row r="713" spans="1:9" s="17" customFormat="1" ht="27.75" customHeight="1" x14ac:dyDescent="0.2">
      <c r="A713" s="65">
        <v>704</v>
      </c>
      <c r="B713" s="60"/>
      <c r="C713" s="117" t="s">
        <v>540</v>
      </c>
      <c r="D713" s="118"/>
      <c r="E713" s="119"/>
      <c r="F713" s="113" t="s">
        <v>76</v>
      </c>
      <c r="G713" s="114"/>
      <c r="H713" s="115"/>
      <c r="I713" s="116"/>
    </row>
    <row r="714" spans="1:9" s="17" customFormat="1" ht="12.75" customHeight="1" x14ac:dyDescent="0.2">
      <c r="A714" s="65">
        <v>705</v>
      </c>
      <c r="B714" s="60"/>
      <c r="C714" s="117" t="s">
        <v>3741</v>
      </c>
      <c r="D714" s="118"/>
      <c r="E714" s="119"/>
      <c r="F714" s="121" t="s">
        <v>31</v>
      </c>
      <c r="G714" s="122"/>
      <c r="H714" s="115">
        <f>19.4-3.9</f>
        <v>15.499999999999998</v>
      </c>
      <c r="I714" s="116"/>
    </row>
    <row r="715" spans="1:9" s="17" customFormat="1" ht="12.75" customHeight="1" x14ac:dyDescent="0.2">
      <c r="A715" s="65">
        <v>706</v>
      </c>
      <c r="B715" s="60"/>
      <c r="C715" s="112" t="s">
        <v>544</v>
      </c>
      <c r="D715" s="112"/>
      <c r="E715" s="112"/>
      <c r="F715" s="124" t="s">
        <v>200</v>
      </c>
      <c r="G715" s="124"/>
      <c r="H715" s="123">
        <v>15.4</v>
      </c>
      <c r="I715" s="123"/>
    </row>
    <row r="716" spans="1:9" s="17" customFormat="1" ht="11.25" customHeight="1" x14ac:dyDescent="0.2">
      <c r="A716" s="65">
        <v>707</v>
      </c>
      <c r="B716" s="60"/>
      <c r="C716" s="120" t="s">
        <v>5267</v>
      </c>
      <c r="D716" s="120"/>
      <c r="E716" s="120"/>
      <c r="F716" s="113" t="s">
        <v>62</v>
      </c>
      <c r="G716" s="114"/>
      <c r="H716" s="123">
        <f>104.7-4.1-3.7+3.7</f>
        <v>100.60000000000001</v>
      </c>
      <c r="I716" s="123"/>
    </row>
    <row r="717" spans="1:9" s="17" customFormat="1" ht="12.75" customHeight="1" x14ac:dyDescent="0.2">
      <c r="A717" s="65">
        <v>708</v>
      </c>
      <c r="B717" s="60"/>
      <c r="C717" s="117" t="s">
        <v>4371</v>
      </c>
      <c r="D717" s="118"/>
      <c r="E717" s="119"/>
      <c r="F717" s="125" t="s">
        <v>29</v>
      </c>
      <c r="G717" s="125"/>
      <c r="H717" s="115">
        <f>5.9+6.7+10.4-12.6+7.7+11.3+9.8-7.7-10.4+5.8-5.8-1.3</f>
        <v>19.8</v>
      </c>
      <c r="I717" s="116"/>
    </row>
    <row r="718" spans="1:9" s="17" customFormat="1" x14ac:dyDescent="0.2">
      <c r="A718" s="65">
        <v>709</v>
      </c>
      <c r="B718" s="60" t="s">
        <v>3574</v>
      </c>
      <c r="C718" s="120" t="s">
        <v>4697</v>
      </c>
      <c r="D718" s="120"/>
      <c r="E718" s="120"/>
      <c r="F718" s="121" t="s">
        <v>56</v>
      </c>
      <c r="G718" s="122"/>
      <c r="H718" s="123">
        <v>5.4</v>
      </c>
      <c r="I718" s="123"/>
    </row>
    <row r="719" spans="1:9" s="17" customFormat="1" ht="12.75" customHeight="1" x14ac:dyDescent="0.2">
      <c r="A719" s="65">
        <v>710</v>
      </c>
      <c r="B719" s="60"/>
      <c r="C719" s="117" t="s">
        <v>1398</v>
      </c>
      <c r="D719" s="118"/>
      <c r="E719" s="119"/>
      <c r="F719" s="125" t="s">
        <v>29</v>
      </c>
      <c r="G719" s="125"/>
      <c r="H719" s="115">
        <f>9.2+9.8+5-9.2-5+44.6</f>
        <v>54.400000000000006</v>
      </c>
      <c r="I719" s="116"/>
    </row>
    <row r="720" spans="1:9" s="17" customFormat="1" ht="12.75" customHeight="1" x14ac:dyDescent="0.2">
      <c r="A720" s="65">
        <v>711</v>
      </c>
      <c r="B720" s="60"/>
      <c r="C720" s="117" t="s">
        <v>3069</v>
      </c>
      <c r="D720" s="118"/>
      <c r="E720" s="119"/>
      <c r="F720" s="121" t="s">
        <v>31</v>
      </c>
      <c r="G720" s="122"/>
      <c r="H720" s="115">
        <f>18.8-4.6-4.8</f>
        <v>9.4000000000000021</v>
      </c>
      <c r="I720" s="116"/>
    </row>
    <row r="721" spans="1:9" s="17" customFormat="1" ht="12.75" customHeight="1" x14ac:dyDescent="0.2">
      <c r="A721" s="65">
        <v>712</v>
      </c>
      <c r="B721" s="60" t="s">
        <v>2876</v>
      </c>
      <c r="C721" s="112" t="s">
        <v>5075</v>
      </c>
      <c r="D721" s="118"/>
      <c r="E721" s="119"/>
      <c r="F721" s="113" t="s">
        <v>29</v>
      </c>
      <c r="G721" s="114"/>
      <c r="H721" s="123">
        <f>43.8-2.4</f>
        <v>41.4</v>
      </c>
      <c r="I721" s="116"/>
    </row>
    <row r="722" spans="1:9" s="17" customFormat="1" ht="12.75" customHeight="1" x14ac:dyDescent="0.2">
      <c r="A722" s="65">
        <v>713</v>
      </c>
      <c r="B722" s="60"/>
      <c r="C722" s="112" t="s">
        <v>4049</v>
      </c>
      <c r="D722" s="112"/>
      <c r="E722" s="112"/>
      <c r="F722" s="125" t="s">
        <v>29</v>
      </c>
      <c r="G722" s="125"/>
      <c r="H722" s="123">
        <f>11.1+11.5-2.5+15.6-11.1-7.3+13.7-14.9-0.8</f>
        <v>15.3</v>
      </c>
      <c r="I722" s="123"/>
    </row>
    <row r="723" spans="1:9" s="17" customFormat="1" ht="12.75" customHeight="1" x14ac:dyDescent="0.2">
      <c r="A723" s="65">
        <v>714</v>
      </c>
      <c r="B723" s="60" t="s">
        <v>3636</v>
      </c>
      <c r="C723" s="117" t="s">
        <v>5154</v>
      </c>
      <c r="D723" s="118"/>
      <c r="E723" s="119"/>
      <c r="F723" s="113" t="s">
        <v>76</v>
      </c>
      <c r="G723" s="114"/>
      <c r="H723" s="115">
        <v>6.6</v>
      </c>
      <c r="I723" s="116"/>
    </row>
    <row r="724" spans="1:9" s="17" customFormat="1" ht="12.75" customHeight="1" x14ac:dyDescent="0.2">
      <c r="A724" s="65">
        <v>715</v>
      </c>
      <c r="B724" s="60" t="s">
        <v>3539</v>
      </c>
      <c r="C724" s="112" t="s">
        <v>3819</v>
      </c>
      <c r="D724" s="112"/>
      <c r="E724" s="112"/>
      <c r="F724" s="113" t="s">
        <v>57</v>
      </c>
      <c r="G724" s="114"/>
      <c r="H724" s="123">
        <f>81.8-26</f>
        <v>55.8</v>
      </c>
      <c r="I724" s="123"/>
    </row>
    <row r="725" spans="1:9" s="17" customFormat="1" ht="12.75" customHeight="1" x14ac:dyDescent="0.2">
      <c r="A725" s="65">
        <v>716</v>
      </c>
      <c r="B725" s="60" t="s">
        <v>3636</v>
      </c>
      <c r="C725" s="117" t="s">
        <v>3770</v>
      </c>
      <c r="D725" s="118"/>
      <c r="E725" s="119"/>
      <c r="F725" s="113" t="s">
        <v>59</v>
      </c>
      <c r="G725" s="114"/>
      <c r="H725" s="115">
        <v>7.9</v>
      </c>
      <c r="I725" s="116"/>
    </row>
    <row r="726" spans="1:9" s="17" customFormat="1" ht="12.75" customHeight="1" x14ac:dyDescent="0.2">
      <c r="A726" s="65">
        <v>717</v>
      </c>
      <c r="B726" s="60"/>
      <c r="C726" s="117" t="s">
        <v>412</v>
      </c>
      <c r="D726" s="118"/>
      <c r="E726" s="119"/>
      <c r="F726" s="113" t="s">
        <v>76</v>
      </c>
      <c r="G726" s="114"/>
      <c r="H726" s="115"/>
      <c r="I726" s="116"/>
    </row>
    <row r="727" spans="1:9" s="17" customFormat="1" ht="12.75" customHeight="1" x14ac:dyDescent="0.2">
      <c r="A727" s="65">
        <v>718</v>
      </c>
      <c r="B727" s="60"/>
      <c r="C727" s="117" t="s">
        <v>3485</v>
      </c>
      <c r="D727" s="118"/>
      <c r="E727" s="119"/>
      <c r="F727" s="113" t="s">
        <v>59</v>
      </c>
      <c r="G727" s="114"/>
      <c r="H727" s="115">
        <f>287.5-38.5-2.5-5.5-0.8-3.7-6.7-13.6+39-34-7-3.5-7-16.2-19.6-14-12</f>
        <v>141.90000000000003</v>
      </c>
      <c r="I727" s="116"/>
    </row>
    <row r="728" spans="1:9" s="17" customFormat="1" ht="12.75" customHeight="1" x14ac:dyDescent="0.2">
      <c r="A728" s="65">
        <v>719</v>
      </c>
      <c r="B728" s="60"/>
      <c r="C728" s="117" t="s">
        <v>1542</v>
      </c>
      <c r="D728" s="118"/>
      <c r="E728" s="119"/>
      <c r="F728" s="113" t="s">
        <v>29</v>
      </c>
      <c r="G728" s="114"/>
      <c r="H728" s="115">
        <f>188.3-9.5</f>
        <v>178.8</v>
      </c>
      <c r="I728" s="116"/>
    </row>
    <row r="729" spans="1:9" s="17" customFormat="1" ht="12.75" customHeight="1" x14ac:dyDescent="0.2">
      <c r="A729" s="65">
        <v>720</v>
      </c>
      <c r="B729" s="60"/>
      <c r="C729" s="117" t="s">
        <v>2416</v>
      </c>
      <c r="D729" s="118"/>
      <c r="E729" s="119"/>
      <c r="F729" s="113" t="s">
        <v>29</v>
      </c>
      <c r="G729" s="114"/>
      <c r="H729" s="115">
        <f>23.4-7.8</f>
        <v>15.599999999999998</v>
      </c>
      <c r="I729" s="116"/>
    </row>
    <row r="730" spans="1:9" s="17" customFormat="1" ht="12.75" customHeight="1" x14ac:dyDescent="0.2">
      <c r="A730" s="65">
        <v>721</v>
      </c>
      <c r="B730" s="60"/>
      <c r="C730" s="117" t="s">
        <v>2340</v>
      </c>
      <c r="D730" s="118"/>
      <c r="E730" s="119"/>
      <c r="F730" s="113" t="s">
        <v>76</v>
      </c>
      <c r="G730" s="114"/>
      <c r="H730" s="115">
        <f>24.6-9.1-5.2-5.1</f>
        <v>5.2000000000000011</v>
      </c>
      <c r="I730" s="116"/>
    </row>
    <row r="731" spans="1:9" s="17" customFormat="1" ht="12.75" customHeight="1" x14ac:dyDescent="0.2">
      <c r="A731" s="65">
        <v>722</v>
      </c>
      <c r="B731" s="60"/>
      <c r="C731" s="117" t="s">
        <v>2999</v>
      </c>
      <c r="D731" s="118"/>
      <c r="E731" s="119"/>
      <c r="F731" s="113" t="s">
        <v>76</v>
      </c>
      <c r="G731" s="114"/>
      <c r="H731" s="115">
        <f>21.2-11.6</f>
        <v>9.6</v>
      </c>
      <c r="I731" s="116"/>
    </row>
    <row r="732" spans="1:9" s="17" customFormat="1" ht="12.75" customHeight="1" x14ac:dyDescent="0.2">
      <c r="A732" s="65">
        <v>723</v>
      </c>
      <c r="B732" s="60" t="s">
        <v>3666</v>
      </c>
      <c r="C732" s="117" t="s">
        <v>4115</v>
      </c>
      <c r="D732" s="118"/>
      <c r="E732" s="119"/>
      <c r="F732" s="113" t="s">
        <v>57</v>
      </c>
      <c r="G732" s="114"/>
      <c r="H732" s="115">
        <f>80.3+10.4</f>
        <v>90.7</v>
      </c>
      <c r="I732" s="116"/>
    </row>
    <row r="733" spans="1:9" s="17" customFormat="1" ht="12.75" customHeight="1" x14ac:dyDescent="0.2">
      <c r="A733" s="65">
        <v>724</v>
      </c>
      <c r="B733" s="60"/>
      <c r="C733" s="117" t="s">
        <v>2102</v>
      </c>
      <c r="D733" s="118"/>
      <c r="E733" s="119"/>
      <c r="F733" s="113" t="s">
        <v>59</v>
      </c>
      <c r="G733" s="114"/>
      <c r="H733" s="115">
        <f>12.9+25</f>
        <v>37.9</v>
      </c>
      <c r="I733" s="116"/>
    </row>
    <row r="734" spans="1:9" s="17" customFormat="1" ht="12.75" customHeight="1" x14ac:dyDescent="0.2">
      <c r="A734" s="65">
        <v>725</v>
      </c>
      <c r="B734" s="60" t="s">
        <v>3666</v>
      </c>
      <c r="C734" s="117" t="s">
        <v>3769</v>
      </c>
      <c r="D734" s="118"/>
      <c r="E734" s="119"/>
      <c r="F734" s="113" t="s">
        <v>59</v>
      </c>
      <c r="G734" s="114"/>
      <c r="H734" s="115">
        <v>28</v>
      </c>
      <c r="I734" s="116"/>
    </row>
    <row r="735" spans="1:9" s="17" customFormat="1" ht="12.75" customHeight="1" x14ac:dyDescent="0.2">
      <c r="A735" s="65">
        <v>726</v>
      </c>
      <c r="B735" s="60"/>
      <c r="C735" s="117" t="s">
        <v>2551</v>
      </c>
      <c r="D735" s="118"/>
      <c r="E735" s="119"/>
      <c r="F735" s="113" t="s">
        <v>29</v>
      </c>
      <c r="G735" s="114"/>
      <c r="H735" s="115">
        <f>14-0.5-3.5-4+0.2</f>
        <v>6.2</v>
      </c>
      <c r="I735" s="116"/>
    </row>
    <row r="736" spans="1:9" s="17" customFormat="1" ht="12.75" customHeight="1" x14ac:dyDescent="0.2">
      <c r="A736" s="65">
        <v>727</v>
      </c>
      <c r="B736" s="60"/>
      <c r="C736" s="112" t="s">
        <v>2080</v>
      </c>
      <c r="D736" s="112"/>
      <c r="E736" s="112"/>
      <c r="F736" s="125" t="s">
        <v>29</v>
      </c>
      <c r="G736" s="125"/>
      <c r="H736" s="123">
        <f>16.7-8.5</f>
        <v>8.1999999999999993</v>
      </c>
      <c r="I736" s="123"/>
    </row>
    <row r="737" spans="1:9" s="17" customFormat="1" ht="12.75" customHeight="1" x14ac:dyDescent="0.2">
      <c r="A737" s="65">
        <v>728</v>
      </c>
      <c r="B737" s="60"/>
      <c r="C737" s="117" t="s">
        <v>442</v>
      </c>
      <c r="D737" s="118"/>
      <c r="E737" s="119"/>
      <c r="F737" s="113" t="s">
        <v>76</v>
      </c>
      <c r="G737" s="114"/>
      <c r="H737" s="115"/>
      <c r="I737" s="116"/>
    </row>
    <row r="738" spans="1:9" s="17" customFormat="1" ht="12.75" customHeight="1" x14ac:dyDescent="0.2">
      <c r="A738" s="65">
        <v>729</v>
      </c>
      <c r="B738" s="60"/>
      <c r="C738" s="117" t="s">
        <v>215</v>
      </c>
      <c r="D738" s="118"/>
      <c r="E738" s="119"/>
      <c r="F738" s="125" t="s">
        <v>59</v>
      </c>
      <c r="G738" s="125"/>
      <c r="H738" s="115">
        <v>6.5</v>
      </c>
      <c r="I738" s="116"/>
    </row>
    <row r="739" spans="1:9" s="17" customFormat="1" ht="12.75" customHeight="1" x14ac:dyDescent="0.2">
      <c r="A739" s="65">
        <v>730</v>
      </c>
      <c r="B739" s="60" t="s">
        <v>2876</v>
      </c>
      <c r="C739" s="120" t="s">
        <v>5338</v>
      </c>
      <c r="D739" s="120"/>
      <c r="E739" s="120"/>
      <c r="F739" s="121" t="s">
        <v>271</v>
      </c>
      <c r="G739" s="122"/>
      <c r="H739" s="123">
        <v>72.8</v>
      </c>
      <c r="I739" s="123"/>
    </row>
    <row r="740" spans="1:9" s="17" customFormat="1" ht="12.75" customHeight="1" x14ac:dyDescent="0.2">
      <c r="A740" s="65">
        <v>731</v>
      </c>
      <c r="B740" s="60"/>
      <c r="C740" s="120" t="s">
        <v>1680</v>
      </c>
      <c r="D740" s="120"/>
      <c r="E740" s="120"/>
      <c r="F740" s="124" t="s">
        <v>31</v>
      </c>
      <c r="G740" s="124"/>
      <c r="H740" s="123">
        <f>11.8+49.8-24.4-2.6-2.6-14</f>
        <v>17.999999999999993</v>
      </c>
      <c r="I740" s="123"/>
    </row>
    <row r="741" spans="1:9" s="17" customFormat="1" ht="12.75" customHeight="1" x14ac:dyDescent="0.2">
      <c r="A741" s="65">
        <v>732</v>
      </c>
      <c r="B741" s="60" t="s">
        <v>2934</v>
      </c>
      <c r="C741" s="112" t="s">
        <v>5328</v>
      </c>
      <c r="D741" s="112"/>
      <c r="E741" s="112"/>
      <c r="F741" s="113" t="s">
        <v>59</v>
      </c>
      <c r="G741" s="114"/>
      <c r="H741" s="123">
        <v>16.5</v>
      </c>
      <c r="I741" s="123"/>
    </row>
    <row r="742" spans="1:9" s="17" customFormat="1" ht="11.25" x14ac:dyDescent="0.2">
      <c r="A742" s="65">
        <v>733</v>
      </c>
      <c r="B742" s="60"/>
      <c r="C742" s="112" t="s">
        <v>3154</v>
      </c>
      <c r="D742" s="112"/>
      <c r="E742" s="112"/>
      <c r="F742" s="113" t="s">
        <v>76</v>
      </c>
      <c r="G742" s="114"/>
      <c r="H742" s="123">
        <v>6.3</v>
      </c>
      <c r="I742" s="123"/>
    </row>
    <row r="743" spans="1:9" s="17" customFormat="1" ht="12.75" customHeight="1" x14ac:dyDescent="0.2">
      <c r="A743" s="65">
        <v>734</v>
      </c>
      <c r="B743" s="60"/>
      <c r="C743" s="120" t="s">
        <v>1439</v>
      </c>
      <c r="D743" s="120"/>
      <c r="E743" s="120"/>
      <c r="F743" s="125" t="s">
        <v>59</v>
      </c>
      <c r="G743" s="125"/>
      <c r="H743" s="123">
        <f>99.7-2.9-3.2</f>
        <v>93.6</v>
      </c>
      <c r="I743" s="123"/>
    </row>
    <row r="744" spans="1:9" s="16" customFormat="1" ht="12" customHeight="1" x14ac:dyDescent="0.2">
      <c r="A744" s="65">
        <v>735</v>
      </c>
      <c r="B744" s="60"/>
      <c r="C744" s="120" t="s">
        <v>4334</v>
      </c>
      <c r="D744" s="120"/>
      <c r="E744" s="120"/>
      <c r="F744" s="124" t="s">
        <v>200</v>
      </c>
      <c r="G744" s="124"/>
      <c r="H744" s="123">
        <v>5.4</v>
      </c>
      <c r="I744" s="123"/>
    </row>
    <row r="745" spans="1:9" s="17" customFormat="1" ht="12.75" customHeight="1" x14ac:dyDescent="0.2">
      <c r="A745" s="65">
        <v>736</v>
      </c>
      <c r="B745" s="60" t="s">
        <v>2224</v>
      </c>
      <c r="C745" s="112" t="s">
        <v>4455</v>
      </c>
      <c r="D745" s="112"/>
      <c r="E745" s="112"/>
      <c r="F745" s="125" t="s">
        <v>29</v>
      </c>
      <c r="G745" s="125"/>
      <c r="H745" s="123">
        <f>136.7-2.8-28.3-3.5-55.5-15.6+15.1+10.4+7.5</f>
        <v>63.999999999999979</v>
      </c>
      <c r="I745" s="123"/>
    </row>
    <row r="746" spans="1:9" s="17" customFormat="1" ht="12.75" customHeight="1" x14ac:dyDescent="0.2">
      <c r="A746" s="65">
        <v>737</v>
      </c>
      <c r="B746" s="60"/>
      <c r="C746" s="112" t="s">
        <v>3453</v>
      </c>
      <c r="D746" s="112"/>
      <c r="E746" s="112"/>
      <c r="F746" s="125" t="s">
        <v>29</v>
      </c>
      <c r="G746" s="125"/>
      <c r="H746" s="115">
        <f>12.3+5.4-5.4-5.7</f>
        <v>6.6000000000000023</v>
      </c>
      <c r="I746" s="116"/>
    </row>
    <row r="747" spans="1:9" s="17" customFormat="1" ht="12.75" customHeight="1" x14ac:dyDescent="0.2">
      <c r="A747" s="65">
        <v>738</v>
      </c>
      <c r="B747" s="60"/>
      <c r="C747" s="128" t="s">
        <v>464</v>
      </c>
      <c r="D747" s="152"/>
      <c r="E747" s="153"/>
      <c r="F747" s="113" t="s">
        <v>76</v>
      </c>
      <c r="G747" s="114"/>
      <c r="H747" s="115"/>
      <c r="I747" s="116"/>
    </row>
    <row r="748" spans="1:9" s="17" customFormat="1" ht="12.75" customHeight="1" x14ac:dyDescent="0.2">
      <c r="A748" s="65">
        <v>739</v>
      </c>
      <c r="B748" s="60" t="s">
        <v>2258</v>
      </c>
      <c r="C748" s="117" t="s">
        <v>3164</v>
      </c>
      <c r="D748" s="118"/>
      <c r="E748" s="119"/>
      <c r="F748" s="113" t="s">
        <v>76</v>
      </c>
      <c r="G748" s="114"/>
      <c r="H748" s="115">
        <f>31-1.1</f>
        <v>29.9</v>
      </c>
      <c r="I748" s="116"/>
    </row>
    <row r="749" spans="1:9" s="17" customFormat="1" ht="25.5" customHeight="1" x14ac:dyDescent="0.2">
      <c r="A749" s="65">
        <v>740</v>
      </c>
      <c r="B749" s="60"/>
      <c r="C749" s="112" t="s">
        <v>1790</v>
      </c>
      <c r="D749" s="112"/>
      <c r="E749" s="112"/>
      <c r="F749" s="125" t="s">
        <v>140</v>
      </c>
      <c r="G749" s="125"/>
      <c r="H749" s="123">
        <f>11.2+3.9+22-9.8+6.3+24</f>
        <v>57.6</v>
      </c>
      <c r="I749" s="123"/>
    </row>
    <row r="750" spans="1:9" s="17" customFormat="1" ht="11.25" x14ac:dyDescent="0.2">
      <c r="A750" s="65">
        <v>741</v>
      </c>
      <c r="B750" s="60"/>
      <c r="C750" s="112" t="s">
        <v>3192</v>
      </c>
      <c r="D750" s="112"/>
      <c r="E750" s="112"/>
      <c r="F750" s="125" t="s">
        <v>140</v>
      </c>
      <c r="G750" s="125"/>
      <c r="H750" s="123">
        <f>35.2-9.1</f>
        <v>26.1</v>
      </c>
      <c r="I750" s="123"/>
    </row>
    <row r="751" spans="1:9" s="17" customFormat="1" ht="12.75" customHeight="1" x14ac:dyDescent="0.2">
      <c r="A751" s="65">
        <v>742</v>
      </c>
      <c r="B751" s="60" t="s">
        <v>2224</v>
      </c>
      <c r="C751" s="112" t="s">
        <v>3798</v>
      </c>
      <c r="D751" s="112"/>
      <c r="E751" s="112"/>
      <c r="F751" s="125" t="s">
        <v>76</v>
      </c>
      <c r="G751" s="125"/>
      <c r="H751" s="123">
        <v>20.2</v>
      </c>
      <c r="I751" s="123"/>
    </row>
    <row r="752" spans="1:9" s="17" customFormat="1" ht="12.75" customHeight="1" x14ac:dyDescent="0.2">
      <c r="A752" s="65">
        <v>743</v>
      </c>
      <c r="B752" s="60"/>
      <c r="C752" s="117" t="s">
        <v>1562</v>
      </c>
      <c r="D752" s="118"/>
      <c r="E752" s="119"/>
      <c r="F752" s="113" t="s">
        <v>62</v>
      </c>
      <c r="G752" s="114"/>
      <c r="H752" s="115">
        <f>8.7-4.3</f>
        <v>4.3999999999999995</v>
      </c>
      <c r="I752" s="116"/>
    </row>
    <row r="753" spans="1:9" s="17" customFormat="1" ht="12.75" customHeight="1" x14ac:dyDescent="0.2">
      <c r="A753" s="65">
        <v>744</v>
      </c>
      <c r="B753" s="60"/>
      <c r="C753" s="117" t="s">
        <v>1075</v>
      </c>
      <c r="D753" s="118"/>
      <c r="E753" s="119"/>
      <c r="F753" s="113" t="s">
        <v>59</v>
      </c>
      <c r="G753" s="114"/>
      <c r="H753" s="115">
        <f>8.5-4.3+0.1</f>
        <v>4.3</v>
      </c>
      <c r="I753" s="116"/>
    </row>
    <row r="754" spans="1:9" s="17" customFormat="1" x14ac:dyDescent="0.2">
      <c r="A754" s="65">
        <v>745</v>
      </c>
      <c r="B754" s="60" t="s">
        <v>3574</v>
      </c>
      <c r="C754" s="120" t="s">
        <v>4696</v>
      </c>
      <c r="D754" s="120"/>
      <c r="E754" s="120"/>
      <c r="F754" s="121" t="s">
        <v>56</v>
      </c>
      <c r="G754" s="122"/>
      <c r="H754" s="123">
        <v>3.5</v>
      </c>
      <c r="I754" s="123"/>
    </row>
    <row r="755" spans="1:9" s="17" customFormat="1" ht="12.75" customHeight="1" x14ac:dyDescent="0.2">
      <c r="A755" s="65">
        <v>746</v>
      </c>
      <c r="B755" s="60"/>
      <c r="C755" s="112" t="s">
        <v>1983</v>
      </c>
      <c r="D755" s="112"/>
      <c r="E755" s="112"/>
      <c r="F755" s="124" t="s">
        <v>200</v>
      </c>
      <c r="G755" s="124"/>
      <c r="H755" s="123">
        <v>9.3000000000000007</v>
      </c>
      <c r="I755" s="123"/>
    </row>
    <row r="756" spans="1:9" s="17" customFormat="1" ht="11.25" customHeight="1" x14ac:dyDescent="0.2">
      <c r="A756" s="65">
        <v>747</v>
      </c>
      <c r="B756" s="60"/>
      <c r="C756" s="120" t="s">
        <v>5405</v>
      </c>
      <c r="D756" s="126"/>
      <c r="E756" s="127"/>
      <c r="F756" s="113" t="s">
        <v>76</v>
      </c>
      <c r="G756" s="114"/>
      <c r="H756" s="123">
        <v>10.7</v>
      </c>
      <c r="I756" s="116"/>
    </row>
    <row r="757" spans="1:9" s="17" customFormat="1" ht="11.25" customHeight="1" x14ac:dyDescent="0.2">
      <c r="A757" s="65">
        <v>748</v>
      </c>
      <c r="B757" s="60" t="s">
        <v>3545</v>
      </c>
      <c r="C757" s="120" t="s">
        <v>4931</v>
      </c>
      <c r="D757" s="126"/>
      <c r="E757" s="127"/>
      <c r="F757" s="113" t="s">
        <v>76</v>
      </c>
      <c r="G757" s="114"/>
      <c r="H757" s="123">
        <f>22.3-5.4-5.6-5.6</f>
        <v>5.6999999999999993</v>
      </c>
      <c r="I757" s="116"/>
    </row>
    <row r="758" spans="1:9" s="17" customFormat="1" ht="12.75" customHeight="1" x14ac:dyDescent="0.2">
      <c r="A758" s="65">
        <v>749</v>
      </c>
      <c r="B758" s="60"/>
      <c r="C758" s="117" t="s">
        <v>2881</v>
      </c>
      <c r="D758" s="118"/>
      <c r="E758" s="119"/>
      <c r="F758" s="113" t="s">
        <v>59</v>
      </c>
      <c r="G758" s="114"/>
      <c r="H758" s="115">
        <v>8.6999999999999993</v>
      </c>
      <c r="I758" s="116"/>
    </row>
    <row r="759" spans="1:9" s="17" customFormat="1" ht="12.75" customHeight="1" x14ac:dyDescent="0.2">
      <c r="A759" s="65">
        <v>750</v>
      </c>
      <c r="B759" s="60" t="s">
        <v>2876</v>
      </c>
      <c r="C759" s="112" t="s">
        <v>4408</v>
      </c>
      <c r="D759" s="112"/>
      <c r="E759" s="112"/>
      <c r="F759" s="121" t="s">
        <v>12</v>
      </c>
      <c r="G759" s="122"/>
      <c r="H759" s="115">
        <v>116.6</v>
      </c>
      <c r="I759" s="116"/>
    </row>
    <row r="760" spans="1:9" s="17" customFormat="1" ht="12.75" customHeight="1" x14ac:dyDescent="0.2">
      <c r="A760" s="65">
        <v>751</v>
      </c>
      <c r="B760" s="60"/>
      <c r="C760" s="117" t="s">
        <v>558</v>
      </c>
      <c r="D760" s="118"/>
      <c r="E760" s="119"/>
      <c r="F760" s="121" t="s">
        <v>201</v>
      </c>
      <c r="G760" s="122"/>
      <c r="H760" s="115">
        <v>25.4</v>
      </c>
      <c r="I760" s="116"/>
    </row>
    <row r="761" spans="1:9" s="17" customFormat="1" ht="12.75" customHeight="1" x14ac:dyDescent="0.2">
      <c r="A761" s="65">
        <v>752</v>
      </c>
      <c r="B761" s="60"/>
      <c r="C761" s="117" t="s">
        <v>4163</v>
      </c>
      <c r="D761" s="118"/>
      <c r="E761" s="119"/>
      <c r="F761" s="113" t="s">
        <v>62</v>
      </c>
      <c r="G761" s="114"/>
      <c r="H761" s="115">
        <f>30.7-6.2-12.3+7.5-1.7-6.2-7.5</f>
        <v>4.3000000000000007</v>
      </c>
      <c r="I761" s="116"/>
    </row>
    <row r="762" spans="1:9" s="17" customFormat="1" ht="12.75" customHeight="1" x14ac:dyDescent="0.2">
      <c r="A762" s="65">
        <v>753</v>
      </c>
      <c r="B762" s="60"/>
      <c r="C762" s="117" t="s">
        <v>3535</v>
      </c>
      <c r="D762" s="118"/>
      <c r="E762" s="119"/>
      <c r="F762" s="113" t="s">
        <v>62</v>
      </c>
      <c r="G762" s="114"/>
      <c r="H762" s="115">
        <f>22.6-11.2</f>
        <v>11.400000000000002</v>
      </c>
      <c r="I762" s="116"/>
    </row>
    <row r="763" spans="1:9" s="17" customFormat="1" ht="12.75" customHeight="1" x14ac:dyDescent="0.2">
      <c r="A763" s="65">
        <v>754</v>
      </c>
      <c r="B763" s="60"/>
      <c r="C763" s="117" t="s">
        <v>1703</v>
      </c>
      <c r="D763" s="118"/>
      <c r="E763" s="119"/>
      <c r="F763" s="121" t="s">
        <v>271</v>
      </c>
      <c r="G763" s="122"/>
      <c r="H763" s="115">
        <f>121.8-25.5-6.7+85.5-6.5-13-20-6.8</f>
        <v>128.79999999999998</v>
      </c>
      <c r="I763" s="116"/>
    </row>
    <row r="764" spans="1:9" s="17" customFormat="1" ht="12.75" customHeight="1" x14ac:dyDescent="0.2">
      <c r="A764" s="65">
        <v>755</v>
      </c>
      <c r="B764" s="60" t="s">
        <v>2258</v>
      </c>
      <c r="C764" s="112" t="s">
        <v>5032</v>
      </c>
      <c r="D764" s="112"/>
      <c r="E764" s="112"/>
      <c r="F764" s="125" t="s">
        <v>59</v>
      </c>
      <c r="G764" s="125"/>
      <c r="H764" s="123">
        <f>490-29-2-86.4-29-6.4-51.2-12.3-57.3-16.5-9.5-57.6-19.3</f>
        <v>113.50000000000004</v>
      </c>
      <c r="I764" s="123"/>
    </row>
    <row r="765" spans="1:9" s="17" customFormat="1" ht="12.75" customHeight="1" x14ac:dyDescent="0.2">
      <c r="A765" s="65">
        <v>756</v>
      </c>
      <c r="B765" s="60"/>
      <c r="C765" s="117" t="s">
        <v>3125</v>
      </c>
      <c r="D765" s="118"/>
      <c r="E765" s="119"/>
      <c r="F765" s="113" t="s">
        <v>62</v>
      </c>
      <c r="G765" s="114"/>
      <c r="H765" s="115">
        <v>11.3</v>
      </c>
      <c r="I765" s="116"/>
    </row>
    <row r="766" spans="1:9" s="17" customFormat="1" ht="12.75" customHeight="1" x14ac:dyDescent="0.2">
      <c r="A766" s="65">
        <v>757</v>
      </c>
      <c r="B766" s="60" t="s">
        <v>3636</v>
      </c>
      <c r="C766" s="117" t="s">
        <v>5155</v>
      </c>
      <c r="D766" s="118"/>
      <c r="E766" s="119"/>
      <c r="F766" s="113" t="s">
        <v>76</v>
      </c>
      <c r="G766" s="114"/>
      <c r="H766" s="115">
        <v>10.7</v>
      </c>
      <c r="I766" s="116"/>
    </row>
    <row r="767" spans="1:9" s="17" customFormat="1" ht="12.75" customHeight="1" x14ac:dyDescent="0.2">
      <c r="A767" s="65">
        <v>758</v>
      </c>
      <c r="B767" s="60"/>
      <c r="C767" s="112" t="s">
        <v>2710</v>
      </c>
      <c r="D767" s="112"/>
      <c r="E767" s="112"/>
      <c r="F767" s="113" t="s">
        <v>59</v>
      </c>
      <c r="G767" s="114"/>
      <c r="H767" s="123">
        <v>9.6</v>
      </c>
      <c r="I767" s="123"/>
    </row>
    <row r="768" spans="1:9" s="17" customFormat="1" ht="12.75" customHeight="1" x14ac:dyDescent="0.2">
      <c r="A768" s="65">
        <v>759</v>
      </c>
      <c r="B768" s="60"/>
      <c r="C768" s="112" t="s">
        <v>3683</v>
      </c>
      <c r="D768" s="112"/>
      <c r="E768" s="112"/>
      <c r="F768" s="125" t="s">
        <v>29</v>
      </c>
      <c r="G768" s="125"/>
      <c r="H768" s="123">
        <f>81.2-6.3+22-21.7-42+0.3</f>
        <v>33.5</v>
      </c>
      <c r="I768" s="123"/>
    </row>
    <row r="769" spans="1:9" s="17" customFormat="1" ht="12.75" customHeight="1" x14ac:dyDescent="0.2">
      <c r="A769" s="65">
        <v>760</v>
      </c>
      <c r="B769" s="60" t="s">
        <v>3557</v>
      </c>
      <c r="C769" s="112" t="s">
        <v>4031</v>
      </c>
      <c r="D769" s="112"/>
      <c r="E769" s="112"/>
      <c r="F769" s="125" t="s">
        <v>57</v>
      </c>
      <c r="G769" s="125"/>
      <c r="H769" s="115">
        <v>6</v>
      </c>
      <c r="I769" s="116"/>
    </row>
    <row r="770" spans="1:9" s="17" customFormat="1" ht="12.75" customHeight="1" x14ac:dyDescent="0.2">
      <c r="A770" s="65">
        <v>761</v>
      </c>
      <c r="B770" s="60"/>
      <c r="C770" s="112" t="s">
        <v>3799</v>
      </c>
      <c r="D770" s="112"/>
      <c r="E770" s="112"/>
      <c r="F770" s="125" t="s">
        <v>76</v>
      </c>
      <c r="G770" s="125"/>
      <c r="H770" s="123">
        <v>83.9</v>
      </c>
      <c r="I770" s="123"/>
    </row>
    <row r="771" spans="1:9" s="17" customFormat="1" ht="12.75" customHeight="1" x14ac:dyDescent="0.2">
      <c r="A771" s="65">
        <v>762</v>
      </c>
      <c r="B771" s="60"/>
      <c r="C771" s="112" t="s">
        <v>3837</v>
      </c>
      <c r="D771" s="112"/>
      <c r="E771" s="112"/>
      <c r="F771" s="125" t="s">
        <v>76</v>
      </c>
      <c r="G771" s="125"/>
      <c r="H771" s="123">
        <v>57</v>
      </c>
      <c r="I771" s="123"/>
    </row>
    <row r="772" spans="1:9" s="17" customFormat="1" ht="12.75" customHeight="1" x14ac:dyDescent="0.2">
      <c r="A772" s="65">
        <v>763</v>
      </c>
      <c r="B772" s="60"/>
      <c r="C772" s="117" t="s">
        <v>443</v>
      </c>
      <c r="D772" s="118"/>
      <c r="E772" s="119"/>
      <c r="F772" s="113" t="s">
        <v>59</v>
      </c>
      <c r="G772" s="114"/>
      <c r="H772" s="115"/>
      <c r="I772" s="116"/>
    </row>
    <row r="773" spans="1:9" s="17" customFormat="1" ht="12.75" customHeight="1" x14ac:dyDescent="0.2">
      <c r="A773" s="65">
        <v>764</v>
      </c>
      <c r="B773" s="60" t="s">
        <v>3636</v>
      </c>
      <c r="C773" s="117" t="s">
        <v>5151</v>
      </c>
      <c r="D773" s="118"/>
      <c r="E773" s="119"/>
      <c r="F773" s="113" t="s">
        <v>76</v>
      </c>
      <c r="G773" s="114"/>
      <c r="H773" s="115">
        <v>6.9</v>
      </c>
      <c r="I773" s="116"/>
    </row>
    <row r="774" spans="1:9" s="17" customFormat="1" ht="12.75" customHeight="1" x14ac:dyDescent="0.2">
      <c r="A774" s="65">
        <v>765</v>
      </c>
      <c r="B774" s="60"/>
      <c r="C774" s="120" t="s">
        <v>3177</v>
      </c>
      <c r="D774" s="120"/>
      <c r="E774" s="120"/>
      <c r="F774" s="124" t="s">
        <v>291</v>
      </c>
      <c r="G774" s="124"/>
      <c r="H774" s="123">
        <f>193-44.3-16</f>
        <v>132.69999999999999</v>
      </c>
      <c r="I774" s="123"/>
    </row>
    <row r="775" spans="1:9" s="17" customFormat="1" ht="12.75" customHeight="1" x14ac:dyDescent="0.2">
      <c r="A775" s="65">
        <v>766</v>
      </c>
      <c r="B775" s="60"/>
      <c r="C775" s="112" t="s">
        <v>2630</v>
      </c>
      <c r="D775" s="112"/>
      <c r="E775" s="112"/>
      <c r="F775" s="125" t="s">
        <v>59</v>
      </c>
      <c r="G775" s="125"/>
      <c r="H775" s="123">
        <v>109.7</v>
      </c>
      <c r="I775" s="123"/>
    </row>
    <row r="776" spans="1:9" s="17" customFormat="1" ht="12.75" customHeight="1" x14ac:dyDescent="0.2">
      <c r="A776" s="65">
        <v>767</v>
      </c>
      <c r="B776" s="60"/>
      <c r="C776" s="117" t="s">
        <v>2481</v>
      </c>
      <c r="D776" s="118"/>
      <c r="E776" s="119"/>
      <c r="F776" s="113" t="s">
        <v>57</v>
      </c>
      <c r="G776" s="114"/>
      <c r="H776" s="115">
        <f>149.5-22.8-11-3.3</f>
        <v>112.4</v>
      </c>
      <c r="I776" s="116"/>
    </row>
    <row r="777" spans="1:9" s="17" customFormat="1" ht="12.75" customHeight="1" x14ac:dyDescent="0.2">
      <c r="A777" s="65">
        <v>768</v>
      </c>
      <c r="B777" s="60"/>
      <c r="C777" s="117" t="s">
        <v>1251</v>
      </c>
      <c r="D777" s="118"/>
      <c r="E777" s="119"/>
      <c r="F777" s="113" t="s">
        <v>76</v>
      </c>
      <c r="G777" s="114"/>
      <c r="H777" s="115">
        <f>20.4-10.7</f>
        <v>9.6999999999999993</v>
      </c>
      <c r="I777" s="116"/>
    </row>
    <row r="778" spans="1:9" s="17" customFormat="1" ht="12.75" customHeight="1" x14ac:dyDescent="0.2">
      <c r="A778" s="65">
        <v>769</v>
      </c>
      <c r="B778" s="60"/>
      <c r="C778" s="120" t="s">
        <v>3884</v>
      </c>
      <c r="D778" s="126"/>
      <c r="E778" s="127"/>
      <c r="F778" s="113" t="s">
        <v>76</v>
      </c>
      <c r="G778" s="114"/>
      <c r="H778" s="123">
        <v>4.3</v>
      </c>
      <c r="I778" s="123"/>
    </row>
    <row r="779" spans="1:9" s="17" customFormat="1" ht="12.75" customHeight="1" x14ac:dyDescent="0.2">
      <c r="A779" s="65">
        <v>770</v>
      </c>
      <c r="B779" s="60" t="s">
        <v>2224</v>
      </c>
      <c r="C779" s="117" t="s">
        <v>3831</v>
      </c>
      <c r="D779" s="118"/>
      <c r="E779" s="119"/>
      <c r="F779" s="113" t="s">
        <v>76</v>
      </c>
      <c r="G779" s="114"/>
      <c r="H779" s="123">
        <v>5.2</v>
      </c>
      <c r="I779" s="123"/>
    </row>
    <row r="780" spans="1:9" s="17" customFormat="1" ht="12.75" customHeight="1" x14ac:dyDescent="0.2">
      <c r="A780" s="65">
        <v>771</v>
      </c>
      <c r="B780" s="60"/>
      <c r="C780" s="117" t="s">
        <v>4552</v>
      </c>
      <c r="D780" s="118"/>
      <c r="E780" s="119"/>
      <c r="F780" s="113" t="s">
        <v>76</v>
      </c>
      <c r="G780" s="114"/>
      <c r="H780" s="123">
        <f>7.3+8.9-8.9</f>
        <v>7.2999999999999989</v>
      </c>
      <c r="I780" s="123"/>
    </row>
    <row r="781" spans="1:9" s="17" customFormat="1" ht="12.75" customHeight="1" x14ac:dyDescent="0.2">
      <c r="A781" s="65">
        <v>772</v>
      </c>
      <c r="B781" s="60" t="s">
        <v>2224</v>
      </c>
      <c r="C781" s="117" t="s">
        <v>3832</v>
      </c>
      <c r="D781" s="118"/>
      <c r="E781" s="119"/>
      <c r="F781" s="113" t="s">
        <v>76</v>
      </c>
      <c r="G781" s="114"/>
      <c r="H781" s="123">
        <f>29+12.6</f>
        <v>41.6</v>
      </c>
      <c r="I781" s="123"/>
    </row>
    <row r="782" spans="1:9" s="17" customFormat="1" ht="12.75" customHeight="1" x14ac:dyDescent="0.2">
      <c r="A782" s="65">
        <v>773</v>
      </c>
      <c r="B782" s="60" t="s">
        <v>2876</v>
      </c>
      <c r="C782" s="117" t="s">
        <v>4338</v>
      </c>
      <c r="D782" s="118"/>
      <c r="E782" s="119"/>
      <c r="F782" s="113" t="s">
        <v>76</v>
      </c>
      <c r="G782" s="114"/>
      <c r="H782" s="123">
        <f>31+15.5+14</f>
        <v>60.5</v>
      </c>
      <c r="I782" s="123"/>
    </row>
    <row r="783" spans="1:9" s="17" customFormat="1" ht="12.75" customHeight="1" x14ac:dyDescent="0.2">
      <c r="A783" s="65">
        <v>774</v>
      </c>
      <c r="B783" s="60"/>
      <c r="C783" s="117" t="s">
        <v>3299</v>
      </c>
      <c r="D783" s="118"/>
      <c r="E783" s="119"/>
      <c r="F783" s="113" t="s">
        <v>29</v>
      </c>
      <c r="G783" s="114"/>
      <c r="H783" s="115">
        <f>9.3+5.5-4.6+13.5-4.7+7-14.8</f>
        <v>11.200000000000003</v>
      </c>
      <c r="I783" s="116"/>
    </row>
    <row r="784" spans="1:9" s="17" customFormat="1" ht="24.75" customHeight="1" x14ac:dyDescent="0.2">
      <c r="A784" s="65">
        <v>775</v>
      </c>
      <c r="B784" s="60"/>
      <c r="C784" s="117" t="s">
        <v>3191</v>
      </c>
      <c r="D784" s="118"/>
      <c r="E784" s="119"/>
      <c r="F784" s="125" t="s">
        <v>29</v>
      </c>
      <c r="G784" s="125"/>
      <c r="H784" s="115">
        <f>12.5+33.6-6-6.4+28.7+5.4+8.5+29.9-49+32+19+22.9-1.4+5.5-5.3+4.9+6.4+13.3</f>
        <v>154.50000000000003</v>
      </c>
      <c r="I784" s="116"/>
    </row>
    <row r="785" spans="1:9" s="17" customFormat="1" ht="12.75" customHeight="1" x14ac:dyDescent="0.2">
      <c r="A785" s="65">
        <v>776</v>
      </c>
      <c r="B785" s="60"/>
      <c r="C785" s="117" t="s">
        <v>1534</v>
      </c>
      <c r="D785" s="118"/>
      <c r="E785" s="119"/>
      <c r="F785" s="113" t="s">
        <v>29</v>
      </c>
      <c r="G785" s="114"/>
      <c r="H785" s="115">
        <v>23.2</v>
      </c>
      <c r="I785" s="116"/>
    </row>
    <row r="786" spans="1:9" s="17" customFormat="1" ht="12.75" customHeight="1" x14ac:dyDescent="0.2">
      <c r="A786" s="65">
        <v>777</v>
      </c>
      <c r="B786" s="60"/>
      <c r="C786" s="117" t="s">
        <v>586</v>
      </c>
      <c r="D786" s="118"/>
      <c r="E786" s="119"/>
      <c r="F786" s="113" t="s">
        <v>59</v>
      </c>
      <c r="G786" s="114"/>
      <c r="H786" s="115">
        <v>7.8</v>
      </c>
      <c r="I786" s="116"/>
    </row>
    <row r="787" spans="1:9" s="17" customFormat="1" ht="12.75" customHeight="1" x14ac:dyDescent="0.2">
      <c r="A787" s="65">
        <v>778</v>
      </c>
      <c r="B787" s="60"/>
      <c r="C787" s="117" t="s">
        <v>2911</v>
      </c>
      <c r="D787" s="118"/>
      <c r="E787" s="119"/>
      <c r="F787" s="113" t="s">
        <v>29</v>
      </c>
      <c r="G787" s="114"/>
      <c r="H787" s="115">
        <v>26</v>
      </c>
      <c r="I787" s="116"/>
    </row>
    <row r="788" spans="1:9" s="17" customFormat="1" ht="12.75" customHeight="1" x14ac:dyDescent="0.2">
      <c r="A788" s="65">
        <v>779</v>
      </c>
      <c r="B788" s="60" t="s">
        <v>2876</v>
      </c>
      <c r="C788" s="120" t="s">
        <v>3882</v>
      </c>
      <c r="D788" s="126"/>
      <c r="E788" s="127"/>
      <c r="F788" s="113" t="s">
        <v>76</v>
      </c>
      <c r="G788" s="114"/>
      <c r="H788" s="123">
        <v>17.5</v>
      </c>
      <c r="I788" s="123"/>
    </row>
    <row r="789" spans="1:9" s="17" customFormat="1" ht="12.75" customHeight="1" x14ac:dyDescent="0.2">
      <c r="A789" s="65">
        <v>780</v>
      </c>
      <c r="B789" s="60" t="s">
        <v>2224</v>
      </c>
      <c r="C789" s="117" t="s">
        <v>2689</v>
      </c>
      <c r="D789" s="118"/>
      <c r="E789" s="119"/>
      <c r="F789" s="113" t="s">
        <v>29</v>
      </c>
      <c r="G789" s="114"/>
      <c r="H789" s="115">
        <v>9.3000000000000007</v>
      </c>
      <c r="I789" s="116"/>
    </row>
    <row r="790" spans="1:9" s="17" customFormat="1" ht="12.75" customHeight="1" x14ac:dyDescent="0.2">
      <c r="A790" s="65">
        <v>781</v>
      </c>
      <c r="B790" s="60"/>
      <c r="C790" s="112" t="s">
        <v>1984</v>
      </c>
      <c r="D790" s="112"/>
      <c r="E790" s="112"/>
      <c r="F790" s="121" t="s">
        <v>85</v>
      </c>
      <c r="G790" s="122"/>
      <c r="H790" s="115">
        <v>8.8000000000000007</v>
      </c>
      <c r="I790" s="116"/>
    </row>
    <row r="791" spans="1:9" s="17" customFormat="1" ht="12.75" customHeight="1" x14ac:dyDescent="0.2">
      <c r="A791" s="65">
        <v>782</v>
      </c>
      <c r="B791" s="60" t="s">
        <v>2934</v>
      </c>
      <c r="C791" s="117" t="s">
        <v>4580</v>
      </c>
      <c r="D791" s="118"/>
      <c r="E791" s="119"/>
      <c r="F791" s="125" t="s">
        <v>29</v>
      </c>
      <c r="G791" s="125"/>
      <c r="H791" s="115">
        <f>20.2+28.5-3.7-7.2-1.3+0.1+17.5-19-0.4</f>
        <v>34.700000000000003</v>
      </c>
      <c r="I791" s="116"/>
    </row>
    <row r="792" spans="1:9" s="17" customFormat="1" ht="12.75" customHeight="1" x14ac:dyDescent="0.2">
      <c r="A792" s="65">
        <v>783</v>
      </c>
      <c r="B792" s="60"/>
      <c r="C792" s="117" t="s">
        <v>3060</v>
      </c>
      <c r="D792" s="118"/>
      <c r="E792" s="119"/>
      <c r="F792" s="113" t="s">
        <v>62</v>
      </c>
      <c r="G792" s="114"/>
      <c r="H792" s="115">
        <v>10</v>
      </c>
      <c r="I792" s="116"/>
    </row>
    <row r="793" spans="1:9" s="17" customFormat="1" ht="12.75" customHeight="1" x14ac:dyDescent="0.2">
      <c r="A793" s="65">
        <v>784</v>
      </c>
      <c r="B793" s="60" t="s">
        <v>2934</v>
      </c>
      <c r="C793" s="120" t="s">
        <v>5108</v>
      </c>
      <c r="D793" s="126"/>
      <c r="E793" s="127"/>
      <c r="F793" s="113" t="s">
        <v>76</v>
      </c>
      <c r="G793" s="114"/>
      <c r="H793" s="123">
        <f>24.4-14.2</f>
        <v>10.199999999999999</v>
      </c>
      <c r="I793" s="123"/>
    </row>
    <row r="794" spans="1:9" s="17" customFormat="1" x14ac:dyDescent="0.2">
      <c r="A794" s="65">
        <v>785</v>
      </c>
      <c r="B794" s="60"/>
      <c r="C794" s="120" t="s">
        <v>3957</v>
      </c>
      <c r="D794" s="120"/>
      <c r="E794" s="120"/>
      <c r="F794" s="121" t="s">
        <v>56</v>
      </c>
      <c r="G794" s="122"/>
      <c r="H794" s="123">
        <v>4.9000000000000004</v>
      </c>
      <c r="I794" s="123"/>
    </row>
    <row r="795" spans="1:9" s="17" customFormat="1" ht="12.75" customHeight="1" x14ac:dyDescent="0.2">
      <c r="A795" s="65">
        <v>786</v>
      </c>
      <c r="B795" s="60"/>
      <c r="C795" s="117" t="s">
        <v>3222</v>
      </c>
      <c r="D795" s="118"/>
      <c r="E795" s="119"/>
      <c r="F795" s="113" t="s">
        <v>62</v>
      </c>
      <c r="G795" s="114"/>
      <c r="H795" s="115">
        <f>13.4-6.8</f>
        <v>6.6000000000000005</v>
      </c>
      <c r="I795" s="116"/>
    </row>
    <row r="796" spans="1:9" s="17" customFormat="1" ht="12.75" customHeight="1" x14ac:dyDescent="0.2">
      <c r="A796" s="65">
        <v>787</v>
      </c>
      <c r="B796" s="60" t="s">
        <v>2934</v>
      </c>
      <c r="C796" s="117" t="s">
        <v>3833</v>
      </c>
      <c r="D796" s="118"/>
      <c r="E796" s="119"/>
      <c r="F796" s="113" t="s">
        <v>76</v>
      </c>
      <c r="G796" s="114"/>
      <c r="H796" s="123">
        <v>12.9</v>
      </c>
      <c r="I796" s="123"/>
    </row>
    <row r="797" spans="1:9" s="17" customFormat="1" ht="12.75" customHeight="1" x14ac:dyDescent="0.2">
      <c r="A797" s="65">
        <v>788</v>
      </c>
      <c r="B797" s="60" t="s">
        <v>2934</v>
      </c>
      <c r="C797" s="120" t="s">
        <v>3883</v>
      </c>
      <c r="D797" s="126"/>
      <c r="E797" s="127"/>
      <c r="F797" s="113" t="s">
        <v>76</v>
      </c>
      <c r="G797" s="114"/>
      <c r="H797" s="123">
        <v>16.399999999999999</v>
      </c>
      <c r="I797" s="123"/>
    </row>
    <row r="798" spans="1:9" s="17" customFormat="1" ht="12.75" customHeight="1" x14ac:dyDescent="0.2">
      <c r="A798" s="65">
        <v>789</v>
      </c>
      <c r="B798" s="60" t="s">
        <v>2934</v>
      </c>
      <c r="C798" s="120" t="s">
        <v>4103</v>
      </c>
      <c r="D798" s="126"/>
      <c r="E798" s="127"/>
      <c r="F798" s="113" t="s">
        <v>76</v>
      </c>
      <c r="G798" s="114"/>
      <c r="H798" s="123">
        <v>38</v>
      </c>
      <c r="I798" s="123"/>
    </row>
    <row r="799" spans="1:9" s="17" customFormat="1" ht="12.75" customHeight="1" x14ac:dyDescent="0.2">
      <c r="A799" s="65">
        <v>790</v>
      </c>
      <c r="B799" s="60" t="s">
        <v>2934</v>
      </c>
      <c r="C799" s="117" t="s">
        <v>3955</v>
      </c>
      <c r="D799" s="118"/>
      <c r="E799" s="119"/>
      <c r="F799" s="113" t="s">
        <v>76</v>
      </c>
      <c r="G799" s="114"/>
      <c r="H799" s="123">
        <v>75.599999999999994</v>
      </c>
      <c r="I799" s="123"/>
    </row>
    <row r="800" spans="1:9" s="17" customFormat="1" ht="12.75" customHeight="1" x14ac:dyDescent="0.2">
      <c r="A800" s="65">
        <v>791</v>
      </c>
      <c r="B800" s="60" t="s">
        <v>2224</v>
      </c>
      <c r="C800" s="120" t="s">
        <v>3954</v>
      </c>
      <c r="D800" s="126"/>
      <c r="E800" s="127"/>
      <c r="F800" s="113" t="s">
        <v>76</v>
      </c>
      <c r="G800" s="114"/>
      <c r="H800" s="123">
        <f>16.4+6.6+19.4</f>
        <v>42.4</v>
      </c>
      <c r="I800" s="123"/>
    </row>
    <row r="801" spans="1:9" s="17" customFormat="1" ht="12.75" customHeight="1" x14ac:dyDescent="0.2">
      <c r="A801" s="65">
        <v>792</v>
      </c>
      <c r="B801" s="60"/>
      <c r="C801" s="120" t="s">
        <v>4104</v>
      </c>
      <c r="D801" s="126"/>
      <c r="E801" s="127"/>
      <c r="F801" s="113" t="s">
        <v>76</v>
      </c>
      <c r="G801" s="114"/>
      <c r="H801" s="123">
        <v>23.5</v>
      </c>
      <c r="I801" s="123"/>
    </row>
    <row r="802" spans="1:9" s="17" customFormat="1" ht="12.75" customHeight="1" x14ac:dyDescent="0.2">
      <c r="A802" s="65">
        <v>793</v>
      </c>
      <c r="B802" s="60" t="s">
        <v>2934</v>
      </c>
      <c r="C802" s="112" t="s">
        <v>4410</v>
      </c>
      <c r="D802" s="112"/>
      <c r="E802" s="112"/>
      <c r="F802" s="121" t="s">
        <v>12</v>
      </c>
      <c r="G802" s="122"/>
      <c r="H802" s="115">
        <v>105.6</v>
      </c>
      <c r="I802" s="116"/>
    </row>
    <row r="803" spans="1:9" s="17" customFormat="1" ht="12.75" customHeight="1" x14ac:dyDescent="0.2">
      <c r="A803" s="65">
        <v>794</v>
      </c>
      <c r="B803" s="60"/>
      <c r="C803" s="112" t="s">
        <v>614</v>
      </c>
      <c r="D803" s="112"/>
      <c r="E803" s="112"/>
      <c r="F803" s="124" t="s">
        <v>88</v>
      </c>
      <c r="G803" s="124"/>
      <c r="H803" s="123">
        <v>30.5</v>
      </c>
      <c r="I803" s="123"/>
    </row>
    <row r="804" spans="1:9" s="17" customFormat="1" ht="12.75" customHeight="1" x14ac:dyDescent="0.2">
      <c r="A804" s="65">
        <v>795</v>
      </c>
      <c r="B804" s="60" t="s">
        <v>3656</v>
      </c>
      <c r="C804" s="112" t="s">
        <v>4029</v>
      </c>
      <c r="D804" s="112"/>
      <c r="E804" s="112"/>
      <c r="F804" s="125" t="s">
        <v>57</v>
      </c>
      <c r="G804" s="125"/>
      <c r="H804" s="115">
        <v>59.5</v>
      </c>
      <c r="I804" s="116"/>
    </row>
    <row r="805" spans="1:9" s="17" customFormat="1" ht="12.75" customHeight="1" x14ac:dyDescent="0.2">
      <c r="A805" s="65">
        <v>796</v>
      </c>
      <c r="B805" s="60"/>
      <c r="C805" s="112" t="s">
        <v>1541</v>
      </c>
      <c r="D805" s="112"/>
      <c r="E805" s="112"/>
      <c r="F805" s="125" t="s">
        <v>59</v>
      </c>
      <c r="G805" s="125"/>
      <c r="H805" s="123">
        <f>183.5+46.4-101.3-8.5-11.7-18.7</f>
        <v>89.700000000000017</v>
      </c>
      <c r="I805" s="123"/>
    </row>
    <row r="806" spans="1:9" s="17" customFormat="1" ht="12.75" customHeight="1" x14ac:dyDescent="0.2">
      <c r="A806" s="65">
        <v>797</v>
      </c>
      <c r="B806" s="60"/>
      <c r="C806" s="112" t="s">
        <v>3644</v>
      </c>
      <c r="D806" s="112"/>
      <c r="E806" s="112"/>
      <c r="F806" s="125" t="s">
        <v>184</v>
      </c>
      <c r="G806" s="125"/>
      <c r="H806" s="123">
        <f>672.5-18.5-13.7-18-2.4-34.2-45.5-18-39-24.2-73.5</f>
        <v>385.49999999999994</v>
      </c>
      <c r="I806" s="123"/>
    </row>
    <row r="807" spans="1:9" s="17" customFormat="1" ht="12.75" customHeight="1" x14ac:dyDescent="0.2">
      <c r="A807" s="65">
        <v>798</v>
      </c>
      <c r="B807" s="60"/>
      <c r="C807" s="120" t="s">
        <v>2489</v>
      </c>
      <c r="D807" s="120"/>
      <c r="E807" s="120"/>
      <c r="F807" s="124" t="s">
        <v>291</v>
      </c>
      <c r="G807" s="124"/>
      <c r="H807" s="123">
        <v>104</v>
      </c>
      <c r="I807" s="123"/>
    </row>
    <row r="808" spans="1:9" s="17" customFormat="1" ht="12.75" customHeight="1" x14ac:dyDescent="0.2">
      <c r="A808" s="65">
        <v>799</v>
      </c>
      <c r="B808" s="60"/>
      <c r="C808" s="112" t="s">
        <v>2552</v>
      </c>
      <c r="D808" s="112"/>
      <c r="E808" s="112"/>
      <c r="F808" s="125" t="s">
        <v>59</v>
      </c>
      <c r="G808" s="125"/>
      <c r="H808" s="123">
        <f>55.2-11.1-11</f>
        <v>33.1</v>
      </c>
      <c r="I808" s="123"/>
    </row>
    <row r="809" spans="1:9" s="17" customFormat="1" ht="12.75" customHeight="1" x14ac:dyDescent="0.2">
      <c r="A809" s="65">
        <v>800</v>
      </c>
      <c r="B809" s="60" t="s">
        <v>3656</v>
      </c>
      <c r="C809" s="112" t="s">
        <v>4030</v>
      </c>
      <c r="D809" s="112"/>
      <c r="E809" s="112"/>
      <c r="F809" s="125" t="s">
        <v>57</v>
      </c>
      <c r="G809" s="125"/>
      <c r="H809" s="115">
        <v>75.3</v>
      </c>
      <c r="I809" s="116"/>
    </row>
    <row r="810" spans="1:9" s="17" customFormat="1" ht="12.75" customHeight="1" x14ac:dyDescent="0.2">
      <c r="A810" s="65">
        <v>801</v>
      </c>
      <c r="B810" s="60"/>
      <c r="C810" s="112" t="s">
        <v>2983</v>
      </c>
      <c r="D810" s="112"/>
      <c r="E810" s="112"/>
      <c r="F810" s="125" t="s">
        <v>59</v>
      </c>
      <c r="G810" s="125"/>
      <c r="H810" s="123">
        <f>70.2-28.5-13.5</f>
        <v>28.200000000000003</v>
      </c>
      <c r="I810" s="123"/>
    </row>
    <row r="811" spans="1:9" s="17" customFormat="1" ht="12.75" customHeight="1" x14ac:dyDescent="0.2">
      <c r="A811" s="65">
        <v>802</v>
      </c>
      <c r="B811" s="60"/>
      <c r="C811" s="117" t="s">
        <v>2841</v>
      </c>
      <c r="D811" s="118"/>
      <c r="E811" s="119"/>
      <c r="F811" s="113" t="s">
        <v>59</v>
      </c>
      <c r="G811" s="114"/>
      <c r="H811" s="115">
        <f>18.6-9.3</f>
        <v>9.3000000000000007</v>
      </c>
      <c r="I811" s="116"/>
    </row>
    <row r="812" spans="1:9" s="17" customFormat="1" ht="12.75" customHeight="1" x14ac:dyDescent="0.2">
      <c r="A812" s="65">
        <v>803</v>
      </c>
      <c r="B812" s="60"/>
      <c r="C812" s="117" t="s">
        <v>1796</v>
      </c>
      <c r="D812" s="118"/>
      <c r="E812" s="119"/>
      <c r="F812" s="113" t="s">
        <v>59</v>
      </c>
      <c r="G812" s="114"/>
      <c r="H812" s="115">
        <f>182.5-10.6+29-27.4</f>
        <v>173.5</v>
      </c>
      <c r="I812" s="116"/>
    </row>
    <row r="813" spans="1:9" s="17" customFormat="1" ht="12.75" customHeight="1" x14ac:dyDescent="0.2">
      <c r="A813" s="65">
        <v>804</v>
      </c>
      <c r="B813" s="60"/>
      <c r="C813" s="112" t="s">
        <v>2584</v>
      </c>
      <c r="D813" s="112"/>
      <c r="E813" s="112"/>
      <c r="F813" s="125" t="s">
        <v>483</v>
      </c>
      <c r="G813" s="125"/>
      <c r="H813" s="115">
        <f>95-8-7.7-15.8-8-8.4-8.3-7.6-16.6-7</f>
        <v>7.5999999999999943</v>
      </c>
      <c r="I813" s="116"/>
    </row>
    <row r="814" spans="1:9" s="17" customFormat="1" ht="12.75" customHeight="1" x14ac:dyDescent="0.2">
      <c r="A814" s="65">
        <v>805</v>
      </c>
      <c r="B814" s="60" t="s">
        <v>2876</v>
      </c>
      <c r="C814" s="117" t="s">
        <v>3592</v>
      </c>
      <c r="D814" s="118"/>
      <c r="E814" s="119"/>
      <c r="F814" s="125" t="s">
        <v>29</v>
      </c>
      <c r="G814" s="125"/>
      <c r="H814" s="115">
        <f>39.7-2-4</f>
        <v>33.700000000000003</v>
      </c>
      <c r="I814" s="116"/>
    </row>
    <row r="815" spans="1:9" s="17" customFormat="1" ht="12.75" customHeight="1" x14ac:dyDescent="0.2">
      <c r="A815" s="65">
        <v>806</v>
      </c>
      <c r="B815" s="60"/>
      <c r="C815" s="117" t="s">
        <v>3660</v>
      </c>
      <c r="D815" s="118"/>
      <c r="E815" s="119"/>
      <c r="F815" s="113" t="s">
        <v>76</v>
      </c>
      <c r="G815" s="114"/>
      <c r="H815" s="115">
        <f>8.4+16.5-2.4-4.4</f>
        <v>18.100000000000001</v>
      </c>
      <c r="I815" s="116"/>
    </row>
    <row r="816" spans="1:9" s="17" customFormat="1" ht="12.75" customHeight="1" x14ac:dyDescent="0.2">
      <c r="A816" s="65">
        <v>807</v>
      </c>
      <c r="B816" s="60"/>
      <c r="C816" s="120" t="s">
        <v>3737</v>
      </c>
      <c r="D816" s="126"/>
      <c r="E816" s="127"/>
      <c r="F816" s="113" t="s">
        <v>76</v>
      </c>
      <c r="G816" s="114"/>
      <c r="H816" s="123">
        <f>66+198+73+5.5-24</f>
        <v>318.5</v>
      </c>
      <c r="I816" s="116"/>
    </row>
    <row r="817" spans="1:9" s="17" customFormat="1" ht="12.75" customHeight="1" x14ac:dyDescent="0.2">
      <c r="A817" s="65">
        <v>808</v>
      </c>
      <c r="B817" s="60" t="s">
        <v>2224</v>
      </c>
      <c r="C817" s="120" t="s">
        <v>5300</v>
      </c>
      <c r="D817" s="126"/>
      <c r="E817" s="127"/>
      <c r="F817" s="125" t="s">
        <v>76</v>
      </c>
      <c r="G817" s="125"/>
      <c r="H817" s="123">
        <f>32.7+30.8-16.4</f>
        <v>47.1</v>
      </c>
      <c r="I817" s="123"/>
    </row>
    <row r="818" spans="1:9" s="17" customFormat="1" ht="12.75" customHeight="1" x14ac:dyDescent="0.2">
      <c r="A818" s="65">
        <v>809</v>
      </c>
      <c r="B818" s="60"/>
      <c r="C818" s="120" t="s">
        <v>3881</v>
      </c>
      <c r="D818" s="126"/>
      <c r="E818" s="127"/>
      <c r="F818" s="113" t="s">
        <v>76</v>
      </c>
      <c r="G818" s="114"/>
      <c r="H818" s="123">
        <v>14.8</v>
      </c>
      <c r="I818" s="123"/>
    </row>
    <row r="819" spans="1:9" s="17" customFormat="1" ht="12.75" customHeight="1" x14ac:dyDescent="0.2">
      <c r="A819" s="65">
        <v>810</v>
      </c>
      <c r="B819" s="60" t="s">
        <v>2876</v>
      </c>
      <c r="C819" s="112" t="s">
        <v>4409</v>
      </c>
      <c r="D819" s="112"/>
      <c r="E819" s="112"/>
      <c r="F819" s="121" t="s">
        <v>12</v>
      </c>
      <c r="G819" s="122"/>
      <c r="H819" s="115">
        <v>100</v>
      </c>
      <c r="I819" s="116"/>
    </row>
    <row r="820" spans="1:9" s="17" customFormat="1" ht="12.75" customHeight="1" x14ac:dyDescent="0.2">
      <c r="A820" s="65">
        <v>811</v>
      </c>
      <c r="B820" s="60"/>
      <c r="C820" s="112" t="s">
        <v>3904</v>
      </c>
      <c r="D820" s="112"/>
      <c r="E820" s="112"/>
      <c r="F820" s="113" t="s">
        <v>157</v>
      </c>
      <c r="G820" s="114"/>
      <c r="H820" s="123">
        <v>61.5</v>
      </c>
      <c r="I820" s="123"/>
    </row>
    <row r="821" spans="1:9" s="17" customFormat="1" ht="12.75" customHeight="1" x14ac:dyDescent="0.2">
      <c r="A821" s="65">
        <v>812</v>
      </c>
      <c r="B821" s="60"/>
      <c r="C821" s="112" t="s">
        <v>4833</v>
      </c>
      <c r="D821" s="112"/>
      <c r="E821" s="112"/>
      <c r="F821" s="125" t="s">
        <v>57</v>
      </c>
      <c r="G821" s="125"/>
      <c r="H821" s="123">
        <f>178.3-1.6-3.6-44.6-11-21.5</f>
        <v>96.000000000000028</v>
      </c>
      <c r="I821" s="123"/>
    </row>
    <row r="822" spans="1:9" s="17" customFormat="1" x14ac:dyDescent="0.2">
      <c r="A822" s="65">
        <v>813</v>
      </c>
      <c r="B822" s="60"/>
      <c r="C822" s="120" t="s">
        <v>3411</v>
      </c>
      <c r="D822" s="120"/>
      <c r="E822" s="120"/>
      <c r="F822" s="121" t="s">
        <v>56</v>
      </c>
      <c r="G822" s="122"/>
      <c r="H822" s="123">
        <v>8.5</v>
      </c>
      <c r="I822" s="123"/>
    </row>
    <row r="823" spans="1:9" s="17" customFormat="1" ht="12.75" customHeight="1" x14ac:dyDescent="0.2">
      <c r="A823" s="65">
        <v>814</v>
      </c>
      <c r="B823" s="60"/>
      <c r="C823" s="128" t="s">
        <v>524</v>
      </c>
      <c r="D823" s="126"/>
      <c r="E823" s="127"/>
      <c r="F823" s="125" t="s">
        <v>76</v>
      </c>
      <c r="G823" s="125"/>
      <c r="H823" s="115"/>
      <c r="I823" s="116"/>
    </row>
    <row r="824" spans="1:9" s="17" customFormat="1" ht="12.75" customHeight="1" x14ac:dyDescent="0.2">
      <c r="A824" s="65">
        <v>815</v>
      </c>
      <c r="B824" s="60"/>
      <c r="C824" s="117" t="s">
        <v>1773</v>
      </c>
      <c r="D824" s="118"/>
      <c r="E824" s="119"/>
      <c r="F824" s="125" t="s">
        <v>29</v>
      </c>
      <c r="G824" s="125"/>
      <c r="H824" s="115">
        <f>15.5-6.6</f>
        <v>8.9</v>
      </c>
      <c r="I824" s="116"/>
    </row>
    <row r="825" spans="1:9" s="17" customFormat="1" ht="12.75" customHeight="1" x14ac:dyDescent="0.2">
      <c r="A825" s="65">
        <v>816</v>
      </c>
      <c r="B825" s="60"/>
      <c r="C825" s="112" t="s">
        <v>1253</v>
      </c>
      <c r="D825" s="112"/>
      <c r="E825" s="112"/>
      <c r="F825" s="125" t="s">
        <v>76</v>
      </c>
      <c r="G825" s="125"/>
      <c r="H825" s="123">
        <v>9.6999999999999993</v>
      </c>
      <c r="I825" s="123"/>
    </row>
    <row r="826" spans="1:9" s="17" customFormat="1" ht="12.75" customHeight="1" x14ac:dyDescent="0.2">
      <c r="A826" s="65">
        <v>817</v>
      </c>
      <c r="B826" s="60"/>
      <c r="C826" s="112" t="s">
        <v>1168</v>
      </c>
      <c r="D826" s="112"/>
      <c r="E826" s="112"/>
      <c r="F826" s="125" t="s">
        <v>76</v>
      </c>
      <c r="G826" s="125"/>
      <c r="H826" s="123">
        <v>3.5</v>
      </c>
      <c r="I826" s="123"/>
    </row>
    <row r="827" spans="1:9" s="16" customFormat="1" ht="12" customHeight="1" x14ac:dyDescent="0.2">
      <c r="A827" s="65">
        <v>818</v>
      </c>
      <c r="B827" s="60"/>
      <c r="C827" s="112" t="s">
        <v>5088</v>
      </c>
      <c r="D827" s="112"/>
      <c r="E827" s="112"/>
      <c r="F827" s="125" t="s">
        <v>483</v>
      </c>
      <c r="G827" s="125"/>
      <c r="H827" s="123">
        <v>6.5</v>
      </c>
      <c r="I827" s="123"/>
    </row>
    <row r="828" spans="1:9" s="17" customFormat="1" ht="12.75" customHeight="1" x14ac:dyDescent="0.2">
      <c r="A828" s="65">
        <v>819</v>
      </c>
      <c r="B828" s="60"/>
      <c r="C828" s="120" t="s">
        <v>1421</v>
      </c>
      <c r="D828" s="120"/>
      <c r="E828" s="120"/>
      <c r="F828" s="121" t="s">
        <v>56</v>
      </c>
      <c r="G828" s="122"/>
      <c r="H828" s="123">
        <v>17.3</v>
      </c>
      <c r="I828" s="123"/>
    </row>
    <row r="829" spans="1:9" s="16" customFormat="1" ht="12" customHeight="1" x14ac:dyDescent="0.2">
      <c r="A829" s="65">
        <v>820</v>
      </c>
      <c r="B829" s="60"/>
      <c r="C829" s="120" t="s">
        <v>2450</v>
      </c>
      <c r="D829" s="120"/>
      <c r="E829" s="120"/>
      <c r="F829" s="121" t="s">
        <v>31</v>
      </c>
      <c r="G829" s="114"/>
      <c r="H829" s="123">
        <v>6</v>
      </c>
      <c r="I829" s="123"/>
    </row>
    <row r="830" spans="1:9" s="16" customFormat="1" ht="12" customHeight="1" x14ac:dyDescent="0.2">
      <c r="A830" s="65">
        <v>821</v>
      </c>
      <c r="B830" s="60"/>
      <c r="C830" s="120" t="s">
        <v>4114</v>
      </c>
      <c r="D830" s="120"/>
      <c r="E830" s="120"/>
      <c r="F830" s="124" t="s">
        <v>200</v>
      </c>
      <c r="G830" s="124"/>
      <c r="H830" s="123">
        <v>9.8000000000000007</v>
      </c>
      <c r="I830" s="123"/>
    </row>
    <row r="831" spans="1:9" s="16" customFormat="1" ht="12" customHeight="1" x14ac:dyDescent="0.2">
      <c r="A831" s="65">
        <v>822</v>
      </c>
      <c r="B831" s="60"/>
      <c r="C831" s="120" t="s">
        <v>2451</v>
      </c>
      <c r="D831" s="120"/>
      <c r="E831" s="120"/>
      <c r="F831" s="124" t="s">
        <v>200</v>
      </c>
      <c r="G831" s="124"/>
      <c r="H831" s="123">
        <v>12.5</v>
      </c>
      <c r="I831" s="123"/>
    </row>
    <row r="832" spans="1:9" s="17" customFormat="1" ht="12.75" customHeight="1" x14ac:dyDescent="0.2">
      <c r="A832" s="65">
        <v>823</v>
      </c>
      <c r="B832" s="60"/>
      <c r="C832" s="112" t="s">
        <v>4028</v>
      </c>
      <c r="D832" s="112"/>
      <c r="E832" s="112"/>
      <c r="F832" s="113" t="s">
        <v>29</v>
      </c>
      <c r="G832" s="114"/>
      <c r="H832" s="123">
        <f>96+11.1+10.7+10-11.1-10.7-6</f>
        <v>100</v>
      </c>
      <c r="I832" s="123"/>
    </row>
    <row r="833" spans="1:9" s="17" customFormat="1" ht="12.75" customHeight="1" x14ac:dyDescent="0.2">
      <c r="A833" s="65">
        <v>824</v>
      </c>
      <c r="B833" s="60"/>
      <c r="C833" s="112" t="s">
        <v>4987</v>
      </c>
      <c r="D833" s="112"/>
      <c r="E833" s="112"/>
      <c r="F833" s="113" t="s">
        <v>29</v>
      </c>
      <c r="G833" s="114"/>
      <c r="H833" s="123">
        <f>19.3+8.5+11.9+10-8.5-2</f>
        <v>39.200000000000003</v>
      </c>
      <c r="I833" s="123"/>
    </row>
    <row r="834" spans="1:9" s="17" customFormat="1" ht="12.75" customHeight="1" x14ac:dyDescent="0.2">
      <c r="A834" s="65">
        <v>825</v>
      </c>
      <c r="B834" s="60"/>
      <c r="C834" s="112" t="s">
        <v>2923</v>
      </c>
      <c r="D834" s="112"/>
      <c r="E834" s="112"/>
      <c r="F834" s="125" t="s">
        <v>76</v>
      </c>
      <c r="G834" s="125"/>
      <c r="H834" s="123">
        <f>40-26.4</f>
        <v>13.600000000000001</v>
      </c>
      <c r="I834" s="123"/>
    </row>
    <row r="835" spans="1:9" s="16" customFormat="1" ht="12" customHeight="1" x14ac:dyDescent="0.2">
      <c r="A835" s="65">
        <v>826</v>
      </c>
      <c r="B835" s="60"/>
      <c r="C835" s="120" t="s">
        <v>5113</v>
      </c>
      <c r="D835" s="120"/>
      <c r="E835" s="120"/>
      <c r="F835" s="121" t="s">
        <v>31</v>
      </c>
      <c r="G835" s="114"/>
      <c r="H835" s="123">
        <f>133-0.3-14</f>
        <v>118.69999999999999</v>
      </c>
      <c r="I835" s="123"/>
    </row>
    <row r="836" spans="1:9" s="16" customFormat="1" ht="12" customHeight="1" x14ac:dyDescent="0.2">
      <c r="A836" s="65">
        <v>827</v>
      </c>
      <c r="B836" s="60"/>
      <c r="C836" s="120" t="s">
        <v>1860</v>
      </c>
      <c r="D836" s="120"/>
      <c r="E836" s="120"/>
      <c r="F836" s="121" t="s">
        <v>31</v>
      </c>
      <c r="G836" s="114"/>
      <c r="H836" s="123">
        <f>10.2-7.3</f>
        <v>2.8999999999999995</v>
      </c>
      <c r="I836" s="123"/>
    </row>
    <row r="837" spans="1:9" s="16" customFormat="1" ht="12" customHeight="1" x14ac:dyDescent="0.2">
      <c r="A837" s="65">
        <v>828</v>
      </c>
      <c r="B837" s="60"/>
      <c r="C837" s="120" t="s">
        <v>4333</v>
      </c>
      <c r="D837" s="120"/>
      <c r="E837" s="120"/>
      <c r="F837" s="124" t="s">
        <v>200</v>
      </c>
      <c r="G837" s="124"/>
      <c r="H837" s="123">
        <v>6.4</v>
      </c>
      <c r="I837" s="123"/>
    </row>
    <row r="838" spans="1:9" s="17" customFormat="1" ht="12.75" customHeight="1" x14ac:dyDescent="0.2">
      <c r="A838" s="65">
        <v>829</v>
      </c>
      <c r="B838" s="60"/>
      <c r="C838" s="112" t="s">
        <v>1945</v>
      </c>
      <c r="D838" s="112"/>
      <c r="E838" s="112"/>
      <c r="F838" s="124" t="s">
        <v>200</v>
      </c>
      <c r="G838" s="124"/>
      <c r="H838" s="123">
        <v>10.199999999999999</v>
      </c>
      <c r="I838" s="123"/>
    </row>
    <row r="839" spans="1:9" s="17" customFormat="1" ht="21.75" customHeight="1" x14ac:dyDescent="0.2">
      <c r="A839" s="65">
        <v>830</v>
      </c>
      <c r="B839" s="60"/>
      <c r="C839" s="120" t="s">
        <v>2891</v>
      </c>
      <c r="D839" s="120"/>
      <c r="E839" s="120"/>
      <c r="F839" s="121" t="s">
        <v>56</v>
      </c>
      <c r="G839" s="122"/>
      <c r="H839" s="123">
        <f>87-14.8</f>
        <v>72.2</v>
      </c>
      <c r="I839" s="123"/>
    </row>
    <row r="840" spans="1:9" s="17" customFormat="1" ht="12.75" customHeight="1" x14ac:dyDescent="0.2">
      <c r="A840" s="65">
        <v>831</v>
      </c>
      <c r="B840" s="60"/>
      <c r="C840" s="128" t="s">
        <v>3142</v>
      </c>
      <c r="D840" s="126"/>
      <c r="E840" s="127"/>
      <c r="F840" s="121" t="s">
        <v>56</v>
      </c>
      <c r="G840" s="122"/>
      <c r="H840" s="115">
        <f>27.3-3.3-2.4-2.5</f>
        <v>19.100000000000001</v>
      </c>
      <c r="I840" s="116"/>
    </row>
    <row r="841" spans="1:9" s="17" customFormat="1" ht="12.75" customHeight="1" x14ac:dyDescent="0.2">
      <c r="A841" s="65">
        <v>832</v>
      </c>
      <c r="B841" s="60"/>
      <c r="C841" s="112" t="s">
        <v>5089</v>
      </c>
      <c r="D841" s="112"/>
      <c r="E841" s="112"/>
      <c r="F841" s="124" t="s">
        <v>38</v>
      </c>
      <c r="G841" s="124"/>
      <c r="H841" s="123">
        <f>56-42+7.8</f>
        <v>21.8</v>
      </c>
      <c r="I841" s="123"/>
    </row>
    <row r="842" spans="1:9" s="17" customFormat="1" ht="12.75" customHeight="1" x14ac:dyDescent="0.2">
      <c r="A842" s="65">
        <v>833</v>
      </c>
      <c r="B842" s="60"/>
      <c r="C842" s="112" t="s">
        <v>804</v>
      </c>
      <c r="D842" s="112"/>
      <c r="E842" s="112"/>
      <c r="F842" s="125" t="s">
        <v>76</v>
      </c>
      <c r="G842" s="125"/>
      <c r="H842" s="123">
        <v>21.6</v>
      </c>
      <c r="I842" s="123"/>
    </row>
    <row r="843" spans="1:9" s="17" customFormat="1" ht="12.75" customHeight="1" x14ac:dyDescent="0.2">
      <c r="A843" s="65">
        <v>834</v>
      </c>
      <c r="B843" s="60" t="s">
        <v>2224</v>
      </c>
      <c r="C843" s="112" t="s">
        <v>2240</v>
      </c>
      <c r="D843" s="112"/>
      <c r="E843" s="112"/>
      <c r="F843" s="125" t="s">
        <v>76</v>
      </c>
      <c r="G843" s="125"/>
      <c r="H843" s="123">
        <v>75</v>
      </c>
      <c r="I843" s="123"/>
    </row>
    <row r="844" spans="1:9" s="17" customFormat="1" ht="12.75" customHeight="1" x14ac:dyDescent="0.2">
      <c r="A844" s="65">
        <v>835</v>
      </c>
      <c r="B844" s="60" t="s">
        <v>2224</v>
      </c>
      <c r="C844" s="112" t="s">
        <v>4170</v>
      </c>
      <c r="D844" s="112"/>
      <c r="E844" s="112"/>
      <c r="F844" s="113" t="s">
        <v>29</v>
      </c>
      <c r="G844" s="114"/>
      <c r="H844" s="115">
        <f>17.9+11.2+12.7</f>
        <v>41.8</v>
      </c>
      <c r="I844" s="116"/>
    </row>
    <row r="845" spans="1:9" s="17" customFormat="1" ht="12.75" customHeight="1" x14ac:dyDescent="0.2">
      <c r="A845" s="65">
        <v>836</v>
      </c>
      <c r="B845" s="60"/>
      <c r="C845" s="112" t="s">
        <v>3393</v>
      </c>
      <c r="D845" s="112"/>
      <c r="E845" s="112"/>
      <c r="F845" s="125" t="s">
        <v>76</v>
      </c>
      <c r="G845" s="125"/>
      <c r="H845" s="123">
        <f>12.5+10.6+8.4-8.4+35.8-12+79.4-99.5+10.2+9.5+6.8+25.3+11.7-56.7+5-1+5.3+11.7+12.7-5-6.8-5.3</f>
        <v>50.200000000000017</v>
      </c>
      <c r="I845" s="123"/>
    </row>
    <row r="846" spans="1:9" s="17" customFormat="1" ht="12.75" customHeight="1" x14ac:dyDescent="0.2">
      <c r="A846" s="65">
        <v>837</v>
      </c>
      <c r="B846" s="60"/>
      <c r="C846" s="112" t="s">
        <v>1620</v>
      </c>
      <c r="D846" s="112"/>
      <c r="E846" s="112"/>
      <c r="F846" s="125" t="s">
        <v>76</v>
      </c>
      <c r="G846" s="125"/>
      <c r="H846" s="123">
        <f>20.5-6.5+16.3</f>
        <v>30.3</v>
      </c>
      <c r="I846" s="123"/>
    </row>
    <row r="847" spans="1:9" s="17" customFormat="1" ht="12.75" customHeight="1" x14ac:dyDescent="0.2">
      <c r="A847" s="65">
        <v>838</v>
      </c>
      <c r="B847" s="60"/>
      <c r="C847" s="112" t="s">
        <v>1420</v>
      </c>
      <c r="D847" s="112"/>
      <c r="E847" s="112"/>
      <c r="F847" s="125" t="s">
        <v>76</v>
      </c>
      <c r="G847" s="125"/>
      <c r="H847" s="123">
        <f>15.7+60</f>
        <v>75.7</v>
      </c>
      <c r="I847" s="123"/>
    </row>
    <row r="848" spans="1:9" s="16" customFormat="1" ht="12" customHeight="1" x14ac:dyDescent="0.2">
      <c r="A848" s="65">
        <v>839</v>
      </c>
      <c r="B848" s="60"/>
      <c r="C848" s="120" t="s">
        <v>2756</v>
      </c>
      <c r="D848" s="120"/>
      <c r="E848" s="120"/>
      <c r="F848" s="121" t="s">
        <v>31</v>
      </c>
      <c r="G848" s="114"/>
      <c r="H848" s="123">
        <f>9.4+12.8-2.2-4.8-2.4</f>
        <v>12.800000000000002</v>
      </c>
      <c r="I848" s="123"/>
    </row>
    <row r="849" spans="1:9" s="17" customFormat="1" ht="12.75" customHeight="1" x14ac:dyDescent="0.2">
      <c r="A849" s="65">
        <v>840</v>
      </c>
      <c r="B849" s="60"/>
      <c r="C849" s="112" t="s">
        <v>1440</v>
      </c>
      <c r="D849" s="112"/>
      <c r="E849" s="112"/>
      <c r="F849" s="125" t="s">
        <v>76</v>
      </c>
      <c r="G849" s="125"/>
      <c r="H849" s="123">
        <v>18.399999999999999</v>
      </c>
      <c r="I849" s="123"/>
    </row>
    <row r="850" spans="1:9" s="17" customFormat="1" ht="12.75" customHeight="1" x14ac:dyDescent="0.2">
      <c r="A850" s="65">
        <v>841</v>
      </c>
      <c r="B850" s="60"/>
      <c r="C850" s="112" t="s">
        <v>4111</v>
      </c>
      <c r="D850" s="112"/>
      <c r="E850" s="112"/>
      <c r="F850" s="113" t="s">
        <v>29</v>
      </c>
      <c r="G850" s="114"/>
      <c r="H850" s="115">
        <f>17.9+16</f>
        <v>33.9</v>
      </c>
      <c r="I850" s="116"/>
    </row>
    <row r="851" spans="1:9" s="17" customFormat="1" ht="12.75" customHeight="1" x14ac:dyDescent="0.2">
      <c r="A851" s="65">
        <v>842</v>
      </c>
      <c r="B851" s="60"/>
      <c r="C851" s="112" t="s">
        <v>2858</v>
      </c>
      <c r="D851" s="112"/>
      <c r="E851" s="112"/>
      <c r="F851" s="125" t="s">
        <v>76</v>
      </c>
      <c r="G851" s="125"/>
      <c r="H851" s="123">
        <f>92+11.8-0.5-6.1-6.2-18.1-6.1-5.9+16.4-4.2+19.2-19.2-3.9-4.5-6.2</f>
        <v>58.5</v>
      </c>
      <c r="I851" s="123"/>
    </row>
    <row r="852" spans="1:9" s="17" customFormat="1" ht="27" customHeight="1" x14ac:dyDescent="0.2">
      <c r="A852" s="65">
        <v>843</v>
      </c>
      <c r="B852" s="60"/>
      <c r="C852" s="112" t="s">
        <v>2825</v>
      </c>
      <c r="D852" s="112"/>
      <c r="E852" s="112"/>
      <c r="F852" s="125" t="s">
        <v>76</v>
      </c>
      <c r="G852" s="125"/>
      <c r="H852" s="123">
        <f>9.6+30.7+6.6-6.6+18.4+10+11.5+33.7+14.6+10.3+15.4+12.8-41+60-18.4+63.8+13.6-8.7</f>
        <v>236.30000000000004</v>
      </c>
      <c r="I852" s="123"/>
    </row>
    <row r="853" spans="1:9" s="17" customFormat="1" ht="12.75" customHeight="1" x14ac:dyDescent="0.2">
      <c r="A853" s="65">
        <v>844</v>
      </c>
      <c r="B853" s="60"/>
      <c r="C853" s="128" t="s">
        <v>1450</v>
      </c>
      <c r="D853" s="126"/>
      <c r="E853" s="127"/>
      <c r="F853" s="113" t="s">
        <v>76</v>
      </c>
      <c r="G853" s="114"/>
      <c r="H853" s="115">
        <f>13.9-6.4</f>
        <v>7.5</v>
      </c>
      <c r="I853" s="116"/>
    </row>
    <row r="854" spans="1:9" s="17" customFormat="1" x14ac:dyDescent="0.2">
      <c r="A854" s="65">
        <v>845</v>
      </c>
      <c r="B854" s="60"/>
      <c r="C854" s="120" t="s">
        <v>3119</v>
      </c>
      <c r="D854" s="120"/>
      <c r="E854" s="120"/>
      <c r="F854" s="121" t="s">
        <v>56</v>
      </c>
      <c r="G854" s="122"/>
      <c r="H854" s="123">
        <f>30.7-4.3-6.1</f>
        <v>20.299999999999997</v>
      </c>
      <c r="I854" s="123"/>
    </row>
    <row r="855" spans="1:9" s="17" customFormat="1" ht="12.75" customHeight="1" x14ac:dyDescent="0.2">
      <c r="A855" s="65">
        <v>846</v>
      </c>
      <c r="B855" s="60"/>
      <c r="C855" s="112" t="s">
        <v>1035</v>
      </c>
      <c r="D855" s="112"/>
      <c r="E855" s="112"/>
      <c r="F855" s="124" t="s">
        <v>200</v>
      </c>
      <c r="G855" s="124"/>
      <c r="H855" s="123">
        <v>35</v>
      </c>
      <c r="I855" s="123"/>
    </row>
    <row r="856" spans="1:9" s="17" customFormat="1" ht="12.75" customHeight="1" x14ac:dyDescent="0.2">
      <c r="A856" s="65">
        <v>847</v>
      </c>
      <c r="B856" s="60"/>
      <c r="C856" s="112" t="s">
        <v>2822</v>
      </c>
      <c r="D856" s="112"/>
      <c r="E856" s="112"/>
      <c r="F856" s="124" t="s">
        <v>200</v>
      </c>
      <c r="G856" s="124"/>
      <c r="H856" s="123">
        <v>33.5</v>
      </c>
      <c r="I856" s="123"/>
    </row>
    <row r="857" spans="1:9" s="17" customFormat="1" ht="12.75" customHeight="1" x14ac:dyDescent="0.2">
      <c r="A857" s="65">
        <v>848</v>
      </c>
      <c r="B857" s="60"/>
      <c r="C857" s="112" t="s">
        <v>1972</v>
      </c>
      <c r="D857" s="112"/>
      <c r="E857" s="112"/>
      <c r="F857" s="124" t="s">
        <v>200</v>
      </c>
      <c r="G857" s="124"/>
      <c r="H857" s="123">
        <v>12</v>
      </c>
      <c r="I857" s="123"/>
    </row>
    <row r="858" spans="1:9" s="16" customFormat="1" ht="12" customHeight="1" x14ac:dyDescent="0.2">
      <c r="A858" s="65">
        <v>849</v>
      </c>
      <c r="B858" s="60"/>
      <c r="C858" s="120" t="s">
        <v>2452</v>
      </c>
      <c r="D858" s="120"/>
      <c r="E858" s="120"/>
      <c r="F858" s="124" t="s">
        <v>200</v>
      </c>
      <c r="G858" s="124"/>
      <c r="H858" s="123">
        <v>21.3</v>
      </c>
      <c r="I858" s="123"/>
    </row>
    <row r="859" spans="1:9" s="17" customFormat="1" ht="12.75" customHeight="1" x14ac:dyDescent="0.2">
      <c r="A859" s="65">
        <v>850</v>
      </c>
      <c r="B859" s="60"/>
      <c r="C859" s="112" t="s">
        <v>2142</v>
      </c>
      <c r="D859" s="112"/>
      <c r="E859" s="112"/>
      <c r="F859" s="113" t="s">
        <v>62</v>
      </c>
      <c r="G859" s="114"/>
      <c r="H859" s="115">
        <f>36.3-16.8</f>
        <v>19.499999999999996</v>
      </c>
      <c r="I859" s="116"/>
    </row>
    <row r="860" spans="1:9" s="17" customFormat="1" ht="12.75" customHeight="1" x14ac:dyDescent="0.2">
      <c r="A860" s="65">
        <v>851</v>
      </c>
      <c r="B860" s="60"/>
      <c r="C860" s="112" t="s">
        <v>2143</v>
      </c>
      <c r="D860" s="112"/>
      <c r="E860" s="112"/>
      <c r="F860" s="125" t="s">
        <v>76</v>
      </c>
      <c r="G860" s="125"/>
      <c r="H860" s="115">
        <f>15.5+13.8-15.5</f>
        <v>13.8</v>
      </c>
      <c r="I860" s="116"/>
    </row>
    <row r="861" spans="1:9" s="17" customFormat="1" ht="12.75" customHeight="1" x14ac:dyDescent="0.2">
      <c r="A861" s="65">
        <v>852</v>
      </c>
      <c r="B861" s="60"/>
      <c r="C861" s="112" t="s">
        <v>4236</v>
      </c>
      <c r="D861" s="112"/>
      <c r="E861" s="112"/>
      <c r="F861" s="113" t="s">
        <v>29</v>
      </c>
      <c r="G861" s="114"/>
      <c r="H861" s="115">
        <v>12.7</v>
      </c>
      <c r="I861" s="116"/>
    </row>
    <row r="862" spans="1:9" s="17" customFormat="1" ht="12.75" customHeight="1" x14ac:dyDescent="0.2">
      <c r="A862" s="65">
        <v>853</v>
      </c>
      <c r="B862" s="60"/>
      <c r="C862" s="112" t="s">
        <v>3212</v>
      </c>
      <c r="D862" s="112"/>
      <c r="E862" s="112"/>
      <c r="F862" s="125" t="s">
        <v>76</v>
      </c>
      <c r="G862" s="125"/>
      <c r="H862" s="123">
        <f>8.4+9.4+11.3+12-12-1.4</f>
        <v>27.700000000000003</v>
      </c>
      <c r="I862" s="123"/>
    </row>
    <row r="863" spans="1:9" s="17" customFormat="1" ht="12.75" customHeight="1" x14ac:dyDescent="0.2">
      <c r="A863" s="65">
        <v>854</v>
      </c>
      <c r="B863" s="60"/>
      <c r="C863" s="112" t="s">
        <v>1726</v>
      </c>
      <c r="D863" s="112"/>
      <c r="E863" s="112"/>
      <c r="F863" s="125" t="s">
        <v>76</v>
      </c>
      <c r="G863" s="125"/>
      <c r="H863" s="123">
        <f>66.2-16-5.6-7.7-7.5</f>
        <v>29.4</v>
      </c>
      <c r="I863" s="123"/>
    </row>
    <row r="864" spans="1:9" s="17" customFormat="1" ht="12.75" customHeight="1" x14ac:dyDescent="0.2">
      <c r="A864" s="65">
        <v>855</v>
      </c>
      <c r="B864" s="60"/>
      <c r="C864" s="117" t="s">
        <v>3148</v>
      </c>
      <c r="D864" s="118"/>
      <c r="E864" s="119"/>
      <c r="F864" s="113" t="s">
        <v>62</v>
      </c>
      <c r="G864" s="114"/>
      <c r="H864" s="115">
        <v>13.2</v>
      </c>
      <c r="I864" s="116"/>
    </row>
    <row r="865" spans="1:9" s="17" customFormat="1" ht="12.75" customHeight="1" x14ac:dyDescent="0.2">
      <c r="A865" s="65">
        <v>856</v>
      </c>
      <c r="B865" s="60"/>
      <c r="C865" s="128" t="s">
        <v>2029</v>
      </c>
      <c r="D865" s="126"/>
      <c r="E865" s="127"/>
      <c r="F865" s="113" t="s">
        <v>76</v>
      </c>
      <c r="G865" s="114"/>
      <c r="H865" s="115">
        <f>88-23-24.5-18-2+23.5</f>
        <v>44</v>
      </c>
      <c r="I865" s="116"/>
    </row>
    <row r="866" spans="1:9" s="17" customFormat="1" ht="12.75" customHeight="1" x14ac:dyDescent="0.2">
      <c r="A866" s="65">
        <v>857</v>
      </c>
      <c r="B866" s="60"/>
      <c r="C866" s="128" t="s">
        <v>3648</v>
      </c>
      <c r="D866" s="126"/>
      <c r="E866" s="127"/>
      <c r="F866" s="113" t="s">
        <v>76</v>
      </c>
      <c r="G866" s="114"/>
      <c r="H866" s="115">
        <v>20.3</v>
      </c>
      <c r="I866" s="116"/>
    </row>
    <row r="867" spans="1:9" s="17" customFormat="1" ht="12.75" customHeight="1" x14ac:dyDescent="0.2">
      <c r="A867" s="65">
        <v>858</v>
      </c>
      <c r="B867" s="60"/>
      <c r="C867" s="112" t="s">
        <v>2769</v>
      </c>
      <c r="D867" s="112"/>
      <c r="E867" s="112"/>
      <c r="F867" s="125" t="s">
        <v>76</v>
      </c>
      <c r="G867" s="125"/>
      <c r="H867" s="123">
        <f>26+21.4-10.7-10.7</f>
        <v>26.000000000000004</v>
      </c>
      <c r="I867" s="123"/>
    </row>
    <row r="868" spans="1:9" s="17" customFormat="1" ht="24" customHeight="1" x14ac:dyDescent="0.2">
      <c r="A868" s="65">
        <v>859</v>
      </c>
      <c r="B868" s="60"/>
      <c r="C868" s="120" t="s">
        <v>404</v>
      </c>
      <c r="D868" s="120"/>
      <c r="E868" s="120"/>
      <c r="F868" s="125" t="s">
        <v>62</v>
      </c>
      <c r="G868" s="125"/>
      <c r="H868" s="123"/>
      <c r="I868" s="123"/>
    </row>
    <row r="869" spans="1:9" s="17" customFormat="1" ht="12.75" customHeight="1" x14ac:dyDescent="0.2">
      <c r="A869" s="65">
        <v>860</v>
      </c>
      <c r="B869" s="60"/>
      <c r="C869" s="120" t="s">
        <v>403</v>
      </c>
      <c r="D869" s="120"/>
      <c r="E869" s="120"/>
      <c r="F869" s="125" t="s">
        <v>76</v>
      </c>
      <c r="G869" s="125"/>
      <c r="H869" s="123"/>
      <c r="I869" s="123"/>
    </row>
    <row r="870" spans="1:9" s="17" customFormat="1" ht="12.75" customHeight="1" x14ac:dyDescent="0.2">
      <c r="A870" s="65">
        <v>861</v>
      </c>
      <c r="B870" s="60"/>
      <c r="C870" s="112" t="s">
        <v>5033</v>
      </c>
      <c r="D870" s="112"/>
      <c r="E870" s="112"/>
      <c r="F870" s="113" t="s">
        <v>29</v>
      </c>
      <c r="G870" s="114"/>
      <c r="H870" s="115">
        <f>155.5-46.5+15.5-31-31.2-46.8+0.1</f>
        <v>15.6</v>
      </c>
      <c r="I870" s="116"/>
    </row>
    <row r="871" spans="1:9" s="17" customFormat="1" ht="12.75" customHeight="1" x14ac:dyDescent="0.2">
      <c r="A871" s="65">
        <v>862</v>
      </c>
      <c r="B871" s="60" t="s">
        <v>3574</v>
      </c>
      <c r="C871" s="117" t="s">
        <v>4116</v>
      </c>
      <c r="D871" s="118"/>
      <c r="E871" s="119"/>
      <c r="F871" s="121" t="s">
        <v>56</v>
      </c>
      <c r="G871" s="122"/>
      <c r="H871" s="115">
        <v>9.6</v>
      </c>
      <c r="I871" s="116"/>
    </row>
    <row r="872" spans="1:9" s="17" customFormat="1" ht="12.75" customHeight="1" x14ac:dyDescent="0.2">
      <c r="A872" s="65">
        <v>863</v>
      </c>
      <c r="B872" s="60"/>
      <c r="C872" s="117" t="s">
        <v>4490</v>
      </c>
      <c r="D872" s="118"/>
      <c r="E872" s="119"/>
      <c r="F872" s="113" t="s">
        <v>140</v>
      </c>
      <c r="G872" s="114"/>
      <c r="H872" s="115">
        <f>20.2-10</f>
        <v>10.199999999999999</v>
      </c>
      <c r="I872" s="116"/>
    </row>
    <row r="873" spans="1:9" s="17" customFormat="1" ht="12.75" customHeight="1" x14ac:dyDescent="0.2">
      <c r="A873" s="65">
        <v>864</v>
      </c>
      <c r="B873" s="60"/>
      <c r="C873" s="112" t="s">
        <v>3427</v>
      </c>
      <c r="D873" s="112"/>
      <c r="E873" s="112"/>
      <c r="F873" s="125" t="s">
        <v>76</v>
      </c>
      <c r="G873" s="125"/>
      <c r="H873" s="123">
        <v>17.899999999999999</v>
      </c>
      <c r="I873" s="123"/>
    </row>
    <row r="874" spans="1:9" s="16" customFormat="1" ht="12" customHeight="1" x14ac:dyDescent="0.2">
      <c r="A874" s="65">
        <v>865</v>
      </c>
      <c r="B874" s="60" t="s">
        <v>3636</v>
      </c>
      <c r="C874" s="112" t="s">
        <v>4454</v>
      </c>
      <c r="D874" s="112"/>
      <c r="E874" s="112"/>
      <c r="F874" s="125" t="s">
        <v>483</v>
      </c>
      <c r="G874" s="125"/>
      <c r="H874" s="123">
        <v>12.8</v>
      </c>
      <c r="I874" s="123"/>
    </row>
    <row r="875" spans="1:9" s="17" customFormat="1" x14ac:dyDescent="0.2">
      <c r="A875" s="65">
        <v>866</v>
      </c>
      <c r="B875" s="60"/>
      <c r="C875" s="120" t="s">
        <v>3410</v>
      </c>
      <c r="D875" s="120"/>
      <c r="E875" s="120"/>
      <c r="F875" s="121" t="s">
        <v>56</v>
      </c>
      <c r="G875" s="122"/>
      <c r="H875" s="123">
        <v>19</v>
      </c>
      <c r="I875" s="123"/>
    </row>
    <row r="876" spans="1:9" s="16" customFormat="1" ht="12" customHeight="1" x14ac:dyDescent="0.2">
      <c r="A876" s="65">
        <v>867</v>
      </c>
      <c r="B876" s="60"/>
      <c r="C876" s="112" t="s">
        <v>4349</v>
      </c>
      <c r="D876" s="112"/>
      <c r="E876" s="112"/>
      <c r="F876" s="124" t="s">
        <v>17</v>
      </c>
      <c r="G876" s="124"/>
      <c r="H876" s="123">
        <f>128-10.2-7.3-32.3</f>
        <v>78.2</v>
      </c>
      <c r="I876" s="123"/>
    </row>
    <row r="877" spans="1:9" s="16" customFormat="1" ht="12" customHeight="1" x14ac:dyDescent="0.2">
      <c r="A877" s="65">
        <v>868</v>
      </c>
      <c r="B877" s="60"/>
      <c r="C877" s="120" t="s">
        <v>3703</v>
      </c>
      <c r="D877" s="120"/>
      <c r="E877" s="120"/>
      <c r="F877" s="125" t="s">
        <v>59</v>
      </c>
      <c r="G877" s="125"/>
      <c r="H877" s="123">
        <f>124-82-4.5-10.3</f>
        <v>27.2</v>
      </c>
      <c r="I877" s="123"/>
    </row>
    <row r="878" spans="1:9" s="17" customFormat="1" ht="12.75" customHeight="1" x14ac:dyDescent="0.2">
      <c r="A878" s="65">
        <v>869</v>
      </c>
      <c r="B878" s="60"/>
      <c r="C878" s="112" t="s">
        <v>3602</v>
      </c>
      <c r="D878" s="112"/>
      <c r="E878" s="112"/>
      <c r="F878" s="125" t="s">
        <v>59</v>
      </c>
      <c r="G878" s="125"/>
      <c r="H878" s="123">
        <f>288.2-62.8-17.5-58.5-15.4+0.3-15.3+16.6-16.6-15.5</f>
        <v>103.5</v>
      </c>
      <c r="I878" s="123"/>
    </row>
    <row r="879" spans="1:9" s="16" customFormat="1" ht="12" customHeight="1" x14ac:dyDescent="0.2">
      <c r="A879" s="65">
        <v>870</v>
      </c>
      <c r="B879" s="60"/>
      <c r="C879" s="120" t="s">
        <v>1448</v>
      </c>
      <c r="D879" s="120"/>
      <c r="E879" s="120"/>
      <c r="F879" s="125" t="s">
        <v>59</v>
      </c>
      <c r="G879" s="125"/>
      <c r="H879" s="123">
        <v>129.1</v>
      </c>
      <c r="I879" s="123"/>
    </row>
    <row r="880" spans="1:9" s="17" customFormat="1" ht="12.75" customHeight="1" x14ac:dyDescent="0.2">
      <c r="A880" s="65">
        <v>871</v>
      </c>
      <c r="B880" s="60">
        <v>6</v>
      </c>
      <c r="C880" s="112" t="s">
        <v>854</v>
      </c>
      <c r="D880" s="112"/>
      <c r="E880" s="112"/>
      <c r="F880" s="125" t="s">
        <v>59</v>
      </c>
      <c r="G880" s="125"/>
      <c r="H880" s="123">
        <v>325</v>
      </c>
      <c r="I880" s="123"/>
    </row>
    <row r="881" spans="1:9" s="17" customFormat="1" ht="12.75" customHeight="1" x14ac:dyDescent="0.2">
      <c r="A881" s="65">
        <v>872</v>
      </c>
      <c r="B881" s="60"/>
      <c r="C881" s="120" t="s">
        <v>2067</v>
      </c>
      <c r="D881" s="120"/>
      <c r="E881" s="120"/>
      <c r="F881" s="124" t="s">
        <v>291</v>
      </c>
      <c r="G881" s="124"/>
      <c r="H881" s="123">
        <f>17.9+9.2-8.6-1.6-9.3</f>
        <v>7.5999999999999979</v>
      </c>
      <c r="I881" s="123"/>
    </row>
    <row r="882" spans="1:9" s="17" customFormat="1" ht="12.75" customHeight="1" x14ac:dyDescent="0.2">
      <c r="A882" s="65">
        <v>873</v>
      </c>
      <c r="B882" s="60"/>
      <c r="C882" s="120" t="s">
        <v>1681</v>
      </c>
      <c r="D882" s="120"/>
      <c r="E882" s="120"/>
      <c r="F882" s="124" t="s">
        <v>31</v>
      </c>
      <c r="G882" s="124"/>
      <c r="H882" s="115">
        <f>60.8-3.9-3.5</f>
        <v>53.4</v>
      </c>
      <c r="I882" s="116"/>
    </row>
    <row r="883" spans="1:9" s="17" customFormat="1" ht="12.75" customHeight="1" x14ac:dyDescent="0.2">
      <c r="A883" s="65">
        <v>874</v>
      </c>
      <c r="B883" s="60"/>
      <c r="C883" s="120" t="s">
        <v>1657</v>
      </c>
      <c r="D883" s="120"/>
      <c r="E883" s="120"/>
      <c r="F883" s="124" t="s">
        <v>33</v>
      </c>
      <c r="G883" s="124"/>
      <c r="H883" s="123">
        <f>47-3-2.7-18.5</f>
        <v>22.799999999999997</v>
      </c>
      <c r="I883" s="123"/>
    </row>
    <row r="884" spans="1:9" s="16" customFormat="1" ht="12" customHeight="1" x14ac:dyDescent="0.2">
      <c r="A884" s="65">
        <v>875</v>
      </c>
      <c r="B884" s="60"/>
      <c r="C884" s="112" t="s">
        <v>1924</v>
      </c>
      <c r="D884" s="112"/>
      <c r="E884" s="112"/>
      <c r="F884" s="125" t="s">
        <v>76</v>
      </c>
      <c r="G884" s="125"/>
      <c r="H884" s="123">
        <f>30.5-1-2</f>
        <v>27.5</v>
      </c>
      <c r="I884" s="123"/>
    </row>
    <row r="885" spans="1:9" s="16" customFormat="1" ht="12" customHeight="1" x14ac:dyDescent="0.2">
      <c r="A885" s="65">
        <v>876</v>
      </c>
      <c r="B885" s="60" t="s">
        <v>3636</v>
      </c>
      <c r="C885" s="120" t="s">
        <v>4452</v>
      </c>
      <c r="D885" s="120"/>
      <c r="E885" s="120"/>
      <c r="F885" s="125" t="s">
        <v>483</v>
      </c>
      <c r="G885" s="125"/>
      <c r="H885" s="123">
        <v>5.7</v>
      </c>
      <c r="I885" s="123"/>
    </row>
    <row r="886" spans="1:9" s="17" customFormat="1" ht="12.75" customHeight="1" x14ac:dyDescent="0.2">
      <c r="A886" s="65">
        <v>877</v>
      </c>
      <c r="B886" s="60"/>
      <c r="C886" s="120" t="s">
        <v>1533</v>
      </c>
      <c r="D886" s="120"/>
      <c r="E886" s="120"/>
      <c r="F886" s="121" t="s">
        <v>56</v>
      </c>
      <c r="G886" s="122"/>
      <c r="H886" s="123">
        <v>7.9</v>
      </c>
      <c r="I886" s="123"/>
    </row>
    <row r="887" spans="1:9" s="17" customFormat="1" ht="12.75" customHeight="1" x14ac:dyDescent="0.2">
      <c r="A887" s="65">
        <v>878</v>
      </c>
      <c r="B887" s="60"/>
      <c r="C887" s="112" t="s">
        <v>745</v>
      </c>
      <c r="D887" s="112"/>
      <c r="E887" s="112"/>
      <c r="F887" s="124" t="s">
        <v>200</v>
      </c>
      <c r="G887" s="124"/>
      <c r="H887" s="123">
        <v>11.2</v>
      </c>
      <c r="I887" s="123"/>
    </row>
    <row r="888" spans="1:9" s="17" customFormat="1" ht="12.75" customHeight="1" x14ac:dyDescent="0.2">
      <c r="A888" s="65">
        <v>879</v>
      </c>
      <c r="B888" s="60"/>
      <c r="C888" s="120" t="s">
        <v>1658</v>
      </c>
      <c r="D888" s="120"/>
      <c r="E888" s="120"/>
      <c r="F888" s="124" t="s">
        <v>271</v>
      </c>
      <c r="G888" s="124"/>
      <c r="H888" s="123">
        <f>61.5+283.5</f>
        <v>345</v>
      </c>
      <c r="I888" s="123"/>
    </row>
    <row r="889" spans="1:9" s="17" customFormat="1" ht="12.75" customHeight="1" x14ac:dyDescent="0.2">
      <c r="A889" s="65">
        <v>880</v>
      </c>
      <c r="B889" s="60"/>
      <c r="C889" s="120" t="s">
        <v>1659</v>
      </c>
      <c r="D889" s="120"/>
      <c r="E889" s="120"/>
      <c r="F889" s="124" t="s">
        <v>271</v>
      </c>
      <c r="G889" s="124"/>
      <c r="H889" s="123">
        <f>93+11.5</f>
        <v>104.5</v>
      </c>
      <c r="I889" s="123"/>
    </row>
    <row r="890" spans="1:9" s="17" customFormat="1" ht="24" customHeight="1" x14ac:dyDescent="0.2">
      <c r="A890" s="65">
        <v>881</v>
      </c>
      <c r="B890" s="60"/>
      <c r="C890" s="117" t="s">
        <v>3216</v>
      </c>
      <c r="D890" s="118"/>
      <c r="E890" s="119"/>
      <c r="F890" s="125" t="s">
        <v>29</v>
      </c>
      <c r="G890" s="125"/>
      <c r="H890" s="115">
        <f>11.1+11+18+8.6-11+14.1-11.1+23.6-7.2-0.7-27.8+8.2+7.5+21.6-27.8+13.1-2.6-19.7</f>
        <v>28.900000000000009</v>
      </c>
      <c r="I890" s="116"/>
    </row>
    <row r="891" spans="1:9" s="17" customFormat="1" ht="12.75" customHeight="1" x14ac:dyDescent="0.2">
      <c r="A891" s="65">
        <v>882</v>
      </c>
      <c r="B891" s="60"/>
      <c r="C891" s="120" t="s">
        <v>1603</v>
      </c>
      <c r="D891" s="120"/>
      <c r="E891" s="120"/>
      <c r="F891" s="124" t="s">
        <v>291</v>
      </c>
      <c r="G891" s="124"/>
      <c r="H891" s="123">
        <v>26</v>
      </c>
      <c r="I891" s="123"/>
    </row>
    <row r="892" spans="1:9" s="17" customFormat="1" ht="12.75" customHeight="1" x14ac:dyDescent="0.2">
      <c r="A892" s="65">
        <v>883</v>
      </c>
      <c r="B892" s="60"/>
      <c r="C892" s="120" t="s">
        <v>4813</v>
      </c>
      <c r="D892" s="120"/>
      <c r="E892" s="120"/>
      <c r="F892" s="124" t="s">
        <v>271</v>
      </c>
      <c r="G892" s="124"/>
      <c r="H892" s="123">
        <f>235.3-13+25.3+6.9+14.7-37-66.4-12.6-53.6-14.7-2.2-6.9</f>
        <v>75.80000000000004</v>
      </c>
      <c r="I892" s="123"/>
    </row>
    <row r="893" spans="1:9" s="17" customFormat="1" ht="12.75" customHeight="1" x14ac:dyDescent="0.2">
      <c r="A893" s="65">
        <v>884</v>
      </c>
      <c r="B893" s="60"/>
      <c r="C893" s="112" t="s">
        <v>546</v>
      </c>
      <c r="D893" s="112"/>
      <c r="E893" s="112"/>
      <c r="F893" s="125" t="s">
        <v>76</v>
      </c>
      <c r="G893" s="125"/>
      <c r="H893" s="123"/>
      <c r="I893" s="123"/>
    </row>
    <row r="894" spans="1:9" s="17" customFormat="1" ht="12.75" customHeight="1" x14ac:dyDescent="0.2">
      <c r="A894" s="65">
        <v>885</v>
      </c>
      <c r="B894" s="60"/>
      <c r="C894" s="112" t="s">
        <v>2101</v>
      </c>
      <c r="D894" s="112"/>
      <c r="E894" s="112"/>
      <c r="F894" s="125" t="s">
        <v>76</v>
      </c>
      <c r="G894" s="125"/>
      <c r="H894" s="123">
        <f>22.1+16.5</f>
        <v>38.6</v>
      </c>
      <c r="I894" s="123"/>
    </row>
    <row r="895" spans="1:9" s="17" customFormat="1" ht="12.75" customHeight="1" x14ac:dyDescent="0.2">
      <c r="A895" s="65">
        <v>886</v>
      </c>
      <c r="B895" s="60"/>
      <c r="C895" s="112" t="s">
        <v>4815</v>
      </c>
      <c r="D895" s="112"/>
      <c r="E895" s="112"/>
      <c r="F895" s="125" t="s">
        <v>76</v>
      </c>
      <c r="G895" s="125"/>
      <c r="H895" s="123">
        <f>55-15.3</f>
        <v>39.700000000000003</v>
      </c>
      <c r="I895" s="123"/>
    </row>
    <row r="896" spans="1:9" s="17" customFormat="1" ht="12.75" customHeight="1" x14ac:dyDescent="0.2">
      <c r="A896" s="65">
        <v>887</v>
      </c>
      <c r="B896" s="60"/>
      <c r="C896" s="117" t="s">
        <v>2747</v>
      </c>
      <c r="D896" s="118"/>
      <c r="E896" s="119"/>
      <c r="F896" s="125" t="s">
        <v>29</v>
      </c>
      <c r="G896" s="125"/>
      <c r="H896" s="115">
        <f>8.3+11+5+6.2-5-6.2-8.3</f>
        <v>11</v>
      </c>
      <c r="I896" s="116"/>
    </row>
    <row r="897" spans="1:9" s="17" customFormat="1" ht="12.75" customHeight="1" x14ac:dyDescent="0.2">
      <c r="A897" s="65">
        <v>888</v>
      </c>
      <c r="B897" s="60"/>
      <c r="C897" s="120" t="s">
        <v>2326</v>
      </c>
      <c r="D897" s="120"/>
      <c r="E897" s="120"/>
      <c r="F897" s="125" t="s">
        <v>29</v>
      </c>
      <c r="G897" s="125"/>
      <c r="H897" s="123">
        <f>139.3-50-50</f>
        <v>39.300000000000011</v>
      </c>
      <c r="I897" s="123"/>
    </row>
    <row r="898" spans="1:9" s="17" customFormat="1" ht="12.75" customHeight="1" x14ac:dyDescent="0.2">
      <c r="A898" s="65">
        <v>889</v>
      </c>
      <c r="B898" s="60"/>
      <c r="C898" s="120" t="s">
        <v>3298</v>
      </c>
      <c r="D898" s="120"/>
      <c r="E898" s="120"/>
      <c r="F898" s="124" t="s">
        <v>31</v>
      </c>
      <c r="G898" s="124"/>
      <c r="H898" s="123">
        <f>197-125-22.7+94.5+27-26-4.8-11-16.5-5</f>
        <v>107.5</v>
      </c>
      <c r="I898" s="123"/>
    </row>
    <row r="899" spans="1:9" s="17" customFormat="1" ht="12.75" customHeight="1" x14ac:dyDescent="0.2">
      <c r="A899" s="65">
        <v>890</v>
      </c>
      <c r="B899" s="60"/>
      <c r="C899" s="120" t="s">
        <v>1660</v>
      </c>
      <c r="D899" s="120"/>
      <c r="E899" s="120"/>
      <c r="F899" s="124" t="s">
        <v>271</v>
      </c>
      <c r="G899" s="124"/>
      <c r="H899" s="123">
        <v>90.7</v>
      </c>
      <c r="I899" s="123"/>
    </row>
    <row r="900" spans="1:9" s="17" customFormat="1" ht="12.75" customHeight="1" x14ac:dyDescent="0.2">
      <c r="A900" s="65">
        <v>891</v>
      </c>
      <c r="B900" s="60"/>
      <c r="C900" s="117" t="s">
        <v>4997</v>
      </c>
      <c r="D900" s="118"/>
      <c r="E900" s="119"/>
      <c r="F900" s="113" t="s">
        <v>59</v>
      </c>
      <c r="G900" s="114"/>
      <c r="H900" s="115">
        <f>93.7-2.8-3-11.2+0.2-5.4-1.1-5.3-9.4-15.7</f>
        <v>40.000000000000014</v>
      </c>
      <c r="I900" s="116"/>
    </row>
    <row r="901" spans="1:9" s="17" customFormat="1" ht="12.75" customHeight="1" x14ac:dyDescent="0.2">
      <c r="A901" s="65">
        <v>892</v>
      </c>
      <c r="B901" s="60" t="s">
        <v>2258</v>
      </c>
      <c r="C901" s="117" t="s">
        <v>3569</v>
      </c>
      <c r="D901" s="118"/>
      <c r="E901" s="119"/>
      <c r="F901" s="113" t="s">
        <v>29</v>
      </c>
      <c r="G901" s="114"/>
      <c r="H901" s="115">
        <f>59-18-7-20.4</f>
        <v>13.600000000000001</v>
      </c>
      <c r="I901" s="116"/>
    </row>
    <row r="902" spans="1:9" s="17" customFormat="1" ht="12.75" customHeight="1" x14ac:dyDescent="0.2">
      <c r="A902" s="65">
        <v>893</v>
      </c>
      <c r="B902" s="60"/>
      <c r="C902" s="112" t="s">
        <v>2995</v>
      </c>
      <c r="D902" s="112"/>
      <c r="E902" s="112"/>
      <c r="F902" s="125" t="s">
        <v>76</v>
      </c>
      <c r="G902" s="125"/>
      <c r="H902" s="123">
        <v>29.6</v>
      </c>
      <c r="I902" s="123"/>
    </row>
    <row r="903" spans="1:9" s="16" customFormat="1" ht="12" customHeight="1" x14ac:dyDescent="0.2">
      <c r="A903" s="65">
        <v>894</v>
      </c>
      <c r="B903" s="60"/>
      <c r="C903" s="112" t="s">
        <v>729</v>
      </c>
      <c r="D903" s="112"/>
      <c r="E903" s="112"/>
      <c r="F903" s="125" t="s">
        <v>184</v>
      </c>
      <c r="G903" s="125"/>
      <c r="H903" s="123">
        <v>49.9</v>
      </c>
      <c r="I903" s="123"/>
    </row>
    <row r="904" spans="1:9" s="17" customFormat="1" ht="12.75" customHeight="1" x14ac:dyDescent="0.2">
      <c r="A904" s="65">
        <v>895</v>
      </c>
      <c r="B904" s="60" t="s">
        <v>2241</v>
      </c>
      <c r="C904" s="112" t="s">
        <v>4462</v>
      </c>
      <c r="D904" s="112"/>
      <c r="E904" s="112"/>
      <c r="F904" s="124" t="s">
        <v>71</v>
      </c>
      <c r="G904" s="125"/>
      <c r="H904" s="123">
        <f>16.1+19.7</f>
        <v>35.799999999999997</v>
      </c>
      <c r="I904" s="123"/>
    </row>
    <row r="905" spans="1:9" s="17" customFormat="1" ht="12.75" customHeight="1" x14ac:dyDescent="0.2">
      <c r="A905" s="65">
        <v>896</v>
      </c>
      <c r="B905" s="60"/>
      <c r="C905" s="117" t="s">
        <v>1661</v>
      </c>
      <c r="D905" s="118"/>
      <c r="E905" s="119"/>
      <c r="F905" s="124" t="s">
        <v>271</v>
      </c>
      <c r="G905" s="125"/>
      <c r="H905" s="115">
        <v>33.5</v>
      </c>
      <c r="I905" s="116"/>
    </row>
    <row r="906" spans="1:9" s="16" customFormat="1" ht="12" customHeight="1" x14ac:dyDescent="0.2">
      <c r="A906" s="65">
        <v>897</v>
      </c>
      <c r="B906" s="60"/>
      <c r="C906" s="112" t="s">
        <v>5087</v>
      </c>
      <c r="D906" s="112"/>
      <c r="E906" s="112"/>
      <c r="F906" s="125" t="s">
        <v>483</v>
      </c>
      <c r="G906" s="125"/>
      <c r="H906" s="123">
        <v>30.3</v>
      </c>
      <c r="I906" s="123"/>
    </row>
    <row r="907" spans="1:9" s="16" customFormat="1" ht="12" customHeight="1" x14ac:dyDescent="0.2">
      <c r="A907" s="65">
        <v>898</v>
      </c>
      <c r="B907" s="60"/>
      <c r="C907" s="112" t="s">
        <v>4821</v>
      </c>
      <c r="D907" s="112"/>
      <c r="E907" s="112"/>
      <c r="F907" s="125" t="s">
        <v>483</v>
      </c>
      <c r="G907" s="125"/>
      <c r="H907" s="123">
        <f>9.7+90.4+39.9-16.3-16.3-3.5-60.3-3.5-13.3-13.5</f>
        <v>13.300000000000008</v>
      </c>
      <c r="I907" s="123"/>
    </row>
    <row r="908" spans="1:9" s="16" customFormat="1" ht="12" customHeight="1" x14ac:dyDescent="0.2">
      <c r="A908" s="65">
        <v>899</v>
      </c>
      <c r="B908" s="60"/>
      <c r="C908" s="112" t="s">
        <v>2663</v>
      </c>
      <c r="D908" s="112"/>
      <c r="E908" s="112"/>
      <c r="F908" s="125" t="s">
        <v>483</v>
      </c>
      <c r="G908" s="125"/>
      <c r="H908" s="123">
        <f>24.1-4.3</f>
        <v>19.8</v>
      </c>
      <c r="I908" s="123"/>
    </row>
    <row r="909" spans="1:9" s="16" customFormat="1" ht="12" customHeight="1" x14ac:dyDescent="0.2">
      <c r="A909" s="65">
        <v>900</v>
      </c>
      <c r="B909" s="60"/>
      <c r="C909" s="112" t="s">
        <v>3120</v>
      </c>
      <c r="D909" s="112"/>
      <c r="E909" s="112"/>
      <c r="F909" s="125" t="s">
        <v>184</v>
      </c>
      <c r="G909" s="125"/>
      <c r="H909" s="123">
        <f>89.8-9.8-40.4+0.1+9.8-3.6-3.7</f>
        <v>42.199999999999996</v>
      </c>
      <c r="I909" s="123"/>
    </row>
    <row r="910" spans="1:9" s="16" customFormat="1" ht="12" customHeight="1" x14ac:dyDescent="0.2">
      <c r="A910" s="65">
        <v>901</v>
      </c>
      <c r="B910" s="60"/>
      <c r="C910" s="120" t="s">
        <v>3639</v>
      </c>
      <c r="D910" s="120"/>
      <c r="E910" s="120"/>
      <c r="F910" s="125" t="s">
        <v>76</v>
      </c>
      <c r="G910" s="125"/>
      <c r="H910" s="123">
        <v>12.8</v>
      </c>
      <c r="I910" s="123"/>
    </row>
    <row r="911" spans="1:9" s="17" customFormat="1" ht="12.75" customHeight="1" x14ac:dyDescent="0.2">
      <c r="A911" s="65">
        <v>902</v>
      </c>
      <c r="B911" s="60"/>
      <c r="C911" s="112" t="s">
        <v>455</v>
      </c>
      <c r="D911" s="112"/>
      <c r="E911" s="112"/>
      <c r="F911" s="113" t="s">
        <v>59</v>
      </c>
      <c r="G911" s="114"/>
      <c r="H911" s="123">
        <v>33</v>
      </c>
      <c r="I911" s="123"/>
    </row>
    <row r="912" spans="1:9" s="17" customFormat="1" ht="12.75" customHeight="1" x14ac:dyDescent="0.2">
      <c r="A912" s="65">
        <v>903</v>
      </c>
      <c r="B912" s="60"/>
      <c r="C912" s="112" t="s">
        <v>2114</v>
      </c>
      <c r="D912" s="112"/>
      <c r="E912" s="112"/>
      <c r="F912" s="124" t="s">
        <v>17</v>
      </c>
      <c r="G912" s="125"/>
      <c r="H912" s="123">
        <f>192-35.3-34.7+142-7+82.5-7-17-17.7-17.5-17.7-10.6-7-22.5-17.7-178+1.2+139.5-6.8-55-3-7-34.8-11</f>
        <v>49.90000000000002</v>
      </c>
      <c r="I912" s="123"/>
    </row>
    <row r="913" spans="1:9" s="17" customFormat="1" ht="12.75" customHeight="1" x14ac:dyDescent="0.2">
      <c r="A913" s="65">
        <v>904</v>
      </c>
      <c r="B913" s="60"/>
      <c r="C913" s="112" t="s">
        <v>3152</v>
      </c>
      <c r="D913" s="112"/>
      <c r="E913" s="112"/>
      <c r="F913" s="124" t="s">
        <v>17</v>
      </c>
      <c r="G913" s="125"/>
      <c r="H913" s="123">
        <f>875-35-215-139.5+5.5</f>
        <v>491</v>
      </c>
      <c r="I913" s="123"/>
    </row>
    <row r="914" spans="1:9" s="17" customFormat="1" ht="12.75" customHeight="1" x14ac:dyDescent="0.2">
      <c r="A914" s="65">
        <v>905</v>
      </c>
      <c r="B914" s="60"/>
      <c r="C914" s="112" t="s">
        <v>855</v>
      </c>
      <c r="D914" s="112"/>
      <c r="E914" s="112"/>
      <c r="F914" s="124" t="s">
        <v>31</v>
      </c>
      <c r="G914" s="125"/>
      <c r="H914" s="123">
        <f>87-6.4-37-3.7-3.7</f>
        <v>36.199999999999989</v>
      </c>
      <c r="I914" s="123"/>
    </row>
    <row r="915" spans="1:9" s="17" customFormat="1" ht="12.75" customHeight="1" x14ac:dyDescent="0.2">
      <c r="A915" s="65">
        <v>906</v>
      </c>
      <c r="B915" s="60"/>
      <c r="C915" s="112" t="s">
        <v>2940</v>
      </c>
      <c r="D915" s="112"/>
      <c r="E915" s="112"/>
      <c r="F915" s="124" t="s">
        <v>31</v>
      </c>
      <c r="G915" s="125"/>
      <c r="H915" s="123">
        <f>109-64.2+47.3-44.8-8.7-4.8</f>
        <v>33.799999999999997</v>
      </c>
      <c r="I915" s="123"/>
    </row>
    <row r="916" spans="1:9" s="17" customFormat="1" ht="12.75" customHeight="1" x14ac:dyDescent="0.2">
      <c r="A916" s="65">
        <v>907</v>
      </c>
      <c r="B916" s="60"/>
      <c r="C916" s="117" t="s">
        <v>1682</v>
      </c>
      <c r="D916" s="118"/>
      <c r="E916" s="119"/>
      <c r="F916" s="124" t="s">
        <v>71</v>
      </c>
      <c r="G916" s="125"/>
      <c r="H916" s="115">
        <f>226+2</f>
        <v>228</v>
      </c>
      <c r="I916" s="116"/>
    </row>
    <row r="917" spans="1:9" s="17" customFormat="1" ht="12.75" customHeight="1" x14ac:dyDescent="0.2">
      <c r="A917" s="65">
        <v>908</v>
      </c>
      <c r="B917" s="60"/>
      <c r="C917" s="112" t="s">
        <v>505</v>
      </c>
      <c r="D917" s="112"/>
      <c r="E917" s="112"/>
      <c r="F917" s="124" t="s">
        <v>33</v>
      </c>
      <c r="G917" s="125"/>
      <c r="H917" s="123">
        <f>260.5-79.2-31.2-22.5-29-52</f>
        <v>46.600000000000023</v>
      </c>
      <c r="I917" s="123"/>
    </row>
    <row r="918" spans="1:9" s="17" customFormat="1" ht="12.75" customHeight="1" x14ac:dyDescent="0.2">
      <c r="A918" s="65">
        <v>909</v>
      </c>
      <c r="B918" s="60"/>
      <c r="C918" s="112" t="s">
        <v>3189</v>
      </c>
      <c r="D918" s="112"/>
      <c r="E918" s="112"/>
      <c r="F918" s="124" t="s">
        <v>33</v>
      </c>
      <c r="G918" s="125"/>
      <c r="H918" s="123">
        <f>18.6+30-14.2-2.4</f>
        <v>32.000000000000007</v>
      </c>
      <c r="I918" s="123"/>
    </row>
    <row r="919" spans="1:9" s="17" customFormat="1" ht="12.75" customHeight="1" x14ac:dyDescent="0.2">
      <c r="A919" s="65">
        <v>910</v>
      </c>
      <c r="B919" s="60"/>
      <c r="C919" s="117" t="s">
        <v>2922</v>
      </c>
      <c r="D919" s="118"/>
      <c r="E919" s="119"/>
      <c r="F919" s="113" t="s">
        <v>59</v>
      </c>
      <c r="G919" s="114"/>
      <c r="H919" s="115">
        <f>135.6-90.5+0.1</f>
        <v>45.199999999999996</v>
      </c>
      <c r="I919" s="116"/>
    </row>
    <row r="920" spans="1:9" s="16" customFormat="1" ht="12" customHeight="1" x14ac:dyDescent="0.2">
      <c r="A920" s="65">
        <v>911</v>
      </c>
      <c r="B920" s="60" t="s">
        <v>2876</v>
      </c>
      <c r="C920" s="112" t="s">
        <v>3705</v>
      </c>
      <c r="D920" s="112"/>
      <c r="E920" s="112"/>
      <c r="F920" s="125" t="s">
        <v>184</v>
      </c>
      <c r="G920" s="125"/>
      <c r="H920" s="123">
        <f>305-18.2-4.8-13-12.4-13.9-4-51.7-10.7</f>
        <v>176.3</v>
      </c>
      <c r="I920" s="123"/>
    </row>
    <row r="921" spans="1:9" s="16" customFormat="1" ht="12" customHeight="1" x14ac:dyDescent="0.2">
      <c r="A921" s="65">
        <v>912</v>
      </c>
      <c r="B921" s="60"/>
      <c r="C921" s="112" t="s">
        <v>4709</v>
      </c>
      <c r="D921" s="112"/>
      <c r="E921" s="112"/>
      <c r="F921" s="125" t="s">
        <v>184</v>
      </c>
      <c r="G921" s="125"/>
      <c r="H921" s="123">
        <f>26.5+20.3-8.2</f>
        <v>38.599999999999994</v>
      </c>
      <c r="I921" s="123"/>
    </row>
    <row r="922" spans="1:9" s="16" customFormat="1" ht="12" customHeight="1" x14ac:dyDescent="0.2">
      <c r="A922" s="65">
        <v>913</v>
      </c>
      <c r="B922" s="60"/>
      <c r="C922" s="112" t="s">
        <v>5380</v>
      </c>
      <c r="D922" s="112"/>
      <c r="E922" s="112"/>
      <c r="F922" s="125" t="s">
        <v>184</v>
      </c>
      <c r="G922" s="125"/>
      <c r="H922" s="123">
        <v>31.3</v>
      </c>
      <c r="I922" s="123"/>
    </row>
    <row r="923" spans="1:9" s="16" customFormat="1" ht="12" customHeight="1" x14ac:dyDescent="0.2">
      <c r="A923" s="65">
        <v>914</v>
      </c>
      <c r="B923" s="60"/>
      <c r="C923" s="112" t="s">
        <v>1662</v>
      </c>
      <c r="D923" s="112"/>
      <c r="E923" s="112"/>
      <c r="F923" s="124" t="s">
        <v>33</v>
      </c>
      <c r="G923" s="125"/>
      <c r="H923" s="123">
        <v>34</v>
      </c>
      <c r="I923" s="123"/>
    </row>
    <row r="924" spans="1:9" s="16" customFormat="1" ht="12" customHeight="1" x14ac:dyDescent="0.2">
      <c r="A924" s="65">
        <v>915</v>
      </c>
      <c r="B924" s="60"/>
      <c r="C924" s="112" t="s">
        <v>1663</v>
      </c>
      <c r="D924" s="112"/>
      <c r="E924" s="112"/>
      <c r="F924" s="124" t="s">
        <v>33</v>
      </c>
      <c r="G924" s="125"/>
      <c r="H924" s="123">
        <f>135-2.5</f>
        <v>132.5</v>
      </c>
      <c r="I924" s="123"/>
    </row>
    <row r="925" spans="1:9" s="17" customFormat="1" ht="12.75" customHeight="1" x14ac:dyDescent="0.2">
      <c r="A925" s="65">
        <v>916</v>
      </c>
      <c r="B925" s="60"/>
      <c r="C925" s="112" t="s">
        <v>3437</v>
      </c>
      <c r="D925" s="112"/>
      <c r="E925" s="112"/>
      <c r="F925" s="125" t="s">
        <v>57</v>
      </c>
      <c r="G925" s="125"/>
      <c r="H925" s="123">
        <f>870-95-55-390-23.8</f>
        <v>306.2</v>
      </c>
      <c r="I925" s="123"/>
    </row>
    <row r="926" spans="1:9" s="17" customFormat="1" ht="12.75" customHeight="1" x14ac:dyDescent="0.2">
      <c r="A926" s="65">
        <v>917</v>
      </c>
      <c r="B926" s="60"/>
      <c r="C926" s="117" t="s">
        <v>2603</v>
      </c>
      <c r="D926" s="118"/>
      <c r="E926" s="119"/>
      <c r="F926" s="124" t="s">
        <v>31</v>
      </c>
      <c r="G926" s="125"/>
      <c r="H926" s="115">
        <f>37.6-3</f>
        <v>34.6</v>
      </c>
      <c r="I926" s="116"/>
    </row>
    <row r="927" spans="1:9" s="17" customFormat="1" ht="12.75" customHeight="1" x14ac:dyDescent="0.2">
      <c r="A927" s="65">
        <v>918</v>
      </c>
      <c r="B927" s="60"/>
      <c r="C927" s="112" t="s">
        <v>3426</v>
      </c>
      <c r="D927" s="112"/>
      <c r="E927" s="112"/>
      <c r="F927" s="125" t="s">
        <v>76</v>
      </c>
      <c r="G927" s="125"/>
      <c r="H927" s="123">
        <f>8.4+35.8-8.4-4.7-18+14.3</f>
        <v>27.4</v>
      </c>
      <c r="I927" s="123"/>
    </row>
    <row r="928" spans="1:9" s="17" customFormat="1" ht="12.75" customHeight="1" x14ac:dyDescent="0.2">
      <c r="A928" s="65">
        <v>919</v>
      </c>
      <c r="B928" s="60"/>
      <c r="C928" s="117" t="s">
        <v>5278</v>
      </c>
      <c r="D928" s="118"/>
      <c r="E928" s="119"/>
      <c r="F928" s="121" t="s">
        <v>291</v>
      </c>
      <c r="G928" s="122"/>
      <c r="H928" s="123">
        <v>79.599999999999994</v>
      </c>
      <c r="I928" s="123"/>
    </row>
    <row r="929" spans="1:9" s="17" customFormat="1" ht="12.75" customHeight="1" x14ac:dyDescent="0.2">
      <c r="A929" s="65">
        <v>920</v>
      </c>
      <c r="B929" s="60" t="s">
        <v>2224</v>
      </c>
      <c r="C929" s="112" t="s">
        <v>5379</v>
      </c>
      <c r="D929" s="112"/>
      <c r="E929" s="112"/>
      <c r="F929" s="124" t="s">
        <v>45</v>
      </c>
      <c r="G929" s="124"/>
      <c r="H929" s="123">
        <v>77.599999999999994</v>
      </c>
      <c r="I929" s="123"/>
    </row>
    <row r="930" spans="1:9" s="17" customFormat="1" ht="12.75" customHeight="1" x14ac:dyDescent="0.2">
      <c r="A930" s="65">
        <v>921</v>
      </c>
      <c r="B930" s="60"/>
      <c r="C930" s="112" t="s">
        <v>444</v>
      </c>
      <c r="D930" s="112"/>
      <c r="E930" s="112"/>
      <c r="F930" s="125" t="s">
        <v>76</v>
      </c>
      <c r="G930" s="125"/>
      <c r="H930" s="123"/>
      <c r="I930" s="123"/>
    </row>
    <row r="931" spans="1:9" s="17" customFormat="1" ht="12.75" customHeight="1" x14ac:dyDescent="0.2">
      <c r="A931" s="65">
        <v>922</v>
      </c>
      <c r="B931" s="60"/>
      <c r="C931" s="117" t="s">
        <v>3097</v>
      </c>
      <c r="D931" s="118"/>
      <c r="E931" s="119"/>
      <c r="F931" s="113" t="s">
        <v>59</v>
      </c>
      <c r="G931" s="114"/>
      <c r="H931" s="115">
        <f>101-14.3-2.9-14.5-24.3-3+13.9-15.5</f>
        <v>40.4</v>
      </c>
      <c r="I931" s="116"/>
    </row>
    <row r="932" spans="1:9" s="16" customFormat="1" ht="12" customHeight="1" x14ac:dyDescent="0.2">
      <c r="A932" s="65">
        <v>923</v>
      </c>
      <c r="B932" s="60" t="s">
        <v>2224</v>
      </c>
      <c r="C932" s="120" t="s">
        <v>4465</v>
      </c>
      <c r="D932" s="120"/>
      <c r="E932" s="120"/>
      <c r="F932" s="125" t="s">
        <v>483</v>
      </c>
      <c r="G932" s="125"/>
      <c r="H932" s="123">
        <v>6.1</v>
      </c>
      <c r="I932" s="123"/>
    </row>
    <row r="933" spans="1:9" s="17" customFormat="1" ht="12.75" customHeight="1" x14ac:dyDescent="0.2">
      <c r="A933" s="65">
        <v>924</v>
      </c>
      <c r="B933" s="60"/>
      <c r="C933" s="112" t="s">
        <v>746</v>
      </c>
      <c r="D933" s="112"/>
      <c r="E933" s="112"/>
      <c r="F933" s="124" t="s">
        <v>200</v>
      </c>
      <c r="G933" s="124"/>
      <c r="H933" s="123"/>
      <c r="I933" s="123"/>
    </row>
    <row r="934" spans="1:9" s="16" customFormat="1" ht="12" customHeight="1" x14ac:dyDescent="0.2">
      <c r="A934" s="65">
        <v>925</v>
      </c>
      <c r="B934" s="60"/>
      <c r="C934" s="112" t="s">
        <v>3002</v>
      </c>
      <c r="D934" s="112"/>
      <c r="E934" s="112"/>
      <c r="F934" s="125" t="s">
        <v>59</v>
      </c>
      <c r="G934" s="125"/>
      <c r="H934" s="123">
        <f>403-6.7-29-3.1-22.8-14.4-3.7-16.3-24.1-48-24.2-23.1-6.3-40.3-23.7</f>
        <v>117.3</v>
      </c>
      <c r="I934" s="123"/>
    </row>
    <row r="935" spans="1:9" s="16" customFormat="1" ht="12" customHeight="1" x14ac:dyDescent="0.2">
      <c r="A935" s="65">
        <v>926</v>
      </c>
      <c r="B935" s="60" t="s">
        <v>3636</v>
      </c>
      <c r="C935" s="120" t="s">
        <v>4451</v>
      </c>
      <c r="D935" s="120"/>
      <c r="E935" s="120"/>
      <c r="F935" s="125" t="s">
        <v>483</v>
      </c>
      <c r="G935" s="125"/>
      <c r="H935" s="123">
        <v>11.9</v>
      </c>
      <c r="I935" s="123"/>
    </row>
    <row r="936" spans="1:9" s="17" customFormat="1" ht="12.75" customHeight="1" x14ac:dyDescent="0.2">
      <c r="A936" s="65">
        <v>927</v>
      </c>
      <c r="B936" s="60" t="s">
        <v>3636</v>
      </c>
      <c r="C936" s="112" t="s">
        <v>4332</v>
      </c>
      <c r="D936" s="112"/>
      <c r="E936" s="112"/>
      <c r="F936" s="125" t="s">
        <v>62</v>
      </c>
      <c r="G936" s="125"/>
      <c r="H936" s="123">
        <f>11.4+10.8</f>
        <v>22.200000000000003</v>
      </c>
      <c r="I936" s="123"/>
    </row>
    <row r="937" spans="1:9" s="17" customFormat="1" ht="12.75" customHeight="1" x14ac:dyDescent="0.2">
      <c r="A937" s="65">
        <v>928</v>
      </c>
      <c r="B937" s="60"/>
      <c r="C937" s="112" t="s">
        <v>5128</v>
      </c>
      <c r="D937" s="118"/>
      <c r="E937" s="119"/>
      <c r="F937" s="125" t="s">
        <v>76</v>
      </c>
      <c r="G937" s="114"/>
      <c r="H937" s="123">
        <v>173</v>
      </c>
      <c r="I937" s="116"/>
    </row>
    <row r="938" spans="1:9" s="17" customFormat="1" ht="12.75" customHeight="1" x14ac:dyDescent="0.2">
      <c r="A938" s="65">
        <v>929</v>
      </c>
      <c r="B938" s="60"/>
      <c r="C938" s="112" t="s">
        <v>5129</v>
      </c>
      <c r="D938" s="118"/>
      <c r="E938" s="119"/>
      <c r="F938" s="125" t="s">
        <v>76</v>
      </c>
      <c r="G938" s="114"/>
      <c r="H938" s="123">
        <v>3.9</v>
      </c>
      <c r="I938" s="116"/>
    </row>
    <row r="939" spans="1:9" s="17" customFormat="1" ht="12.75" customHeight="1" x14ac:dyDescent="0.2">
      <c r="A939" s="65">
        <v>930</v>
      </c>
      <c r="B939" s="60"/>
      <c r="C939" s="112" t="s">
        <v>3262</v>
      </c>
      <c r="D939" s="112"/>
      <c r="E939" s="112"/>
      <c r="F939" s="121" t="s">
        <v>56</v>
      </c>
      <c r="G939" s="122"/>
      <c r="H939" s="115">
        <v>6.5</v>
      </c>
      <c r="I939" s="116"/>
    </row>
    <row r="940" spans="1:9" s="17" customFormat="1" ht="11.25" customHeight="1" x14ac:dyDescent="0.2">
      <c r="A940" s="65">
        <v>931</v>
      </c>
      <c r="B940" s="60"/>
      <c r="C940" s="120" t="s">
        <v>1486</v>
      </c>
      <c r="D940" s="120"/>
      <c r="E940" s="120"/>
      <c r="F940" s="113" t="s">
        <v>57</v>
      </c>
      <c r="G940" s="114"/>
      <c r="H940" s="123">
        <v>19.3</v>
      </c>
      <c r="I940" s="123"/>
    </row>
    <row r="941" spans="1:9" s="17" customFormat="1" ht="11.25" customHeight="1" x14ac:dyDescent="0.2">
      <c r="A941" s="65">
        <v>932</v>
      </c>
      <c r="B941" s="60"/>
      <c r="C941" s="120" t="s">
        <v>1935</v>
      </c>
      <c r="D941" s="120"/>
      <c r="E941" s="120"/>
      <c r="F941" s="113" t="s">
        <v>57</v>
      </c>
      <c r="G941" s="114"/>
      <c r="H941" s="123">
        <f>71.2-38</f>
        <v>33.200000000000003</v>
      </c>
      <c r="I941" s="123"/>
    </row>
    <row r="942" spans="1:9" s="17" customFormat="1" ht="12.75" customHeight="1" x14ac:dyDescent="0.2">
      <c r="A942" s="65">
        <v>933</v>
      </c>
      <c r="B942" s="60"/>
      <c r="C942" s="117" t="s">
        <v>1683</v>
      </c>
      <c r="D942" s="118"/>
      <c r="E942" s="119"/>
      <c r="F942" s="121" t="s">
        <v>71</v>
      </c>
      <c r="G942" s="122"/>
      <c r="H942" s="115">
        <v>15</v>
      </c>
      <c r="I942" s="116"/>
    </row>
    <row r="943" spans="1:9" s="17" customFormat="1" ht="12.75" customHeight="1" x14ac:dyDescent="0.2">
      <c r="A943" s="65">
        <v>934</v>
      </c>
      <c r="B943" s="60"/>
      <c r="C943" s="117" t="s">
        <v>2555</v>
      </c>
      <c r="D943" s="118"/>
      <c r="E943" s="119"/>
      <c r="F943" s="121" t="s">
        <v>33</v>
      </c>
      <c r="G943" s="122"/>
      <c r="H943" s="115">
        <v>12.2</v>
      </c>
      <c r="I943" s="116"/>
    </row>
    <row r="944" spans="1:9" s="17" customFormat="1" ht="12.75" customHeight="1" x14ac:dyDescent="0.2">
      <c r="A944" s="65">
        <v>935</v>
      </c>
      <c r="B944" s="60"/>
      <c r="C944" s="117" t="s">
        <v>1684</v>
      </c>
      <c r="D944" s="118"/>
      <c r="E944" s="119"/>
      <c r="F944" s="121" t="s">
        <v>71</v>
      </c>
      <c r="G944" s="122"/>
      <c r="H944" s="115">
        <f>190-53-38+2.7</f>
        <v>101.7</v>
      </c>
      <c r="I944" s="116"/>
    </row>
    <row r="945" spans="1:9" s="16" customFormat="1" ht="12" customHeight="1" x14ac:dyDescent="0.2">
      <c r="A945" s="65">
        <v>936</v>
      </c>
      <c r="B945" s="60" t="s">
        <v>2224</v>
      </c>
      <c r="C945" s="112" t="s">
        <v>4399</v>
      </c>
      <c r="D945" s="112"/>
      <c r="E945" s="112"/>
      <c r="F945" s="125" t="s">
        <v>140</v>
      </c>
      <c r="G945" s="125"/>
      <c r="H945" s="123">
        <f>19.7-2.2-2</f>
        <v>15.5</v>
      </c>
      <c r="I945" s="123"/>
    </row>
    <row r="946" spans="1:9" s="17" customFormat="1" ht="12.75" customHeight="1" x14ac:dyDescent="0.2">
      <c r="A946" s="65">
        <v>937</v>
      </c>
      <c r="B946" s="60" t="s">
        <v>2224</v>
      </c>
      <c r="C946" s="112" t="s">
        <v>4339</v>
      </c>
      <c r="D946" s="118"/>
      <c r="E946" s="119"/>
      <c r="F946" s="113" t="s">
        <v>29</v>
      </c>
      <c r="G946" s="114"/>
      <c r="H946" s="123">
        <f>19.7+48.1</f>
        <v>67.8</v>
      </c>
      <c r="I946" s="116"/>
    </row>
    <row r="947" spans="1:9" s="17" customFormat="1" ht="12.75" customHeight="1" x14ac:dyDescent="0.2">
      <c r="A947" s="65">
        <v>938</v>
      </c>
      <c r="B947" s="60"/>
      <c r="C947" s="112" t="s">
        <v>4477</v>
      </c>
      <c r="D947" s="112"/>
      <c r="E947" s="112"/>
      <c r="F947" s="113" t="s">
        <v>29</v>
      </c>
      <c r="G947" s="114"/>
      <c r="H947" s="123">
        <f>18.6+10.3-8.6</f>
        <v>20.300000000000004</v>
      </c>
      <c r="I947" s="123"/>
    </row>
    <row r="948" spans="1:9" s="16" customFormat="1" ht="12" customHeight="1" x14ac:dyDescent="0.2">
      <c r="A948" s="65">
        <v>939</v>
      </c>
      <c r="B948" s="60" t="s">
        <v>3636</v>
      </c>
      <c r="C948" s="120" t="s">
        <v>4450</v>
      </c>
      <c r="D948" s="120"/>
      <c r="E948" s="120"/>
      <c r="F948" s="125" t="s">
        <v>483</v>
      </c>
      <c r="G948" s="125"/>
      <c r="H948" s="123">
        <v>6.5</v>
      </c>
      <c r="I948" s="123"/>
    </row>
    <row r="949" spans="1:9" s="17" customFormat="1" ht="12.75" customHeight="1" x14ac:dyDescent="0.2">
      <c r="A949" s="65">
        <v>940</v>
      </c>
      <c r="B949" s="60"/>
      <c r="C949" s="112" t="s">
        <v>2855</v>
      </c>
      <c r="D949" s="112"/>
      <c r="E949" s="112"/>
      <c r="F949" s="121" t="s">
        <v>56</v>
      </c>
      <c r="G949" s="122"/>
      <c r="H949" s="115">
        <v>22.2</v>
      </c>
      <c r="I949" s="116"/>
    </row>
    <row r="950" spans="1:9" s="25" customFormat="1" ht="28.5" customHeight="1" x14ac:dyDescent="0.2">
      <c r="A950" s="65">
        <v>941</v>
      </c>
      <c r="B950" s="60"/>
      <c r="C950" s="145" t="s">
        <v>972</v>
      </c>
      <c r="D950" s="146"/>
      <c r="E950" s="147"/>
      <c r="F950" s="124" t="s">
        <v>599</v>
      </c>
      <c r="G950" s="124"/>
      <c r="H950" s="155">
        <f>326-7.7</f>
        <v>318.3</v>
      </c>
      <c r="I950" s="156"/>
    </row>
    <row r="951" spans="1:9" s="16" customFormat="1" ht="12" customHeight="1" x14ac:dyDescent="0.2">
      <c r="A951" s="65">
        <v>942</v>
      </c>
      <c r="B951" s="60"/>
      <c r="C951" s="112" t="s">
        <v>3190</v>
      </c>
      <c r="D951" s="112"/>
      <c r="E951" s="112"/>
      <c r="F951" s="125" t="s">
        <v>140</v>
      </c>
      <c r="G951" s="125"/>
      <c r="H951" s="123">
        <f>13.9+12.7</f>
        <v>26.6</v>
      </c>
      <c r="I951" s="123"/>
    </row>
    <row r="952" spans="1:9" s="17" customFormat="1" ht="12.75" customHeight="1" x14ac:dyDescent="0.2">
      <c r="A952" s="65">
        <v>943</v>
      </c>
      <c r="B952" s="60"/>
      <c r="C952" s="112" t="s">
        <v>3797</v>
      </c>
      <c r="D952" s="112"/>
      <c r="E952" s="112"/>
      <c r="F952" s="125" t="s">
        <v>76</v>
      </c>
      <c r="G952" s="125"/>
      <c r="H952" s="123">
        <v>14.9</v>
      </c>
      <c r="I952" s="123"/>
    </row>
    <row r="953" spans="1:9" s="17" customFormat="1" ht="12.75" customHeight="1" x14ac:dyDescent="0.2">
      <c r="A953" s="65">
        <v>944</v>
      </c>
      <c r="B953" s="60" t="s">
        <v>2876</v>
      </c>
      <c r="C953" s="112" t="s">
        <v>4722</v>
      </c>
      <c r="D953" s="112"/>
      <c r="E953" s="112"/>
      <c r="F953" s="121" t="s">
        <v>56</v>
      </c>
      <c r="G953" s="122"/>
      <c r="H953" s="115">
        <v>67.5</v>
      </c>
      <c r="I953" s="116"/>
    </row>
    <row r="954" spans="1:9" s="17" customFormat="1" ht="12.75" customHeight="1" x14ac:dyDescent="0.2">
      <c r="A954" s="65">
        <v>945</v>
      </c>
      <c r="B954" s="60"/>
      <c r="C954" s="112" t="s">
        <v>3385</v>
      </c>
      <c r="D954" s="112"/>
      <c r="E954" s="112"/>
      <c r="F954" s="113" t="s">
        <v>76</v>
      </c>
      <c r="G954" s="114"/>
      <c r="H954" s="115">
        <v>178</v>
      </c>
      <c r="I954" s="116"/>
    </row>
    <row r="955" spans="1:9" s="17" customFormat="1" ht="12.75" customHeight="1" x14ac:dyDescent="0.2">
      <c r="A955" s="65">
        <v>946</v>
      </c>
      <c r="B955" s="60"/>
      <c r="C955" s="112" t="s">
        <v>3590</v>
      </c>
      <c r="D955" s="112"/>
      <c r="E955" s="112"/>
      <c r="F955" s="113" t="s">
        <v>76</v>
      </c>
      <c r="G955" s="114"/>
      <c r="H955" s="115">
        <f>38.4-0.9</f>
        <v>37.5</v>
      </c>
      <c r="I955" s="116"/>
    </row>
    <row r="956" spans="1:9" s="17" customFormat="1" ht="12.75" customHeight="1" x14ac:dyDescent="0.2">
      <c r="A956" s="65">
        <v>947</v>
      </c>
      <c r="B956" s="60" t="s">
        <v>3636</v>
      </c>
      <c r="C956" s="112" t="s">
        <v>3980</v>
      </c>
      <c r="D956" s="112"/>
      <c r="E956" s="112"/>
      <c r="F956" s="125" t="s">
        <v>62</v>
      </c>
      <c r="G956" s="125"/>
      <c r="H956" s="123">
        <v>12.9</v>
      </c>
      <c r="I956" s="123"/>
    </row>
    <row r="957" spans="1:9" s="16" customFormat="1" ht="12" customHeight="1" x14ac:dyDescent="0.2">
      <c r="A957" s="65">
        <v>948</v>
      </c>
      <c r="B957" s="60" t="s">
        <v>3636</v>
      </c>
      <c r="C957" s="112" t="s">
        <v>3637</v>
      </c>
      <c r="D957" s="112"/>
      <c r="E957" s="112"/>
      <c r="F957" s="125" t="s">
        <v>76</v>
      </c>
      <c r="G957" s="125"/>
      <c r="H957" s="123">
        <v>40.4</v>
      </c>
      <c r="I957" s="123"/>
    </row>
    <row r="958" spans="1:9" s="17" customFormat="1" ht="12.75" customHeight="1" x14ac:dyDescent="0.2">
      <c r="A958" s="65">
        <v>949</v>
      </c>
      <c r="B958" s="60"/>
      <c r="C958" s="120" t="s">
        <v>2393</v>
      </c>
      <c r="D958" s="120"/>
      <c r="E958" s="120"/>
      <c r="F958" s="124" t="s">
        <v>345</v>
      </c>
      <c r="G958" s="124"/>
      <c r="H958" s="123">
        <f>82.5-2-8.7-10.1-1.8</f>
        <v>59.9</v>
      </c>
      <c r="I958" s="123"/>
    </row>
    <row r="959" spans="1:9" s="17" customFormat="1" ht="12.75" customHeight="1" x14ac:dyDescent="0.2">
      <c r="A959" s="65">
        <v>950</v>
      </c>
      <c r="B959" s="60"/>
      <c r="C959" s="112" t="s">
        <v>3386</v>
      </c>
      <c r="D959" s="112"/>
      <c r="E959" s="112"/>
      <c r="F959" s="113" t="s">
        <v>76</v>
      </c>
      <c r="G959" s="114"/>
      <c r="H959" s="115">
        <f>48.6</f>
        <v>48.6</v>
      </c>
      <c r="I959" s="116"/>
    </row>
    <row r="960" spans="1:9" s="17" customFormat="1" ht="12.75" customHeight="1" x14ac:dyDescent="0.2">
      <c r="A960" s="65">
        <v>951</v>
      </c>
      <c r="B960" s="60" t="s">
        <v>4032</v>
      </c>
      <c r="C960" s="112" t="s">
        <v>3641</v>
      </c>
      <c r="D960" s="112"/>
      <c r="E960" s="112"/>
      <c r="F960" s="113" t="s">
        <v>76</v>
      </c>
      <c r="G960" s="114"/>
      <c r="H960" s="115">
        <v>56.9</v>
      </c>
      <c r="I960" s="116"/>
    </row>
    <row r="961" spans="1:9" s="17" customFormat="1" ht="12.75" customHeight="1" x14ac:dyDescent="0.2">
      <c r="A961" s="65">
        <v>952</v>
      </c>
      <c r="B961" s="60" t="s">
        <v>2224</v>
      </c>
      <c r="C961" s="112" t="s">
        <v>3642</v>
      </c>
      <c r="D961" s="112"/>
      <c r="E961" s="112"/>
      <c r="F961" s="113" t="s">
        <v>76</v>
      </c>
      <c r="G961" s="114"/>
      <c r="H961" s="115">
        <v>18.5</v>
      </c>
      <c r="I961" s="116"/>
    </row>
    <row r="962" spans="1:9" s="17" customFormat="1" ht="12.75" customHeight="1" x14ac:dyDescent="0.2">
      <c r="A962" s="65">
        <v>953</v>
      </c>
      <c r="B962" s="60"/>
      <c r="C962" s="112" t="s">
        <v>3564</v>
      </c>
      <c r="D962" s="112"/>
      <c r="E962" s="112"/>
      <c r="F962" s="113" t="s">
        <v>76</v>
      </c>
      <c r="G962" s="114"/>
      <c r="H962" s="115">
        <f>324.5-19.5-10-5-117</f>
        <v>173</v>
      </c>
      <c r="I962" s="116"/>
    </row>
    <row r="963" spans="1:9" s="17" customFormat="1" ht="11.25" x14ac:dyDescent="0.2">
      <c r="A963" s="65">
        <v>954</v>
      </c>
      <c r="B963" s="60"/>
      <c r="C963" s="112" t="s">
        <v>2941</v>
      </c>
      <c r="D963" s="112"/>
      <c r="E963" s="112"/>
      <c r="F963" s="113" t="s">
        <v>76</v>
      </c>
      <c r="G963" s="114"/>
      <c r="H963" s="123">
        <f>402-23-2-43.8+17.6-185</f>
        <v>165.8</v>
      </c>
      <c r="I963" s="123"/>
    </row>
    <row r="964" spans="1:9" s="17" customFormat="1" ht="15.75" customHeight="1" x14ac:dyDescent="0.2">
      <c r="A964" s="65">
        <v>955</v>
      </c>
      <c r="B964" s="60"/>
      <c r="C964" s="112" t="s">
        <v>4182</v>
      </c>
      <c r="D964" s="112"/>
      <c r="E964" s="112"/>
      <c r="F964" s="113" t="s">
        <v>76</v>
      </c>
      <c r="G964" s="114"/>
      <c r="H964" s="123">
        <f>352.6-24.7-28.5-35.2-34.3-85-2.5-2</f>
        <v>140.40000000000003</v>
      </c>
      <c r="I964" s="123"/>
    </row>
    <row r="965" spans="1:9" s="17" customFormat="1" ht="12.75" customHeight="1" x14ac:dyDescent="0.2">
      <c r="A965" s="65">
        <v>956</v>
      </c>
      <c r="B965" s="60"/>
      <c r="C965" s="128" t="s">
        <v>1498</v>
      </c>
      <c r="D965" s="126"/>
      <c r="E965" s="127"/>
      <c r="F965" s="125" t="s">
        <v>76</v>
      </c>
      <c r="G965" s="125"/>
      <c r="H965" s="115">
        <f>30.6-6.5-4.2+11.4-19.9-2.5</f>
        <v>8.9000000000000057</v>
      </c>
      <c r="I965" s="116"/>
    </row>
    <row r="966" spans="1:9" s="17" customFormat="1" ht="18.75" customHeight="1" x14ac:dyDescent="0.2">
      <c r="A966" s="65">
        <v>957</v>
      </c>
      <c r="B966" s="60"/>
      <c r="C966" s="117" t="s">
        <v>871</v>
      </c>
      <c r="D966" s="118"/>
      <c r="E966" s="119"/>
      <c r="F966" s="113" t="s">
        <v>59</v>
      </c>
      <c r="G966" s="114"/>
      <c r="H966" s="115">
        <v>54.6</v>
      </c>
      <c r="I966" s="116"/>
    </row>
    <row r="967" spans="1:9" s="17" customFormat="1" ht="12.75" customHeight="1" x14ac:dyDescent="0.2">
      <c r="A967" s="65">
        <v>958</v>
      </c>
      <c r="B967" s="60"/>
      <c r="C967" s="117" t="s">
        <v>870</v>
      </c>
      <c r="D967" s="118"/>
      <c r="E967" s="119"/>
      <c r="F967" s="113" t="s">
        <v>140</v>
      </c>
      <c r="G967" s="114"/>
      <c r="H967" s="115">
        <v>23</v>
      </c>
      <c r="I967" s="116"/>
    </row>
    <row r="968" spans="1:9" s="17" customFormat="1" ht="12.75" customHeight="1" x14ac:dyDescent="0.2">
      <c r="A968" s="65">
        <v>959</v>
      </c>
      <c r="B968" s="60">
        <v>6</v>
      </c>
      <c r="C968" s="117" t="s">
        <v>660</v>
      </c>
      <c r="D968" s="118"/>
      <c r="E968" s="119"/>
      <c r="F968" s="113" t="s">
        <v>59</v>
      </c>
      <c r="G968" s="114"/>
      <c r="H968" s="115">
        <v>140</v>
      </c>
      <c r="I968" s="116"/>
    </row>
    <row r="969" spans="1:9" s="17" customFormat="1" ht="12.75" customHeight="1" x14ac:dyDescent="0.2">
      <c r="A969" s="65">
        <v>960</v>
      </c>
      <c r="B969" s="60"/>
      <c r="C969" s="117" t="s">
        <v>919</v>
      </c>
      <c r="D969" s="118"/>
      <c r="E969" s="119"/>
      <c r="F969" s="113" t="s">
        <v>59</v>
      </c>
      <c r="G969" s="114"/>
      <c r="H969" s="115">
        <f>63-18.2-7</f>
        <v>37.799999999999997</v>
      </c>
      <c r="I969" s="116"/>
    </row>
    <row r="970" spans="1:9" s="17" customFormat="1" ht="12.75" customHeight="1" x14ac:dyDescent="0.2">
      <c r="A970" s="65">
        <v>961</v>
      </c>
      <c r="B970" s="60"/>
      <c r="C970" s="117" t="s">
        <v>962</v>
      </c>
      <c r="D970" s="118"/>
      <c r="E970" s="119"/>
      <c r="F970" s="113" t="s">
        <v>59</v>
      </c>
      <c r="G970" s="114"/>
      <c r="H970" s="115">
        <f>160-35-11-30</f>
        <v>84</v>
      </c>
      <c r="I970" s="116"/>
    </row>
    <row r="971" spans="1:9" s="17" customFormat="1" ht="12.75" customHeight="1" x14ac:dyDescent="0.2">
      <c r="A971" s="65">
        <v>962</v>
      </c>
      <c r="B971" s="60"/>
      <c r="C971" s="117" t="s">
        <v>2396</v>
      </c>
      <c r="D971" s="118"/>
      <c r="E971" s="119"/>
      <c r="F971" s="121" t="s">
        <v>33</v>
      </c>
      <c r="G971" s="122"/>
      <c r="H971" s="115">
        <f>120+1-4.5-60</f>
        <v>56.5</v>
      </c>
      <c r="I971" s="116"/>
    </row>
    <row r="972" spans="1:9" s="17" customFormat="1" ht="12.75" customHeight="1" x14ac:dyDescent="0.2">
      <c r="A972" s="65">
        <v>963</v>
      </c>
      <c r="B972" s="60"/>
      <c r="C972" s="120" t="s">
        <v>2001</v>
      </c>
      <c r="D972" s="120"/>
      <c r="E972" s="120"/>
      <c r="F972" s="124" t="s">
        <v>45</v>
      </c>
      <c r="G972" s="124"/>
      <c r="H972" s="123">
        <v>14</v>
      </c>
      <c r="I972" s="123"/>
    </row>
    <row r="973" spans="1:9" s="17" customFormat="1" ht="12.75" customHeight="1" x14ac:dyDescent="0.2">
      <c r="A973" s="65">
        <v>964</v>
      </c>
      <c r="B973" s="60"/>
      <c r="C973" s="112" t="s">
        <v>975</v>
      </c>
      <c r="D973" s="112"/>
      <c r="E973" s="112"/>
      <c r="F973" s="125" t="s">
        <v>57</v>
      </c>
      <c r="G973" s="125"/>
      <c r="H973" s="115">
        <f>56.8-13-28.5-2.5</f>
        <v>12.799999999999997</v>
      </c>
      <c r="I973" s="116"/>
    </row>
    <row r="974" spans="1:9" s="17" customFormat="1" ht="12.75" customHeight="1" x14ac:dyDescent="0.2">
      <c r="A974" s="65">
        <v>965</v>
      </c>
      <c r="B974" s="60"/>
      <c r="C974" s="112" t="s">
        <v>4805</v>
      </c>
      <c r="D974" s="112"/>
      <c r="E974" s="112"/>
      <c r="F974" s="125" t="s">
        <v>140</v>
      </c>
      <c r="G974" s="125"/>
      <c r="H974" s="123">
        <f>132.7-62.2-13.8-3.8+0.1-3.5-3.6-7.3-7.2</f>
        <v>31.399999999999995</v>
      </c>
      <c r="I974" s="123"/>
    </row>
    <row r="975" spans="1:9" s="17" customFormat="1" ht="12.75" customHeight="1" x14ac:dyDescent="0.2">
      <c r="A975" s="65">
        <v>966</v>
      </c>
      <c r="B975" s="60"/>
      <c r="C975" s="120" t="s">
        <v>2706</v>
      </c>
      <c r="D975" s="120"/>
      <c r="E975" s="120"/>
      <c r="F975" s="125" t="s">
        <v>157</v>
      </c>
      <c r="G975" s="125"/>
      <c r="H975" s="123">
        <f>75.8-14-9.5-13.5-3.6</f>
        <v>35.199999999999996</v>
      </c>
      <c r="I975" s="123"/>
    </row>
    <row r="976" spans="1:9" s="17" customFormat="1" ht="12.75" customHeight="1" x14ac:dyDescent="0.2">
      <c r="A976" s="65">
        <v>967</v>
      </c>
      <c r="B976" s="60"/>
      <c r="C976" s="120" t="s">
        <v>1685</v>
      </c>
      <c r="D976" s="120"/>
      <c r="E976" s="120"/>
      <c r="F976" s="124" t="s">
        <v>31</v>
      </c>
      <c r="G976" s="124"/>
      <c r="H976" s="123">
        <f>75-3.3</f>
        <v>71.7</v>
      </c>
      <c r="I976" s="123"/>
    </row>
    <row r="977" spans="1:9" s="17" customFormat="1" ht="12.75" customHeight="1" x14ac:dyDescent="0.2">
      <c r="A977" s="65">
        <v>968</v>
      </c>
      <c r="B977" s="60"/>
      <c r="C977" s="120" t="s">
        <v>1135</v>
      </c>
      <c r="D977" s="120"/>
      <c r="E977" s="120"/>
      <c r="F977" s="125" t="s">
        <v>59</v>
      </c>
      <c r="G977" s="125"/>
      <c r="H977" s="123">
        <f>75-6-1</f>
        <v>68</v>
      </c>
      <c r="I977" s="123"/>
    </row>
    <row r="978" spans="1:9" s="17" customFormat="1" ht="12.75" customHeight="1" x14ac:dyDescent="0.2">
      <c r="A978" s="65">
        <v>969</v>
      </c>
      <c r="B978" s="60"/>
      <c r="C978" s="120" t="s">
        <v>2002</v>
      </c>
      <c r="D978" s="120"/>
      <c r="E978" s="120"/>
      <c r="F978" s="124" t="s">
        <v>45</v>
      </c>
      <c r="G978" s="124"/>
      <c r="H978" s="123">
        <v>7.6</v>
      </c>
      <c r="I978" s="123"/>
    </row>
    <row r="979" spans="1:9" s="17" customFormat="1" ht="12.75" customHeight="1" x14ac:dyDescent="0.2">
      <c r="A979" s="65">
        <v>970</v>
      </c>
      <c r="B979" s="60"/>
      <c r="C979" s="120" t="s">
        <v>2000</v>
      </c>
      <c r="D979" s="120"/>
      <c r="E979" s="120"/>
      <c r="F979" s="124" t="s">
        <v>45</v>
      </c>
      <c r="G979" s="124"/>
      <c r="H979" s="123">
        <v>8</v>
      </c>
      <c r="I979" s="123"/>
    </row>
    <row r="980" spans="1:9" s="17" customFormat="1" ht="12.75" customHeight="1" x14ac:dyDescent="0.2">
      <c r="A980" s="65">
        <v>971</v>
      </c>
      <c r="B980" s="60"/>
      <c r="C980" s="120" t="s">
        <v>1092</v>
      </c>
      <c r="D980" s="120"/>
      <c r="E980" s="120"/>
      <c r="F980" s="125" t="s">
        <v>59</v>
      </c>
      <c r="G980" s="125"/>
      <c r="H980" s="123">
        <f>180-53-75-1</f>
        <v>51</v>
      </c>
      <c r="I980" s="123"/>
    </row>
    <row r="981" spans="1:9" s="17" customFormat="1" ht="12.75" customHeight="1" x14ac:dyDescent="0.2">
      <c r="A981" s="65">
        <v>972</v>
      </c>
      <c r="B981" s="60"/>
      <c r="C981" s="120" t="s">
        <v>994</v>
      </c>
      <c r="D981" s="120"/>
      <c r="E981" s="120"/>
      <c r="F981" s="125" t="s">
        <v>59</v>
      </c>
      <c r="G981" s="125"/>
      <c r="H981" s="123">
        <f>45-8.5</f>
        <v>36.5</v>
      </c>
      <c r="I981" s="123"/>
    </row>
    <row r="982" spans="1:9" s="17" customFormat="1" ht="12.75" customHeight="1" x14ac:dyDescent="0.2">
      <c r="A982" s="65">
        <v>973</v>
      </c>
      <c r="B982" s="60"/>
      <c r="C982" s="120" t="s">
        <v>1686</v>
      </c>
      <c r="D982" s="120"/>
      <c r="E982" s="120"/>
      <c r="F982" s="124" t="s">
        <v>71</v>
      </c>
      <c r="G982" s="124"/>
      <c r="H982" s="123">
        <f>147+36.3-147</f>
        <v>36.300000000000011</v>
      </c>
      <c r="I982" s="123"/>
    </row>
    <row r="983" spans="1:9" s="17" customFormat="1" ht="12.75" customHeight="1" x14ac:dyDescent="0.2">
      <c r="A983" s="65">
        <v>974</v>
      </c>
      <c r="B983" s="60"/>
      <c r="C983" s="117" t="s">
        <v>1664</v>
      </c>
      <c r="D983" s="118"/>
      <c r="E983" s="119"/>
      <c r="F983" s="124" t="s">
        <v>17</v>
      </c>
      <c r="G983" s="124"/>
      <c r="H983" s="115">
        <v>32.200000000000003</v>
      </c>
      <c r="I983" s="116"/>
    </row>
    <row r="984" spans="1:9" s="17" customFormat="1" ht="27.75" customHeight="1" x14ac:dyDescent="0.2">
      <c r="A984" s="65">
        <v>975</v>
      </c>
      <c r="B984" s="60"/>
      <c r="C984" s="120" t="s">
        <v>4825</v>
      </c>
      <c r="D984" s="120"/>
      <c r="E984" s="120"/>
      <c r="F984" s="124" t="s">
        <v>33</v>
      </c>
      <c r="G984" s="124"/>
      <c r="H984" s="123">
        <f>620-176-1.7-52.2-108.5-11-12.8-5.5-6.5-6.7-13-55.3</f>
        <v>170.8</v>
      </c>
      <c r="I984" s="123"/>
    </row>
    <row r="985" spans="1:9" s="17" customFormat="1" ht="12.75" customHeight="1" x14ac:dyDescent="0.2">
      <c r="A985" s="65">
        <v>976</v>
      </c>
      <c r="B985" s="60"/>
      <c r="C985" s="117" t="s">
        <v>5264</v>
      </c>
      <c r="D985" s="118"/>
      <c r="E985" s="119"/>
      <c r="F985" s="124" t="s">
        <v>271</v>
      </c>
      <c r="G985" s="124"/>
      <c r="H985" s="115">
        <f>286-8-71.5-24.5</f>
        <v>182</v>
      </c>
      <c r="I985" s="116"/>
    </row>
    <row r="986" spans="1:9" s="17" customFormat="1" ht="12.75" customHeight="1" x14ac:dyDescent="0.2">
      <c r="A986" s="65">
        <v>977</v>
      </c>
      <c r="B986" s="60" t="s">
        <v>4102</v>
      </c>
      <c r="C986" s="128" t="s">
        <v>4461</v>
      </c>
      <c r="D986" s="126"/>
      <c r="E986" s="127"/>
      <c r="F986" s="124" t="s">
        <v>71</v>
      </c>
      <c r="G986" s="124"/>
      <c r="H986" s="115">
        <f>74.3+35.8+24.6</f>
        <v>134.69999999999999</v>
      </c>
      <c r="I986" s="116"/>
    </row>
    <row r="987" spans="1:9" s="17" customFormat="1" ht="12.75" customHeight="1" x14ac:dyDescent="0.2">
      <c r="A987" s="65">
        <v>978</v>
      </c>
      <c r="B987" s="60"/>
      <c r="C987" s="112" t="s">
        <v>3987</v>
      </c>
      <c r="D987" s="112"/>
      <c r="E987" s="112"/>
      <c r="F987" s="125" t="s">
        <v>62</v>
      </c>
      <c r="G987" s="125"/>
      <c r="H987" s="123">
        <f>9-5.5+13-3.5-4.5-4.3+0.1</f>
        <v>4.3</v>
      </c>
      <c r="I987" s="123"/>
    </row>
    <row r="988" spans="1:9" s="17" customFormat="1" ht="11.25" customHeight="1" x14ac:dyDescent="0.2">
      <c r="A988" s="65">
        <v>979</v>
      </c>
      <c r="B988" s="60"/>
      <c r="C988" s="112" t="s">
        <v>1736</v>
      </c>
      <c r="D988" s="112"/>
      <c r="E988" s="112"/>
      <c r="F988" s="124" t="s">
        <v>31</v>
      </c>
      <c r="G988" s="124"/>
      <c r="H988" s="123">
        <f>29-3+25.8-1.4-5.7</f>
        <v>44.699999999999996</v>
      </c>
      <c r="I988" s="123"/>
    </row>
    <row r="989" spans="1:9" s="17" customFormat="1" ht="12.75" customHeight="1" x14ac:dyDescent="0.2">
      <c r="A989" s="65">
        <v>980</v>
      </c>
      <c r="B989" s="60"/>
      <c r="C989" s="112" t="s">
        <v>3441</v>
      </c>
      <c r="D989" s="112"/>
      <c r="E989" s="112"/>
      <c r="F989" s="124" t="s">
        <v>56</v>
      </c>
      <c r="G989" s="124"/>
      <c r="H989" s="123">
        <f>65+58+16-5.7-12.5-14.2</f>
        <v>106.60000000000001</v>
      </c>
      <c r="I989" s="123"/>
    </row>
    <row r="990" spans="1:9" s="17" customFormat="1" ht="12.75" customHeight="1" x14ac:dyDescent="0.2">
      <c r="A990" s="65">
        <v>981</v>
      </c>
      <c r="B990" s="60"/>
      <c r="C990" s="128" t="s">
        <v>1313</v>
      </c>
      <c r="D990" s="126"/>
      <c r="E990" s="127"/>
      <c r="F990" s="125" t="s">
        <v>76</v>
      </c>
      <c r="G990" s="125"/>
      <c r="H990" s="115">
        <f>20.2+99-29</f>
        <v>90.2</v>
      </c>
      <c r="I990" s="116"/>
    </row>
    <row r="991" spans="1:9" s="17" customFormat="1" ht="12.75" customHeight="1" x14ac:dyDescent="0.2">
      <c r="A991" s="65">
        <v>982</v>
      </c>
      <c r="B991" s="60" t="s">
        <v>2876</v>
      </c>
      <c r="C991" s="112" t="s">
        <v>4319</v>
      </c>
      <c r="D991" s="112"/>
      <c r="E991" s="112"/>
      <c r="F991" s="124" t="s">
        <v>200</v>
      </c>
      <c r="G991" s="124"/>
      <c r="H991" s="123">
        <f>19.1+12.3</f>
        <v>31.400000000000002</v>
      </c>
      <c r="I991" s="123"/>
    </row>
    <row r="992" spans="1:9" s="17" customFormat="1" ht="12.75" customHeight="1" x14ac:dyDescent="0.2">
      <c r="A992" s="65">
        <v>983</v>
      </c>
      <c r="B992" s="60"/>
      <c r="C992" s="112" t="s">
        <v>155</v>
      </c>
      <c r="D992" s="112"/>
      <c r="E992" s="112"/>
      <c r="F992" s="124" t="s">
        <v>200</v>
      </c>
      <c r="G992" s="124"/>
      <c r="H992" s="123">
        <v>15</v>
      </c>
      <c r="I992" s="123"/>
    </row>
    <row r="993" spans="1:9" s="17" customFormat="1" ht="12.75" customHeight="1" x14ac:dyDescent="0.2">
      <c r="A993" s="65">
        <v>984</v>
      </c>
      <c r="B993" s="60"/>
      <c r="C993" s="112" t="s">
        <v>156</v>
      </c>
      <c r="D993" s="112"/>
      <c r="E993" s="112"/>
      <c r="F993" s="124" t="s">
        <v>200</v>
      </c>
      <c r="G993" s="124"/>
      <c r="H993" s="123">
        <v>35.799999999999997</v>
      </c>
      <c r="I993" s="123"/>
    </row>
    <row r="994" spans="1:9" s="17" customFormat="1" ht="12.75" customHeight="1" x14ac:dyDescent="0.2">
      <c r="A994" s="65">
        <v>985</v>
      </c>
      <c r="B994" s="60"/>
      <c r="C994" s="117" t="s">
        <v>765</v>
      </c>
      <c r="D994" s="118"/>
      <c r="E994" s="119"/>
      <c r="F994" s="121" t="s">
        <v>200</v>
      </c>
      <c r="G994" s="122"/>
      <c r="H994" s="115">
        <f>25.2-5.8</f>
        <v>19.399999999999999</v>
      </c>
      <c r="I994" s="116"/>
    </row>
    <row r="995" spans="1:9" s="17" customFormat="1" ht="12.75" customHeight="1" x14ac:dyDescent="0.2">
      <c r="A995" s="65">
        <v>986</v>
      </c>
      <c r="B995" s="60"/>
      <c r="C995" s="117" t="s">
        <v>1537</v>
      </c>
      <c r="D995" s="118"/>
      <c r="E995" s="119"/>
      <c r="F995" s="125" t="s">
        <v>76</v>
      </c>
      <c r="G995" s="125"/>
      <c r="H995" s="115">
        <f>311.5-63-2-125.6-20.7-18.3-1-1.6</f>
        <v>79.300000000000011</v>
      </c>
      <c r="I995" s="116"/>
    </row>
    <row r="996" spans="1:9" s="17" customFormat="1" ht="11.25" customHeight="1" x14ac:dyDescent="0.2">
      <c r="A996" s="65">
        <v>987</v>
      </c>
      <c r="B996" s="60"/>
      <c r="C996" s="112" t="s">
        <v>970</v>
      </c>
      <c r="D996" s="112"/>
      <c r="E996" s="112"/>
      <c r="F996" s="124" t="s">
        <v>42</v>
      </c>
      <c r="G996" s="124"/>
      <c r="H996" s="123">
        <v>11.5</v>
      </c>
      <c r="I996" s="123"/>
    </row>
    <row r="997" spans="1:9" s="17" customFormat="1" ht="12.75" customHeight="1" x14ac:dyDescent="0.2">
      <c r="A997" s="65">
        <v>988</v>
      </c>
      <c r="B997" s="60"/>
      <c r="C997" s="112" t="s">
        <v>2239</v>
      </c>
      <c r="D997" s="112"/>
      <c r="E997" s="112"/>
      <c r="F997" s="124" t="s">
        <v>200</v>
      </c>
      <c r="G997" s="124"/>
      <c r="H997" s="123">
        <f>13.9+20.4+24.8</f>
        <v>59.099999999999994</v>
      </c>
      <c r="I997" s="123"/>
    </row>
    <row r="998" spans="1:9" s="17" customFormat="1" ht="12.75" customHeight="1" x14ac:dyDescent="0.2">
      <c r="A998" s="65">
        <v>989</v>
      </c>
      <c r="B998" s="60"/>
      <c r="C998" s="128" t="s">
        <v>3337</v>
      </c>
      <c r="D998" s="126"/>
      <c r="E998" s="127"/>
      <c r="F998" s="125" t="s">
        <v>62</v>
      </c>
      <c r="G998" s="125"/>
      <c r="H998" s="115">
        <f>116.3-3.6-34.9</f>
        <v>77.800000000000011</v>
      </c>
      <c r="I998" s="116"/>
    </row>
    <row r="999" spans="1:9" s="17" customFormat="1" ht="12.75" customHeight="1" x14ac:dyDescent="0.2">
      <c r="A999" s="65">
        <v>990</v>
      </c>
      <c r="B999" s="60"/>
      <c r="C999" s="128" t="s">
        <v>4277</v>
      </c>
      <c r="D999" s="126"/>
      <c r="E999" s="127"/>
      <c r="F999" s="125" t="s">
        <v>76</v>
      </c>
      <c r="G999" s="125"/>
      <c r="H999" s="115">
        <v>27.8</v>
      </c>
      <c r="I999" s="116"/>
    </row>
    <row r="1000" spans="1:9" s="17" customFormat="1" ht="12.75" customHeight="1" x14ac:dyDescent="0.2">
      <c r="A1000" s="65">
        <v>991</v>
      </c>
      <c r="B1000" s="60"/>
      <c r="C1000" s="128" t="s">
        <v>2012</v>
      </c>
      <c r="D1000" s="126"/>
      <c r="E1000" s="127"/>
      <c r="F1000" s="125" t="s">
        <v>76</v>
      </c>
      <c r="G1000" s="125"/>
      <c r="H1000" s="115">
        <f>60.3+127+127+28.7+169-292-21.3-21.3+16.5+8.3-21.3-28.7-5.1-4.2-8.3-55.2-16.5-21.4+23-8.2-3.3-8.2-8.8-23</f>
        <v>13</v>
      </c>
      <c r="I1000" s="116"/>
    </row>
    <row r="1001" spans="1:9" s="17" customFormat="1" ht="12.75" customHeight="1" x14ac:dyDescent="0.2">
      <c r="A1001" s="65">
        <v>992</v>
      </c>
      <c r="B1001" s="60"/>
      <c r="C1001" s="128" t="s">
        <v>3417</v>
      </c>
      <c r="D1001" s="126"/>
      <c r="E1001" s="127"/>
      <c r="F1001" s="125" t="s">
        <v>76</v>
      </c>
      <c r="G1001" s="125"/>
      <c r="H1001" s="115">
        <f>105.6-21-6.4-14.5-4.3</f>
        <v>59.399999999999991</v>
      </c>
      <c r="I1001" s="116"/>
    </row>
    <row r="1002" spans="1:9" s="17" customFormat="1" ht="12.75" customHeight="1" x14ac:dyDescent="0.2">
      <c r="A1002" s="65">
        <v>993</v>
      </c>
      <c r="B1002" s="60" t="s">
        <v>3679</v>
      </c>
      <c r="C1002" s="128" t="s">
        <v>3680</v>
      </c>
      <c r="D1002" s="126"/>
      <c r="E1002" s="127"/>
      <c r="F1002" s="125" t="s">
        <v>76</v>
      </c>
      <c r="G1002" s="125"/>
      <c r="H1002" s="115">
        <v>126.4</v>
      </c>
      <c r="I1002" s="116"/>
    </row>
    <row r="1003" spans="1:9" s="17" customFormat="1" ht="12.75" customHeight="1" x14ac:dyDescent="0.2">
      <c r="A1003" s="65">
        <v>994</v>
      </c>
      <c r="B1003" s="60">
        <v>6</v>
      </c>
      <c r="C1003" s="128" t="s">
        <v>3678</v>
      </c>
      <c r="D1003" s="126"/>
      <c r="E1003" s="127"/>
      <c r="F1003" s="125" t="s">
        <v>76</v>
      </c>
      <c r="G1003" s="125"/>
      <c r="H1003" s="115">
        <f>460-22-105-126.4</f>
        <v>206.6</v>
      </c>
      <c r="I1003" s="116"/>
    </row>
    <row r="1004" spans="1:9" s="17" customFormat="1" ht="12.75" customHeight="1" x14ac:dyDescent="0.2">
      <c r="A1004" s="65">
        <v>995</v>
      </c>
      <c r="B1004" s="60"/>
      <c r="C1004" s="128" t="s">
        <v>2380</v>
      </c>
      <c r="D1004" s="126"/>
      <c r="E1004" s="127"/>
      <c r="F1004" s="125" t="s">
        <v>76</v>
      </c>
      <c r="G1004" s="125"/>
      <c r="H1004" s="115">
        <f>179.7-4.5-38.7</f>
        <v>136.5</v>
      </c>
      <c r="I1004" s="116"/>
    </row>
    <row r="1005" spans="1:9" s="17" customFormat="1" ht="12.75" customHeight="1" x14ac:dyDescent="0.2">
      <c r="A1005" s="65">
        <v>996</v>
      </c>
      <c r="B1005" s="60" t="s">
        <v>3679</v>
      </c>
      <c r="C1005" s="128" t="s">
        <v>4113</v>
      </c>
      <c r="D1005" s="126"/>
      <c r="E1005" s="127"/>
      <c r="F1005" s="125" t="s">
        <v>76</v>
      </c>
      <c r="G1005" s="125"/>
      <c r="H1005" s="115">
        <v>16.100000000000001</v>
      </c>
      <c r="I1005" s="116"/>
    </row>
    <row r="1006" spans="1:9" s="17" customFormat="1" ht="12.75" customHeight="1" x14ac:dyDescent="0.2">
      <c r="A1006" s="65">
        <v>997</v>
      </c>
      <c r="B1006" s="60"/>
      <c r="C1006" s="112" t="s">
        <v>668</v>
      </c>
      <c r="D1006" s="112"/>
      <c r="E1006" s="112"/>
      <c r="F1006" s="124" t="s">
        <v>267</v>
      </c>
      <c r="G1006" s="124"/>
      <c r="H1006" s="123">
        <f>37.5-13.5</f>
        <v>24</v>
      </c>
      <c r="I1006" s="123"/>
    </row>
    <row r="1007" spans="1:9" s="17" customFormat="1" ht="12.75" customHeight="1" x14ac:dyDescent="0.2">
      <c r="A1007" s="65">
        <v>998</v>
      </c>
      <c r="B1007" s="60"/>
      <c r="C1007" s="117" t="s">
        <v>481</v>
      </c>
      <c r="D1007" s="118"/>
      <c r="E1007" s="119"/>
      <c r="F1007" s="125" t="s">
        <v>76</v>
      </c>
      <c r="G1007" s="125"/>
      <c r="H1007" s="115"/>
      <c r="I1007" s="116"/>
    </row>
    <row r="1008" spans="1:9" s="17" customFormat="1" ht="12.75" customHeight="1" x14ac:dyDescent="0.2">
      <c r="A1008" s="65">
        <v>999</v>
      </c>
      <c r="B1008" s="60"/>
      <c r="C1008" s="128" t="s">
        <v>306</v>
      </c>
      <c r="D1008" s="126"/>
      <c r="E1008" s="127"/>
      <c r="F1008" s="125" t="s">
        <v>76</v>
      </c>
      <c r="G1008" s="125"/>
      <c r="H1008" s="115"/>
      <c r="I1008" s="116"/>
    </row>
    <row r="1009" spans="1:9" s="17" customFormat="1" ht="12.75" customHeight="1" x14ac:dyDescent="0.2">
      <c r="A1009" s="65">
        <v>1000</v>
      </c>
      <c r="B1009" s="60" t="s">
        <v>4032</v>
      </c>
      <c r="C1009" s="112" t="s">
        <v>4193</v>
      </c>
      <c r="D1009" s="112"/>
      <c r="E1009" s="112"/>
      <c r="F1009" s="124" t="s">
        <v>200</v>
      </c>
      <c r="G1009" s="124"/>
      <c r="H1009" s="123">
        <v>36</v>
      </c>
      <c r="I1009" s="123"/>
    </row>
    <row r="1010" spans="1:9" s="17" customFormat="1" ht="12.75" customHeight="1" x14ac:dyDescent="0.2">
      <c r="A1010" s="65">
        <v>1001</v>
      </c>
      <c r="B1010" s="60"/>
      <c r="C1010" s="112" t="s">
        <v>780</v>
      </c>
      <c r="D1010" s="112"/>
      <c r="E1010" s="112"/>
      <c r="F1010" s="124" t="s">
        <v>200</v>
      </c>
      <c r="G1010" s="124"/>
      <c r="H1010" s="123">
        <v>69</v>
      </c>
      <c r="I1010" s="123"/>
    </row>
    <row r="1011" spans="1:9" s="17" customFormat="1" ht="11.25" customHeight="1" x14ac:dyDescent="0.2">
      <c r="A1011" s="65">
        <v>1002</v>
      </c>
      <c r="B1011" s="60"/>
      <c r="C1011" s="112" t="s">
        <v>1010</v>
      </c>
      <c r="D1011" s="112"/>
      <c r="E1011" s="112"/>
      <c r="F1011" s="124" t="s">
        <v>31</v>
      </c>
      <c r="G1011" s="124"/>
      <c r="H1011" s="123">
        <v>140.30000000000001</v>
      </c>
      <c r="I1011" s="123"/>
    </row>
    <row r="1012" spans="1:9" s="17" customFormat="1" ht="11.25" customHeight="1" x14ac:dyDescent="0.2">
      <c r="A1012" s="65">
        <v>1003</v>
      </c>
      <c r="B1012" s="60"/>
      <c r="C1012" s="112" t="s">
        <v>1555</v>
      </c>
      <c r="D1012" s="112"/>
      <c r="E1012" s="112"/>
      <c r="F1012" s="124" t="s">
        <v>42</v>
      </c>
      <c r="G1012" s="124"/>
      <c r="H1012" s="123">
        <f>37.5+19.4-18.3-1.7</f>
        <v>36.899999999999991</v>
      </c>
      <c r="I1012" s="123"/>
    </row>
    <row r="1013" spans="1:9" s="17" customFormat="1" ht="12.75" customHeight="1" x14ac:dyDescent="0.2">
      <c r="A1013" s="65">
        <v>1004</v>
      </c>
      <c r="B1013" s="60"/>
      <c r="C1013" s="128" t="s">
        <v>971</v>
      </c>
      <c r="D1013" s="126"/>
      <c r="E1013" s="127"/>
      <c r="F1013" s="124" t="s">
        <v>42</v>
      </c>
      <c r="G1013" s="124"/>
      <c r="H1013" s="115">
        <f>54.5-24.5</f>
        <v>30</v>
      </c>
      <c r="I1013" s="116"/>
    </row>
    <row r="1014" spans="1:9" s="17" customFormat="1" ht="12.75" customHeight="1" x14ac:dyDescent="0.2">
      <c r="A1014" s="65">
        <v>1005</v>
      </c>
      <c r="B1014" s="60"/>
      <c r="C1014" s="112" t="s">
        <v>1275</v>
      </c>
      <c r="D1014" s="112"/>
      <c r="E1014" s="112"/>
      <c r="F1014" s="124" t="s">
        <v>1</v>
      </c>
      <c r="G1014" s="124"/>
      <c r="H1014" s="123">
        <f>20.4+25+22+10.3-10.3-22+13.9-13.9+23.2</f>
        <v>68.600000000000009</v>
      </c>
      <c r="I1014" s="123"/>
    </row>
    <row r="1015" spans="1:9" s="17" customFormat="1" ht="12.75" customHeight="1" x14ac:dyDescent="0.2">
      <c r="A1015" s="65">
        <v>1006</v>
      </c>
      <c r="B1015" s="60"/>
      <c r="C1015" s="112" t="s">
        <v>990</v>
      </c>
      <c r="D1015" s="112"/>
      <c r="E1015" s="112"/>
      <c r="F1015" s="124" t="s">
        <v>200</v>
      </c>
      <c r="G1015" s="124"/>
      <c r="H1015" s="123">
        <v>36.200000000000003</v>
      </c>
      <c r="I1015" s="123"/>
    </row>
    <row r="1016" spans="1:9" s="17" customFormat="1" x14ac:dyDescent="0.2">
      <c r="A1016" s="65">
        <v>1007</v>
      </c>
      <c r="B1016" s="60" t="s">
        <v>4102</v>
      </c>
      <c r="C1016" s="120" t="s">
        <v>4344</v>
      </c>
      <c r="D1016" s="120"/>
      <c r="E1016" s="120"/>
      <c r="F1016" s="121" t="s">
        <v>56</v>
      </c>
      <c r="G1016" s="122"/>
      <c r="H1016" s="123">
        <f>16.1-8.1</f>
        <v>8.0000000000000018</v>
      </c>
      <c r="I1016" s="123"/>
    </row>
    <row r="1017" spans="1:9" s="17" customFormat="1" x14ac:dyDescent="0.2">
      <c r="A1017" s="65">
        <v>1008</v>
      </c>
      <c r="B1017" s="60" t="s">
        <v>4102</v>
      </c>
      <c r="C1017" s="120" t="s">
        <v>4500</v>
      </c>
      <c r="D1017" s="120"/>
      <c r="E1017" s="120"/>
      <c r="F1017" s="121" t="s">
        <v>56</v>
      </c>
      <c r="G1017" s="122"/>
      <c r="H1017" s="123">
        <v>20.3</v>
      </c>
      <c r="I1017" s="123"/>
    </row>
    <row r="1018" spans="1:9" s="17" customFormat="1" ht="12.75" customHeight="1" x14ac:dyDescent="0.2">
      <c r="A1018" s="65">
        <v>1009</v>
      </c>
      <c r="B1018" s="60"/>
      <c r="C1018" s="120" t="s">
        <v>445</v>
      </c>
      <c r="D1018" s="120"/>
      <c r="E1018" s="120"/>
      <c r="F1018" s="124" t="s">
        <v>56</v>
      </c>
      <c r="G1018" s="124"/>
      <c r="H1018" s="123"/>
      <c r="I1018" s="123"/>
    </row>
    <row r="1019" spans="1:9" s="17" customFormat="1" ht="12.75" customHeight="1" x14ac:dyDescent="0.2">
      <c r="A1019" s="65">
        <v>1010</v>
      </c>
      <c r="B1019" s="60"/>
      <c r="C1019" s="112" t="s">
        <v>446</v>
      </c>
      <c r="D1019" s="112"/>
      <c r="E1019" s="112"/>
      <c r="F1019" s="125" t="s">
        <v>76</v>
      </c>
      <c r="G1019" s="125"/>
      <c r="H1019" s="123"/>
      <c r="I1019" s="123"/>
    </row>
    <row r="1020" spans="1:9" s="17" customFormat="1" ht="12.75" customHeight="1" x14ac:dyDescent="0.2">
      <c r="A1020" s="65">
        <v>1011</v>
      </c>
      <c r="B1020" s="60"/>
      <c r="C1020" s="128" t="s">
        <v>908</v>
      </c>
      <c r="D1020" s="126"/>
      <c r="E1020" s="127"/>
      <c r="F1020" s="113" t="s">
        <v>76</v>
      </c>
      <c r="G1020" s="114"/>
      <c r="H1020" s="115">
        <f>143-12</f>
        <v>131</v>
      </c>
      <c r="I1020" s="116"/>
    </row>
    <row r="1021" spans="1:9" s="17" customFormat="1" ht="12.75" customHeight="1" x14ac:dyDescent="0.2">
      <c r="A1021" s="65">
        <v>1012</v>
      </c>
      <c r="B1021" s="60"/>
      <c r="C1021" s="128" t="s">
        <v>2266</v>
      </c>
      <c r="D1021" s="126"/>
      <c r="E1021" s="127"/>
      <c r="F1021" s="113" t="s">
        <v>76</v>
      </c>
      <c r="G1021" s="114"/>
      <c r="H1021" s="115">
        <f>21.6-5.8</f>
        <v>15.8</v>
      </c>
      <c r="I1021" s="116"/>
    </row>
    <row r="1022" spans="1:9" s="17" customFormat="1" ht="12.75" customHeight="1" x14ac:dyDescent="0.2">
      <c r="A1022" s="65">
        <v>1013</v>
      </c>
      <c r="B1022" s="60"/>
      <c r="C1022" s="112" t="s">
        <v>1630</v>
      </c>
      <c r="D1022" s="112"/>
      <c r="E1022" s="112"/>
      <c r="F1022" s="113" t="s">
        <v>29</v>
      </c>
      <c r="G1022" s="114"/>
      <c r="H1022" s="123">
        <f>145-23.1</f>
        <v>121.9</v>
      </c>
      <c r="I1022" s="123"/>
    </row>
    <row r="1023" spans="1:9" s="17" customFormat="1" ht="12.75" customHeight="1" x14ac:dyDescent="0.2">
      <c r="A1023" s="65">
        <v>1014</v>
      </c>
      <c r="B1023" s="60" t="s">
        <v>4032</v>
      </c>
      <c r="C1023" s="112" t="s">
        <v>4400</v>
      </c>
      <c r="D1023" s="112"/>
      <c r="E1023" s="112"/>
      <c r="F1023" s="125" t="s">
        <v>29</v>
      </c>
      <c r="G1023" s="125"/>
      <c r="H1023" s="123">
        <f>220-1-52.3-48.4-49.3-0.1-2.6</f>
        <v>66.3</v>
      </c>
      <c r="I1023" s="123"/>
    </row>
    <row r="1024" spans="1:9" s="17" customFormat="1" ht="12.75" customHeight="1" x14ac:dyDescent="0.2">
      <c r="A1024" s="65">
        <v>1015</v>
      </c>
      <c r="B1024" s="60"/>
      <c r="C1024" s="128" t="s">
        <v>2262</v>
      </c>
      <c r="D1024" s="126"/>
      <c r="E1024" s="127"/>
      <c r="F1024" s="124" t="s">
        <v>42</v>
      </c>
      <c r="G1024" s="124"/>
      <c r="H1024" s="115">
        <v>20</v>
      </c>
      <c r="I1024" s="116"/>
    </row>
    <row r="1025" spans="1:9" s="17" customFormat="1" ht="12.75" customHeight="1" x14ac:dyDescent="0.2">
      <c r="A1025" s="65">
        <v>1016</v>
      </c>
      <c r="B1025" s="60"/>
      <c r="C1025" s="117" t="s">
        <v>1890</v>
      </c>
      <c r="D1025" s="118"/>
      <c r="E1025" s="119"/>
      <c r="F1025" s="124" t="s">
        <v>42</v>
      </c>
      <c r="G1025" s="124"/>
      <c r="H1025" s="115">
        <v>88.5</v>
      </c>
      <c r="I1025" s="116"/>
    </row>
    <row r="1026" spans="1:9" s="16" customFormat="1" ht="12" customHeight="1" x14ac:dyDescent="0.2">
      <c r="A1026" s="65">
        <v>1017</v>
      </c>
      <c r="B1026" s="60"/>
      <c r="C1026" s="112" t="s">
        <v>2115</v>
      </c>
      <c r="D1026" s="112"/>
      <c r="E1026" s="112"/>
      <c r="F1026" s="124" t="s">
        <v>31</v>
      </c>
      <c r="G1026" s="124"/>
      <c r="H1026" s="123">
        <f>80-16-16</f>
        <v>48</v>
      </c>
      <c r="I1026" s="123"/>
    </row>
    <row r="1027" spans="1:9" s="17" customFormat="1" ht="12.75" customHeight="1" x14ac:dyDescent="0.2">
      <c r="A1027" s="65">
        <v>1018</v>
      </c>
      <c r="B1027" s="60" t="s">
        <v>4043</v>
      </c>
      <c r="C1027" s="112" t="s">
        <v>5175</v>
      </c>
      <c r="D1027" s="112"/>
      <c r="E1027" s="112"/>
      <c r="F1027" s="125" t="s">
        <v>59</v>
      </c>
      <c r="G1027" s="125"/>
      <c r="H1027" s="115">
        <f>122.5-9.2-20.4+0.1-30-24.5-4.8</f>
        <v>33.700000000000003</v>
      </c>
      <c r="I1027" s="116"/>
    </row>
    <row r="1028" spans="1:9" s="17" customFormat="1" ht="12.75" customHeight="1" x14ac:dyDescent="0.2">
      <c r="A1028" s="65">
        <v>1019</v>
      </c>
      <c r="B1028" s="60">
        <v>6</v>
      </c>
      <c r="C1028" s="112" t="s">
        <v>2810</v>
      </c>
      <c r="D1028" s="112"/>
      <c r="E1028" s="112"/>
      <c r="F1028" s="125" t="s">
        <v>59</v>
      </c>
      <c r="G1028" s="125"/>
      <c r="H1028" s="115">
        <f>1600-122.5-125</f>
        <v>1352.5</v>
      </c>
      <c r="I1028" s="116"/>
    </row>
    <row r="1029" spans="1:9" s="17" customFormat="1" ht="12.75" customHeight="1" x14ac:dyDescent="0.2">
      <c r="A1029" s="65">
        <v>1020</v>
      </c>
      <c r="B1029" s="60"/>
      <c r="C1029" s="117" t="s">
        <v>2859</v>
      </c>
      <c r="D1029" s="118"/>
      <c r="E1029" s="119"/>
      <c r="F1029" s="124" t="s">
        <v>56</v>
      </c>
      <c r="G1029" s="124"/>
      <c r="H1029" s="115">
        <f>317.8-47-46.8</f>
        <v>224</v>
      </c>
      <c r="I1029" s="116"/>
    </row>
    <row r="1030" spans="1:9" s="17" customFormat="1" ht="12.75" customHeight="1" x14ac:dyDescent="0.2">
      <c r="A1030" s="65">
        <v>1021</v>
      </c>
      <c r="B1030" s="60"/>
      <c r="C1030" s="112" t="s">
        <v>3515</v>
      </c>
      <c r="D1030" s="112"/>
      <c r="E1030" s="112"/>
      <c r="F1030" s="125" t="s">
        <v>59</v>
      </c>
      <c r="G1030" s="125"/>
      <c r="H1030" s="115">
        <v>24</v>
      </c>
      <c r="I1030" s="116"/>
    </row>
    <row r="1031" spans="1:9" s="17" customFormat="1" ht="12.75" customHeight="1" x14ac:dyDescent="0.2">
      <c r="A1031" s="65">
        <v>1022</v>
      </c>
      <c r="B1031" s="60"/>
      <c r="C1031" s="112" t="s">
        <v>4988</v>
      </c>
      <c r="D1031" s="112"/>
      <c r="E1031" s="112"/>
      <c r="F1031" s="113" t="s">
        <v>59</v>
      </c>
      <c r="G1031" s="114"/>
      <c r="H1031" s="123">
        <f>88-16.3</f>
        <v>71.7</v>
      </c>
      <c r="I1031" s="123"/>
    </row>
    <row r="1032" spans="1:9" s="17" customFormat="1" ht="12.75" customHeight="1" x14ac:dyDescent="0.2">
      <c r="A1032" s="65">
        <v>1023</v>
      </c>
      <c r="B1032" s="60"/>
      <c r="C1032" s="112" t="s">
        <v>3902</v>
      </c>
      <c r="D1032" s="112"/>
      <c r="E1032" s="112"/>
      <c r="F1032" s="113" t="s">
        <v>59</v>
      </c>
      <c r="G1032" s="114"/>
      <c r="H1032" s="123">
        <v>87.5</v>
      </c>
      <c r="I1032" s="123"/>
    </row>
    <row r="1033" spans="1:9" s="17" customFormat="1" ht="12.75" customHeight="1" x14ac:dyDescent="0.2">
      <c r="A1033" s="65">
        <v>1024</v>
      </c>
      <c r="B1033" s="60" t="s">
        <v>3673</v>
      </c>
      <c r="C1033" s="112" t="s">
        <v>3903</v>
      </c>
      <c r="D1033" s="112"/>
      <c r="E1033" s="112"/>
      <c r="F1033" s="124" t="s">
        <v>17</v>
      </c>
      <c r="G1033" s="124"/>
      <c r="H1033" s="123">
        <v>66</v>
      </c>
      <c r="I1033" s="123"/>
    </row>
    <row r="1034" spans="1:9" s="17" customFormat="1" ht="12.75" customHeight="1" x14ac:dyDescent="0.2">
      <c r="A1034" s="65">
        <v>1025</v>
      </c>
      <c r="B1034" s="60"/>
      <c r="C1034" s="120" t="s">
        <v>5290</v>
      </c>
      <c r="D1034" s="126"/>
      <c r="E1034" s="127"/>
      <c r="F1034" s="113" t="s">
        <v>59</v>
      </c>
      <c r="G1034" s="114"/>
      <c r="H1034" s="123">
        <v>309.3</v>
      </c>
      <c r="I1034" s="123"/>
    </row>
    <row r="1035" spans="1:9" s="17" customFormat="1" ht="12.75" customHeight="1" x14ac:dyDescent="0.2">
      <c r="A1035" s="65">
        <v>1026</v>
      </c>
      <c r="B1035" s="60">
        <v>6</v>
      </c>
      <c r="C1035" s="128" t="s">
        <v>2268</v>
      </c>
      <c r="D1035" s="126"/>
      <c r="E1035" s="127"/>
      <c r="F1035" s="124" t="s">
        <v>33</v>
      </c>
      <c r="G1035" s="124"/>
      <c r="H1035" s="115">
        <f>410-103-51-50-22-26-7.5-20.5-27.5+0.5</f>
        <v>103</v>
      </c>
      <c r="I1035" s="116"/>
    </row>
    <row r="1036" spans="1:9" s="17" customFormat="1" ht="12.75" customHeight="1" x14ac:dyDescent="0.2">
      <c r="A1036" s="65">
        <v>1027</v>
      </c>
      <c r="B1036" s="60"/>
      <c r="C1036" s="128" t="s">
        <v>2269</v>
      </c>
      <c r="D1036" s="126"/>
      <c r="E1036" s="127"/>
      <c r="F1036" s="124" t="s">
        <v>33</v>
      </c>
      <c r="G1036" s="124"/>
      <c r="H1036" s="115">
        <v>27.5</v>
      </c>
      <c r="I1036" s="116"/>
    </row>
    <row r="1037" spans="1:9" s="17" customFormat="1" ht="12.75" customHeight="1" x14ac:dyDescent="0.2">
      <c r="A1037" s="65">
        <v>1028</v>
      </c>
      <c r="B1037" s="60"/>
      <c r="C1037" s="112" t="s">
        <v>5171</v>
      </c>
      <c r="D1037" s="112"/>
      <c r="E1037" s="112"/>
      <c r="F1037" s="125" t="s">
        <v>76</v>
      </c>
      <c r="G1037" s="125"/>
      <c r="H1037" s="123">
        <f>45.3-4.6-4.6-15.9</f>
        <v>20.199999999999996</v>
      </c>
      <c r="I1037" s="123"/>
    </row>
    <row r="1038" spans="1:9" s="17" customFormat="1" ht="12.75" customHeight="1" x14ac:dyDescent="0.2">
      <c r="A1038" s="65">
        <v>1029</v>
      </c>
      <c r="B1038" s="60" t="s">
        <v>4102</v>
      </c>
      <c r="C1038" s="112" t="s">
        <v>4101</v>
      </c>
      <c r="D1038" s="112"/>
      <c r="E1038" s="112"/>
      <c r="F1038" s="125" t="s">
        <v>76</v>
      </c>
      <c r="G1038" s="125"/>
      <c r="H1038" s="123">
        <v>46.3</v>
      </c>
      <c r="I1038" s="123"/>
    </row>
    <row r="1039" spans="1:9" s="17" customFormat="1" ht="12.75" customHeight="1" x14ac:dyDescent="0.2">
      <c r="A1039" s="65">
        <v>1030</v>
      </c>
      <c r="B1039" s="60"/>
      <c r="C1039" s="112" t="s">
        <v>1826</v>
      </c>
      <c r="D1039" s="112"/>
      <c r="E1039" s="112"/>
      <c r="F1039" s="125" t="s">
        <v>76</v>
      </c>
      <c r="G1039" s="125"/>
      <c r="H1039" s="123">
        <f>305-33.5-120-101-1-9.8</f>
        <v>39.700000000000003</v>
      </c>
      <c r="I1039" s="123"/>
    </row>
    <row r="1040" spans="1:9" s="17" customFormat="1" ht="12.75" customHeight="1" x14ac:dyDescent="0.2">
      <c r="A1040" s="65">
        <v>1031</v>
      </c>
      <c r="B1040" s="60"/>
      <c r="C1040" s="112" t="s">
        <v>628</v>
      </c>
      <c r="D1040" s="112"/>
      <c r="E1040" s="112"/>
      <c r="F1040" s="125" t="s">
        <v>76</v>
      </c>
      <c r="G1040" s="125"/>
      <c r="H1040" s="123"/>
      <c r="I1040" s="123"/>
    </row>
    <row r="1041" spans="1:9" s="17" customFormat="1" ht="12.75" customHeight="1" x14ac:dyDescent="0.2">
      <c r="A1041" s="65">
        <v>1032</v>
      </c>
      <c r="B1041" s="60"/>
      <c r="C1041" s="112" t="s">
        <v>1218</v>
      </c>
      <c r="D1041" s="112"/>
      <c r="E1041" s="112"/>
      <c r="F1041" s="113" t="s">
        <v>29</v>
      </c>
      <c r="G1041" s="114"/>
      <c r="H1041" s="123">
        <v>98.6</v>
      </c>
      <c r="I1041" s="123"/>
    </row>
    <row r="1042" spans="1:9" s="17" customFormat="1" ht="12.75" customHeight="1" x14ac:dyDescent="0.2">
      <c r="A1042" s="65">
        <v>1033</v>
      </c>
      <c r="B1042" s="60"/>
      <c r="C1042" s="112" t="s">
        <v>789</v>
      </c>
      <c r="D1042" s="112"/>
      <c r="E1042" s="112"/>
      <c r="F1042" s="124" t="s">
        <v>200</v>
      </c>
      <c r="G1042" s="124"/>
      <c r="H1042" s="123">
        <f>18.1-3.2</f>
        <v>14.900000000000002</v>
      </c>
      <c r="I1042" s="123"/>
    </row>
    <row r="1043" spans="1:9" s="17" customFormat="1" ht="12.75" customHeight="1" x14ac:dyDescent="0.2">
      <c r="A1043" s="65">
        <v>1034</v>
      </c>
      <c r="B1043" s="60"/>
      <c r="C1043" s="112" t="s">
        <v>329</v>
      </c>
      <c r="D1043" s="112"/>
      <c r="E1043" s="112"/>
      <c r="F1043" s="124" t="s">
        <v>200</v>
      </c>
      <c r="G1043" s="124"/>
      <c r="H1043" s="123">
        <v>130</v>
      </c>
      <c r="I1043" s="123"/>
    </row>
    <row r="1044" spans="1:9" s="17" customFormat="1" ht="12.75" customHeight="1" x14ac:dyDescent="0.2">
      <c r="A1044" s="65">
        <v>1035</v>
      </c>
      <c r="B1044" s="60"/>
      <c r="C1044" s="112" t="s">
        <v>492</v>
      </c>
      <c r="D1044" s="112"/>
      <c r="E1044" s="112"/>
      <c r="F1044" s="124" t="s">
        <v>200</v>
      </c>
      <c r="G1044" s="124"/>
      <c r="H1044" s="123">
        <f>14.3</f>
        <v>14.3</v>
      </c>
      <c r="I1044" s="123"/>
    </row>
    <row r="1045" spans="1:9" s="17" customFormat="1" ht="12.75" customHeight="1" x14ac:dyDescent="0.2">
      <c r="A1045" s="65">
        <v>1036</v>
      </c>
      <c r="B1045" s="60"/>
      <c r="C1045" s="112" t="s">
        <v>2056</v>
      </c>
      <c r="D1045" s="112"/>
      <c r="E1045" s="112"/>
      <c r="F1045" s="124" t="s">
        <v>200</v>
      </c>
      <c r="G1045" s="124"/>
      <c r="H1045" s="123">
        <v>23.3</v>
      </c>
      <c r="I1045" s="123"/>
    </row>
    <row r="1046" spans="1:9" s="17" customFormat="1" ht="12.75" customHeight="1" x14ac:dyDescent="0.2">
      <c r="A1046" s="65">
        <v>1037</v>
      </c>
      <c r="B1046" s="60"/>
      <c r="C1046" s="112" t="s">
        <v>2055</v>
      </c>
      <c r="D1046" s="112"/>
      <c r="E1046" s="112"/>
      <c r="F1046" s="124" t="s">
        <v>200</v>
      </c>
      <c r="G1046" s="124"/>
      <c r="H1046" s="123">
        <v>36.4</v>
      </c>
      <c r="I1046" s="123"/>
    </row>
    <row r="1047" spans="1:9" s="17" customFormat="1" ht="12.75" customHeight="1" x14ac:dyDescent="0.2">
      <c r="A1047" s="65">
        <v>1038</v>
      </c>
      <c r="B1047" s="60"/>
      <c r="C1047" s="112" t="s">
        <v>447</v>
      </c>
      <c r="D1047" s="112"/>
      <c r="E1047" s="112"/>
      <c r="F1047" s="124" t="s">
        <v>47</v>
      </c>
      <c r="G1047" s="125"/>
      <c r="H1047" s="123"/>
      <c r="I1047" s="123"/>
    </row>
    <row r="1048" spans="1:9" s="17" customFormat="1" ht="12.75" customHeight="1" x14ac:dyDescent="0.2">
      <c r="A1048" s="65">
        <v>1039</v>
      </c>
      <c r="B1048" s="60"/>
      <c r="C1048" s="128" t="s">
        <v>1356</v>
      </c>
      <c r="D1048" s="126"/>
      <c r="E1048" s="127"/>
      <c r="F1048" s="124" t="s">
        <v>1357</v>
      </c>
      <c r="G1048" s="124"/>
      <c r="H1048" s="115">
        <v>24.8</v>
      </c>
      <c r="I1048" s="116"/>
    </row>
    <row r="1049" spans="1:9" s="17" customFormat="1" ht="12.75" customHeight="1" x14ac:dyDescent="0.2">
      <c r="A1049" s="65">
        <v>1040</v>
      </c>
      <c r="B1049" s="60"/>
      <c r="C1049" s="117" t="s">
        <v>4960</v>
      </c>
      <c r="D1049" s="118"/>
      <c r="E1049" s="119"/>
      <c r="F1049" s="124" t="s">
        <v>17</v>
      </c>
      <c r="G1049" s="124"/>
      <c r="H1049" s="115">
        <f>59-7-5.7</f>
        <v>46.3</v>
      </c>
      <c r="I1049" s="116"/>
    </row>
    <row r="1050" spans="1:9" s="17" customFormat="1" ht="12.75" customHeight="1" x14ac:dyDescent="0.2">
      <c r="A1050" s="65">
        <v>1041</v>
      </c>
      <c r="B1050" s="60">
        <v>6</v>
      </c>
      <c r="C1050" s="128" t="s">
        <v>1725</v>
      </c>
      <c r="D1050" s="126"/>
      <c r="E1050" s="127"/>
      <c r="F1050" s="124" t="s">
        <v>271</v>
      </c>
      <c r="G1050" s="124"/>
      <c r="H1050" s="115">
        <f>420-210-10</f>
        <v>200</v>
      </c>
      <c r="I1050" s="116"/>
    </row>
    <row r="1051" spans="1:9" s="17" customFormat="1" ht="12.75" customHeight="1" x14ac:dyDescent="0.2">
      <c r="A1051" s="65">
        <v>1042</v>
      </c>
      <c r="B1051" s="60"/>
      <c r="C1051" s="128" t="s">
        <v>1947</v>
      </c>
      <c r="D1051" s="126"/>
      <c r="E1051" s="127"/>
      <c r="F1051" s="124" t="s">
        <v>291</v>
      </c>
      <c r="G1051" s="125"/>
      <c r="H1051" s="115">
        <v>15.6</v>
      </c>
      <c r="I1051" s="116"/>
    </row>
    <row r="1052" spans="1:9" s="17" customFormat="1" ht="12.75" customHeight="1" x14ac:dyDescent="0.2">
      <c r="A1052" s="65">
        <v>1043</v>
      </c>
      <c r="B1052" s="60"/>
      <c r="C1052" s="144" t="s">
        <v>3070</v>
      </c>
      <c r="D1052" s="144"/>
      <c r="E1052" s="144"/>
      <c r="F1052" s="125" t="s">
        <v>62</v>
      </c>
      <c r="G1052" s="125"/>
      <c r="H1052" s="123">
        <f>31.2-2.6-1.4</f>
        <v>27.2</v>
      </c>
      <c r="I1052" s="123"/>
    </row>
    <row r="1053" spans="1:9" s="17" customFormat="1" ht="12.75" customHeight="1" x14ac:dyDescent="0.2">
      <c r="A1053" s="65">
        <v>1044</v>
      </c>
      <c r="B1053" s="60"/>
      <c r="C1053" s="128" t="s">
        <v>1687</v>
      </c>
      <c r="D1053" s="126"/>
      <c r="E1053" s="127"/>
      <c r="F1053" s="124" t="s">
        <v>291</v>
      </c>
      <c r="G1053" s="125"/>
      <c r="H1053" s="115">
        <f>15.7-4.5</f>
        <v>11.2</v>
      </c>
      <c r="I1053" s="116"/>
    </row>
    <row r="1054" spans="1:9" s="17" customFormat="1" ht="12.75" customHeight="1" x14ac:dyDescent="0.2">
      <c r="A1054" s="65">
        <v>1045</v>
      </c>
      <c r="B1054" s="60"/>
      <c r="C1054" s="117" t="s">
        <v>4177</v>
      </c>
      <c r="D1054" s="118"/>
      <c r="E1054" s="119"/>
      <c r="F1054" s="113" t="s">
        <v>140</v>
      </c>
      <c r="G1054" s="114"/>
      <c r="H1054" s="115">
        <f>293-6.7-32.5-8.2-39.5-78-11.3</f>
        <v>116.80000000000003</v>
      </c>
      <c r="I1054" s="116"/>
    </row>
    <row r="1055" spans="1:9" s="17" customFormat="1" ht="12.75" customHeight="1" x14ac:dyDescent="0.2">
      <c r="A1055" s="65">
        <v>1046</v>
      </c>
      <c r="B1055" s="60"/>
      <c r="C1055" s="128" t="s">
        <v>1948</v>
      </c>
      <c r="D1055" s="126"/>
      <c r="E1055" s="127"/>
      <c r="F1055" s="113" t="s">
        <v>140</v>
      </c>
      <c r="G1055" s="114"/>
      <c r="H1055" s="115">
        <v>14.8</v>
      </c>
      <c r="I1055" s="116"/>
    </row>
    <row r="1056" spans="1:9" s="17" customFormat="1" ht="12.75" customHeight="1" x14ac:dyDescent="0.2">
      <c r="A1056" s="65">
        <v>1047</v>
      </c>
      <c r="B1056" s="60"/>
      <c r="C1056" s="117" t="s">
        <v>885</v>
      </c>
      <c r="D1056" s="118"/>
      <c r="E1056" s="119"/>
      <c r="F1056" s="113" t="s">
        <v>57</v>
      </c>
      <c r="G1056" s="114"/>
      <c r="H1056" s="115">
        <f>107.5-1.7-1.5-71.5-1.4-18.5</f>
        <v>12.899999999999999</v>
      </c>
      <c r="I1056" s="116"/>
    </row>
    <row r="1057" spans="1:9" s="16" customFormat="1" ht="12" customHeight="1" x14ac:dyDescent="0.2">
      <c r="A1057" s="65">
        <v>1048</v>
      </c>
      <c r="B1057" s="60"/>
      <c r="C1057" s="112" t="s">
        <v>1216</v>
      </c>
      <c r="D1057" s="112"/>
      <c r="E1057" s="112"/>
      <c r="F1057" s="125" t="s">
        <v>59</v>
      </c>
      <c r="G1057" s="125"/>
      <c r="H1057" s="123">
        <f>37-7</f>
        <v>30</v>
      </c>
      <c r="I1057" s="123"/>
    </row>
    <row r="1058" spans="1:9" s="17" customFormat="1" ht="12.75" customHeight="1" x14ac:dyDescent="0.2">
      <c r="A1058" s="65">
        <v>1049</v>
      </c>
      <c r="B1058" s="60"/>
      <c r="C1058" s="112" t="s">
        <v>643</v>
      </c>
      <c r="D1058" s="112"/>
      <c r="E1058" s="112"/>
      <c r="F1058" s="124" t="s">
        <v>17</v>
      </c>
      <c r="G1058" s="124"/>
      <c r="H1058" s="123"/>
      <c r="I1058" s="123"/>
    </row>
    <row r="1059" spans="1:9" s="17" customFormat="1" ht="12.75" customHeight="1" x14ac:dyDescent="0.2">
      <c r="A1059" s="65">
        <v>1050</v>
      </c>
      <c r="B1059" s="60"/>
      <c r="C1059" s="128" t="s">
        <v>3019</v>
      </c>
      <c r="D1059" s="126"/>
      <c r="E1059" s="127"/>
      <c r="F1059" s="125" t="s">
        <v>59</v>
      </c>
      <c r="G1059" s="125"/>
      <c r="H1059" s="115">
        <f>44-4.5-18</f>
        <v>21.5</v>
      </c>
      <c r="I1059" s="116"/>
    </row>
    <row r="1060" spans="1:9" s="17" customFormat="1" ht="12.75" customHeight="1" x14ac:dyDescent="0.2">
      <c r="A1060" s="65">
        <v>1051</v>
      </c>
      <c r="B1060" s="60" t="s">
        <v>4043</v>
      </c>
      <c r="C1060" s="117" t="s">
        <v>4523</v>
      </c>
      <c r="D1060" s="118"/>
      <c r="E1060" s="119"/>
      <c r="F1060" s="124" t="s">
        <v>291</v>
      </c>
      <c r="G1060" s="124"/>
      <c r="H1060" s="115">
        <v>30.2</v>
      </c>
      <c r="I1060" s="116"/>
    </row>
    <row r="1061" spans="1:9" s="17" customFormat="1" ht="12.75" customHeight="1" x14ac:dyDescent="0.2">
      <c r="A1061" s="65">
        <v>1052</v>
      </c>
      <c r="B1061" s="60"/>
      <c r="C1061" s="117" t="s">
        <v>4524</v>
      </c>
      <c r="D1061" s="118"/>
      <c r="E1061" s="119"/>
      <c r="F1061" s="124" t="s">
        <v>291</v>
      </c>
      <c r="G1061" s="124"/>
      <c r="H1061" s="115">
        <v>47</v>
      </c>
      <c r="I1061" s="116"/>
    </row>
    <row r="1062" spans="1:9" s="17" customFormat="1" ht="12.75" customHeight="1" x14ac:dyDescent="0.2">
      <c r="A1062" s="65">
        <v>1053</v>
      </c>
      <c r="B1062" s="60"/>
      <c r="C1062" s="117" t="s">
        <v>4525</v>
      </c>
      <c r="D1062" s="118"/>
      <c r="E1062" s="119"/>
      <c r="F1062" s="124" t="s">
        <v>291</v>
      </c>
      <c r="G1062" s="124"/>
      <c r="H1062" s="115">
        <v>25</v>
      </c>
      <c r="I1062" s="116"/>
    </row>
    <row r="1063" spans="1:9" s="17" customFormat="1" ht="12.75" customHeight="1" x14ac:dyDescent="0.2">
      <c r="A1063" s="65">
        <v>1054</v>
      </c>
      <c r="B1063" s="60"/>
      <c r="C1063" s="112" t="s">
        <v>3003</v>
      </c>
      <c r="D1063" s="112"/>
      <c r="E1063" s="112"/>
      <c r="F1063" s="124" t="s">
        <v>56</v>
      </c>
      <c r="G1063" s="124"/>
      <c r="H1063" s="123">
        <f>44.2-5.5-8.7-14</f>
        <v>16.000000000000004</v>
      </c>
      <c r="I1063" s="123"/>
    </row>
    <row r="1064" spans="1:9" s="17" customFormat="1" ht="12.75" customHeight="1" x14ac:dyDescent="0.2">
      <c r="A1064" s="65">
        <v>1055</v>
      </c>
      <c r="B1064" s="60"/>
      <c r="C1064" s="112" t="s">
        <v>456</v>
      </c>
      <c r="D1064" s="112"/>
      <c r="E1064" s="112"/>
      <c r="F1064" s="124" t="s">
        <v>30</v>
      </c>
      <c r="G1064" s="124"/>
      <c r="H1064" s="123"/>
      <c r="I1064" s="123"/>
    </row>
    <row r="1065" spans="1:9" s="17" customFormat="1" ht="12.75" customHeight="1" x14ac:dyDescent="0.2">
      <c r="A1065" s="65">
        <v>1056</v>
      </c>
      <c r="B1065" s="60"/>
      <c r="C1065" s="144" t="s">
        <v>5110</v>
      </c>
      <c r="D1065" s="144"/>
      <c r="E1065" s="144"/>
      <c r="F1065" s="125" t="s">
        <v>76</v>
      </c>
      <c r="G1065" s="125"/>
      <c r="H1065" s="123">
        <f>250.3-133+43.9-2.6-21.6-22.3-19-1.8-5-16.2-7.7</f>
        <v>65.000000000000028</v>
      </c>
      <c r="I1065" s="123"/>
    </row>
    <row r="1066" spans="1:9" s="17" customFormat="1" ht="12.75" customHeight="1" x14ac:dyDescent="0.2">
      <c r="A1066" s="65">
        <v>1057</v>
      </c>
      <c r="B1066" s="60"/>
      <c r="C1066" s="112" t="s">
        <v>5191</v>
      </c>
      <c r="D1066" s="112"/>
      <c r="E1066" s="112"/>
      <c r="F1066" s="125" t="s">
        <v>76</v>
      </c>
      <c r="G1066" s="125"/>
      <c r="H1066" s="123">
        <f>173.5-28.2+107.8-54.5</f>
        <v>198.60000000000002</v>
      </c>
      <c r="I1066" s="123"/>
    </row>
    <row r="1067" spans="1:9" s="17" customFormat="1" ht="24.75" customHeight="1" x14ac:dyDescent="0.2">
      <c r="A1067" s="65">
        <v>1058</v>
      </c>
      <c r="B1067" s="60"/>
      <c r="C1067" s="112" t="s">
        <v>2691</v>
      </c>
      <c r="D1067" s="112"/>
      <c r="E1067" s="112"/>
      <c r="F1067" s="125" t="s">
        <v>76</v>
      </c>
      <c r="G1067" s="125"/>
      <c r="H1067" s="123">
        <v>228.1</v>
      </c>
      <c r="I1067" s="123"/>
    </row>
    <row r="1068" spans="1:9" s="17" customFormat="1" ht="12.75" customHeight="1" x14ac:dyDescent="0.2">
      <c r="A1068" s="65">
        <v>1059</v>
      </c>
      <c r="B1068" s="60"/>
      <c r="C1068" s="112" t="s">
        <v>913</v>
      </c>
      <c r="D1068" s="112"/>
      <c r="E1068" s="112"/>
      <c r="F1068" s="125" t="s">
        <v>76</v>
      </c>
      <c r="G1068" s="125"/>
      <c r="H1068" s="123">
        <v>61.2</v>
      </c>
      <c r="I1068" s="123"/>
    </row>
    <row r="1069" spans="1:9" s="17" customFormat="1" ht="12.75" customHeight="1" x14ac:dyDescent="0.2">
      <c r="A1069" s="65">
        <v>1060</v>
      </c>
      <c r="B1069" s="60"/>
      <c r="C1069" s="112" t="s">
        <v>1743</v>
      </c>
      <c r="D1069" s="112"/>
      <c r="E1069" s="112"/>
      <c r="F1069" s="125" t="s">
        <v>76</v>
      </c>
      <c r="G1069" s="125"/>
      <c r="H1069" s="123">
        <f>86.4-2.1-5</f>
        <v>79.300000000000011</v>
      </c>
      <c r="I1069" s="123"/>
    </row>
    <row r="1070" spans="1:9" s="17" customFormat="1" ht="12.75" customHeight="1" x14ac:dyDescent="0.2">
      <c r="A1070" s="65">
        <v>1061</v>
      </c>
      <c r="B1070" s="60">
        <v>6</v>
      </c>
      <c r="C1070" s="112" t="s">
        <v>991</v>
      </c>
      <c r="D1070" s="112"/>
      <c r="E1070" s="112"/>
      <c r="F1070" s="125" t="s">
        <v>76</v>
      </c>
      <c r="G1070" s="125"/>
      <c r="H1070" s="123">
        <v>375</v>
      </c>
      <c r="I1070" s="123"/>
    </row>
    <row r="1071" spans="1:9" s="17" customFormat="1" ht="12.75" customHeight="1" x14ac:dyDescent="0.2">
      <c r="A1071" s="65">
        <v>1062</v>
      </c>
      <c r="B1071" s="60"/>
      <c r="C1071" s="112" t="s">
        <v>3332</v>
      </c>
      <c r="D1071" s="112"/>
      <c r="E1071" s="112"/>
      <c r="F1071" s="125" t="s">
        <v>29</v>
      </c>
      <c r="G1071" s="125"/>
      <c r="H1071" s="123">
        <f>68.9-4.4+38.7+37.3-37.3-5.5-16-38.7+0.2-15.5</f>
        <v>27.700000000000003</v>
      </c>
      <c r="I1071" s="123"/>
    </row>
    <row r="1072" spans="1:9" s="17" customFormat="1" ht="12.75" customHeight="1" x14ac:dyDescent="0.2">
      <c r="A1072" s="65">
        <v>1063</v>
      </c>
      <c r="B1072" s="60"/>
      <c r="C1072" s="128" t="s">
        <v>2329</v>
      </c>
      <c r="D1072" s="126"/>
      <c r="E1072" s="127"/>
      <c r="F1072" s="125" t="s">
        <v>76</v>
      </c>
      <c r="G1072" s="125"/>
      <c r="H1072" s="115">
        <v>43</v>
      </c>
      <c r="I1072" s="116"/>
    </row>
    <row r="1073" spans="1:9" s="17" customFormat="1" ht="12.75" customHeight="1" x14ac:dyDescent="0.2">
      <c r="A1073" s="65">
        <v>1064</v>
      </c>
      <c r="B1073" s="60"/>
      <c r="C1073" s="112" t="s">
        <v>1115</v>
      </c>
      <c r="D1073" s="112"/>
      <c r="E1073" s="112"/>
      <c r="F1073" s="125" t="s">
        <v>29</v>
      </c>
      <c r="G1073" s="125"/>
      <c r="H1073" s="123">
        <v>82.4</v>
      </c>
      <c r="I1073" s="123"/>
    </row>
    <row r="1074" spans="1:9" s="17" customFormat="1" ht="12.75" customHeight="1" x14ac:dyDescent="0.2">
      <c r="A1074" s="65">
        <v>1065</v>
      </c>
      <c r="B1074" s="60"/>
      <c r="C1074" s="128" t="s">
        <v>1538</v>
      </c>
      <c r="D1074" s="126"/>
      <c r="E1074" s="127"/>
      <c r="F1074" s="125" t="s">
        <v>76</v>
      </c>
      <c r="G1074" s="125"/>
      <c r="H1074" s="115">
        <f>31.8+48.6+23.4-11-37.6-23.4-4.8</f>
        <v>27.000000000000011</v>
      </c>
      <c r="I1074" s="116"/>
    </row>
    <row r="1075" spans="1:9" s="17" customFormat="1" ht="12.75" customHeight="1" x14ac:dyDescent="0.2">
      <c r="A1075" s="65">
        <v>1066</v>
      </c>
      <c r="B1075" s="60"/>
      <c r="C1075" s="112" t="s">
        <v>1244</v>
      </c>
      <c r="D1075" s="112"/>
      <c r="E1075" s="112"/>
      <c r="F1075" s="125" t="s">
        <v>59</v>
      </c>
      <c r="G1075" s="125"/>
      <c r="H1075" s="123">
        <f>113.4-37.8</f>
        <v>75.600000000000009</v>
      </c>
      <c r="I1075" s="123"/>
    </row>
    <row r="1076" spans="1:9" s="17" customFormat="1" ht="12.75" customHeight="1" x14ac:dyDescent="0.2">
      <c r="A1076" s="65">
        <v>1067</v>
      </c>
      <c r="B1076" s="60"/>
      <c r="C1076" s="128" t="s">
        <v>918</v>
      </c>
      <c r="D1076" s="126"/>
      <c r="E1076" s="127"/>
      <c r="F1076" s="125" t="s">
        <v>62</v>
      </c>
      <c r="G1076" s="125"/>
      <c r="H1076" s="115">
        <v>34.5</v>
      </c>
      <c r="I1076" s="116"/>
    </row>
    <row r="1077" spans="1:9" s="17" customFormat="1" ht="12.75" customHeight="1" x14ac:dyDescent="0.2">
      <c r="A1077" s="65">
        <v>1068</v>
      </c>
      <c r="B1077" s="60">
        <v>6</v>
      </c>
      <c r="C1077" s="112" t="s">
        <v>1453</v>
      </c>
      <c r="D1077" s="112"/>
      <c r="E1077" s="112"/>
      <c r="F1077" s="125" t="s">
        <v>29</v>
      </c>
      <c r="G1077" s="125"/>
      <c r="H1077" s="123">
        <f>780-138.3-90-165</f>
        <v>386.70000000000005</v>
      </c>
      <c r="I1077" s="123"/>
    </row>
    <row r="1078" spans="1:9" s="17" customFormat="1" ht="12.75" customHeight="1" x14ac:dyDescent="0.2">
      <c r="A1078" s="65">
        <v>1069</v>
      </c>
      <c r="B1078" s="60"/>
      <c r="C1078" s="112" t="s">
        <v>2511</v>
      </c>
      <c r="D1078" s="112"/>
      <c r="E1078" s="112"/>
      <c r="F1078" s="125" t="s">
        <v>29</v>
      </c>
      <c r="G1078" s="125"/>
      <c r="H1078" s="123">
        <f>138.3-42.4-6.2</f>
        <v>89.7</v>
      </c>
      <c r="I1078" s="123"/>
    </row>
    <row r="1079" spans="1:9" s="17" customFormat="1" ht="12.75" customHeight="1" x14ac:dyDescent="0.2">
      <c r="A1079" s="65">
        <v>1070</v>
      </c>
      <c r="B1079" s="60"/>
      <c r="C1079" s="112" t="s">
        <v>2081</v>
      </c>
      <c r="D1079" s="112"/>
      <c r="E1079" s="112"/>
      <c r="F1079" s="125" t="s">
        <v>29</v>
      </c>
      <c r="G1079" s="125"/>
      <c r="H1079" s="123">
        <f>29.5-3.3</f>
        <v>26.2</v>
      </c>
      <c r="I1079" s="123"/>
    </row>
    <row r="1080" spans="1:9" s="17" customFormat="1" ht="12.75" customHeight="1" x14ac:dyDescent="0.2">
      <c r="A1080" s="65">
        <v>1071</v>
      </c>
      <c r="B1080" s="60"/>
      <c r="C1080" s="117" t="s">
        <v>3570</v>
      </c>
      <c r="D1080" s="118"/>
      <c r="E1080" s="119"/>
      <c r="F1080" s="124" t="s">
        <v>56</v>
      </c>
      <c r="G1080" s="124"/>
      <c r="H1080" s="115">
        <f>96-32-32</f>
        <v>32</v>
      </c>
      <c r="I1080" s="116"/>
    </row>
    <row r="1081" spans="1:9" s="17" customFormat="1" ht="12.75" customHeight="1" x14ac:dyDescent="0.2">
      <c r="A1081" s="65">
        <v>1072</v>
      </c>
      <c r="B1081" s="60"/>
      <c r="C1081" s="117" t="s">
        <v>4288</v>
      </c>
      <c r="D1081" s="118"/>
      <c r="E1081" s="119"/>
      <c r="F1081" s="124" t="s">
        <v>56</v>
      </c>
      <c r="G1081" s="124"/>
      <c r="H1081" s="115">
        <f>129.2-31.5-15.5-49.8</f>
        <v>32.399999999999991</v>
      </c>
      <c r="I1081" s="116"/>
    </row>
    <row r="1082" spans="1:9" s="17" customFormat="1" ht="12.75" customHeight="1" x14ac:dyDescent="0.2">
      <c r="A1082" s="65">
        <v>1073</v>
      </c>
      <c r="B1082" s="60"/>
      <c r="C1082" s="128" t="s">
        <v>709</v>
      </c>
      <c r="D1082" s="126"/>
      <c r="E1082" s="127"/>
      <c r="F1082" s="125" t="s">
        <v>76</v>
      </c>
      <c r="G1082" s="125"/>
      <c r="H1082" s="115">
        <v>19</v>
      </c>
      <c r="I1082" s="116"/>
    </row>
    <row r="1083" spans="1:9" s="16" customFormat="1" ht="12" customHeight="1" x14ac:dyDescent="0.2">
      <c r="A1083" s="65">
        <v>1074</v>
      </c>
      <c r="B1083" s="60"/>
      <c r="C1083" s="112" t="s">
        <v>2311</v>
      </c>
      <c r="D1083" s="112"/>
      <c r="E1083" s="112"/>
      <c r="F1083" s="125" t="s">
        <v>59</v>
      </c>
      <c r="G1083" s="125"/>
      <c r="H1083" s="123">
        <f>158.1-17.5-35.2-8.5-44.2</f>
        <v>52.699999999999989</v>
      </c>
      <c r="I1083" s="123"/>
    </row>
    <row r="1084" spans="1:9" s="17" customFormat="1" ht="12.75" customHeight="1" x14ac:dyDescent="0.2">
      <c r="A1084" s="65">
        <v>1075</v>
      </c>
      <c r="B1084" s="60"/>
      <c r="C1084" s="112" t="s">
        <v>3494</v>
      </c>
      <c r="D1084" s="112"/>
      <c r="E1084" s="112"/>
      <c r="F1084" s="124" t="s">
        <v>3495</v>
      </c>
      <c r="G1084" s="125"/>
      <c r="H1084" s="123">
        <v>18.899999999999999</v>
      </c>
      <c r="I1084" s="123"/>
    </row>
    <row r="1085" spans="1:9" s="17" customFormat="1" ht="12.75" customHeight="1" x14ac:dyDescent="0.2">
      <c r="A1085" s="65">
        <v>1076</v>
      </c>
      <c r="B1085" s="60"/>
      <c r="C1085" s="112" t="s">
        <v>1409</v>
      </c>
      <c r="D1085" s="112"/>
      <c r="E1085" s="112"/>
      <c r="F1085" s="124" t="s">
        <v>1</v>
      </c>
      <c r="G1085" s="125"/>
      <c r="H1085" s="123">
        <v>18.7</v>
      </c>
      <c r="I1085" s="123"/>
    </row>
    <row r="1086" spans="1:9" s="33" customFormat="1" ht="12.75" customHeight="1" x14ac:dyDescent="0.2">
      <c r="A1086" s="65">
        <v>1077</v>
      </c>
      <c r="B1086" s="60"/>
      <c r="C1086" s="117" t="s">
        <v>1012</v>
      </c>
      <c r="D1086" s="148"/>
      <c r="E1086" s="149"/>
      <c r="F1086" s="113" t="s">
        <v>29</v>
      </c>
      <c r="G1086" s="114"/>
      <c r="H1086" s="166">
        <v>1</v>
      </c>
      <c r="I1086" s="167"/>
    </row>
    <row r="1087" spans="1:9" s="17" customFormat="1" ht="12.75" customHeight="1" x14ac:dyDescent="0.2">
      <c r="A1087" s="65">
        <v>1078</v>
      </c>
      <c r="B1087" s="60"/>
      <c r="C1087" s="128" t="s">
        <v>1768</v>
      </c>
      <c r="D1087" s="126"/>
      <c r="E1087" s="127"/>
      <c r="F1087" s="125" t="s">
        <v>76</v>
      </c>
      <c r="G1087" s="125"/>
      <c r="H1087" s="115">
        <v>15.8</v>
      </c>
      <c r="I1087" s="116"/>
    </row>
    <row r="1088" spans="1:9" s="17" customFormat="1" ht="12.75" customHeight="1" x14ac:dyDescent="0.2">
      <c r="A1088" s="65">
        <v>1079</v>
      </c>
      <c r="B1088" s="60" t="s">
        <v>4043</v>
      </c>
      <c r="C1088" s="128" t="s">
        <v>4044</v>
      </c>
      <c r="D1088" s="126"/>
      <c r="E1088" s="127"/>
      <c r="F1088" s="125" t="s">
        <v>62</v>
      </c>
      <c r="G1088" s="125"/>
      <c r="H1088" s="115">
        <v>37</v>
      </c>
      <c r="I1088" s="116"/>
    </row>
    <row r="1089" spans="1:9" s="17" customFormat="1" ht="12.75" customHeight="1" x14ac:dyDescent="0.2">
      <c r="A1089" s="65">
        <v>1080</v>
      </c>
      <c r="B1089" s="60"/>
      <c r="C1089" s="112" t="s">
        <v>1164</v>
      </c>
      <c r="D1089" s="112"/>
      <c r="E1089" s="112"/>
      <c r="F1089" s="124" t="s">
        <v>17</v>
      </c>
      <c r="G1089" s="125"/>
      <c r="H1089" s="123">
        <f>93-46.5</f>
        <v>46.5</v>
      </c>
      <c r="I1089" s="123"/>
    </row>
    <row r="1090" spans="1:9" s="17" customFormat="1" ht="12.75" customHeight="1" x14ac:dyDescent="0.2">
      <c r="A1090" s="65">
        <v>1081</v>
      </c>
      <c r="B1090" s="60"/>
      <c r="C1090" s="112" t="s">
        <v>287</v>
      </c>
      <c r="D1090" s="112"/>
      <c r="E1090" s="112"/>
      <c r="F1090" s="124" t="s">
        <v>200</v>
      </c>
      <c r="G1090" s="124"/>
      <c r="H1090" s="123">
        <v>68.099999999999994</v>
      </c>
      <c r="I1090" s="123"/>
    </row>
    <row r="1091" spans="1:9" s="17" customFormat="1" ht="12.75" customHeight="1" x14ac:dyDescent="0.2">
      <c r="A1091" s="65">
        <v>1082</v>
      </c>
      <c r="B1091" s="60"/>
      <c r="C1091" s="117" t="s">
        <v>3123</v>
      </c>
      <c r="D1091" s="118"/>
      <c r="E1091" s="119"/>
      <c r="F1091" s="124" t="s">
        <v>56</v>
      </c>
      <c r="G1091" s="124"/>
      <c r="H1091" s="115">
        <v>11.7</v>
      </c>
      <c r="I1091" s="116"/>
    </row>
    <row r="1092" spans="1:9" s="16" customFormat="1" ht="24.75" customHeight="1" x14ac:dyDescent="0.2">
      <c r="A1092" s="65">
        <v>1083</v>
      </c>
      <c r="B1092" s="60"/>
      <c r="C1092" s="120" t="s">
        <v>5060</v>
      </c>
      <c r="D1092" s="120"/>
      <c r="E1092" s="120"/>
      <c r="F1092" s="125" t="s">
        <v>706</v>
      </c>
      <c r="G1092" s="125"/>
      <c r="H1092" s="123">
        <v>569.4</v>
      </c>
      <c r="I1092" s="123"/>
    </row>
    <row r="1093" spans="1:9" s="17" customFormat="1" ht="12.75" customHeight="1" x14ac:dyDescent="0.2">
      <c r="A1093" s="65">
        <v>1084</v>
      </c>
      <c r="B1093" s="60"/>
      <c r="C1093" s="117" t="s">
        <v>2136</v>
      </c>
      <c r="D1093" s="118"/>
      <c r="E1093" s="119"/>
      <c r="F1093" s="113" t="s">
        <v>59</v>
      </c>
      <c r="G1093" s="114"/>
      <c r="H1093" s="115">
        <f>62.3-19</f>
        <v>43.3</v>
      </c>
      <c r="I1093" s="116"/>
    </row>
    <row r="1094" spans="1:9" s="17" customFormat="1" ht="12.75" customHeight="1" x14ac:dyDescent="0.2">
      <c r="A1094" s="65">
        <v>1085</v>
      </c>
      <c r="B1094" s="60"/>
      <c r="C1094" s="117" t="s">
        <v>3452</v>
      </c>
      <c r="D1094" s="118"/>
      <c r="E1094" s="119"/>
      <c r="F1094" s="113" t="s">
        <v>59</v>
      </c>
      <c r="G1094" s="114"/>
      <c r="H1094" s="115">
        <f>48.5-8.3-3.6-6.8</f>
        <v>29.8</v>
      </c>
      <c r="I1094" s="116"/>
    </row>
    <row r="1095" spans="1:9" s="17" customFormat="1" ht="12.75" customHeight="1" x14ac:dyDescent="0.2">
      <c r="A1095" s="65">
        <v>1086</v>
      </c>
      <c r="B1095" s="60"/>
      <c r="C1095" s="130" t="s">
        <v>3718</v>
      </c>
      <c r="D1095" s="131"/>
      <c r="E1095" s="132"/>
      <c r="F1095" s="124" t="s">
        <v>85</v>
      </c>
      <c r="G1095" s="124"/>
      <c r="H1095" s="115">
        <v>72.400000000000006</v>
      </c>
      <c r="I1095" s="116"/>
    </row>
    <row r="1096" spans="1:9" s="17" customFormat="1" ht="12.75" customHeight="1" x14ac:dyDescent="0.2">
      <c r="A1096" s="65">
        <v>1087</v>
      </c>
      <c r="B1096" s="60"/>
      <c r="C1096" s="117" t="s">
        <v>2244</v>
      </c>
      <c r="D1096" s="118"/>
      <c r="E1096" s="119"/>
      <c r="F1096" s="113" t="s">
        <v>29</v>
      </c>
      <c r="G1096" s="114"/>
      <c r="H1096" s="115">
        <v>27</v>
      </c>
      <c r="I1096" s="116"/>
    </row>
    <row r="1097" spans="1:9" s="17" customFormat="1" ht="12.75" customHeight="1" x14ac:dyDescent="0.2">
      <c r="A1097" s="65">
        <v>1088</v>
      </c>
      <c r="B1097" s="60"/>
      <c r="C1097" s="112" t="s">
        <v>1688</v>
      </c>
      <c r="D1097" s="112"/>
      <c r="E1097" s="112"/>
      <c r="F1097" s="124" t="s">
        <v>71</v>
      </c>
      <c r="G1097" s="125"/>
      <c r="H1097" s="123">
        <v>20.3</v>
      </c>
      <c r="I1097" s="123"/>
    </row>
    <row r="1098" spans="1:9" s="16" customFormat="1" ht="12" customHeight="1" x14ac:dyDescent="0.2">
      <c r="A1098" s="65">
        <v>1089</v>
      </c>
      <c r="B1098" s="60" t="s">
        <v>3636</v>
      </c>
      <c r="C1098" s="120" t="s">
        <v>3638</v>
      </c>
      <c r="D1098" s="120"/>
      <c r="E1098" s="120"/>
      <c r="F1098" s="125" t="s">
        <v>76</v>
      </c>
      <c r="G1098" s="125"/>
      <c r="H1098" s="123">
        <v>10.8</v>
      </c>
      <c r="I1098" s="123"/>
    </row>
    <row r="1099" spans="1:9" s="17" customFormat="1" ht="12.75" customHeight="1" x14ac:dyDescent="0.2">
      <c r="A1099" s="65">
        <v>1090</v>
      </c>
      <c r="B1099" s="60"/>
      <c r="C1099" s="117" t="s">
        <v>3658</v>
      </c>
      <c r="D1099" s="118"/>
      <c r="E1099" s="119"/>
      <c r="F1099" s="113" t="s">
        <v>29</v>
      </c>
      <c r="G1099" s="114"/>
      <c r="H1099" s="115">
        <f>201-13.7-7-16.3-16.3-67.8</f>
        <v>79.899999999999991</v>
      </c>
      <c r="I1099" s="116"/>
    </row>
    <row r="1100" spans="1:9" s="17" customFormat="1" ht="12.75" customHeight="1" x14ac:dyDescent="0.2">
      <c r="A1100" s="65">
        <v>1091</v>
      </c>
      <c r="B1100" s="60"/>
      <c r="C1100" s="117" t="s">
        <v>2337</v>
      </c>
      <c r="D1100" s="118"/>
      <c r="E1100" s="119"/>
      <c r="F1100" s="113" t="s">
        <v>29</v>
      </c>
      <c r="G1100" s="114"/>
      <c r="H1100" s="123">
        <v>24.5</v>
      </c>
      <c r="I1100" s="123"/>
    </row>
    <row r="1101" spans="1:9" s="17" customFormat="1" ht="12.75" customHeight="1" x14ac:dyDescent="0.2">
      <c r="A1101" s="65">
        <v>1092</v>
      </c>
      <c r="B1101" s="60"/>
      <c r="C1101" s="117" t="s">
        <v>1032</v>
      </c>
      <c r="D1101" s="118"/>
      <c r="E1101" s="119"/>
      <c r="F1101" s="113" t="s">
        <v>29</v>
      </c>
      <c r="G1101" s="114"/>
      <c r="H1101" s="115">
        <v>33.5</v>
      </c>
      <c r="I1101" s="116"/>
    </row>
    <row r="1102" spans="1:9" s="17" customFormat="1" ht="12.75" customHeight="1" x14ac:dyDescent="0.2">
      <c r="A1102" s="65">
        <v>1093</v>
      </c>
      <c r="B1102" s="60"/>
      <c r="C1102" s="117" t="s">
        <v>732</v>
      </c>
      <c r="D1102" s="118"/>
      <c r="E1102" s="119"/>
      <c r="F1102" s="125" t="s">
        <v>76</v>
      </c>
      <c r="G1102" s="125"/>
      <c r="H1102" s="115"/>
      <c r="I1102" s="116"/>
    </row>
    <row r="1103" spans="1:9" s="17" customFormat="1" ht="12.75" customHeight="1" x14ac:dyDescent="0.2">
      <c r="A1103" s="65">
        <v>1094</v>
      </c>
      <c r="B1103" s="60"/>
      <c r="C1103" s="117" t="s">
        <v>2672</v>
      </c>
      <c r="D1103" s="118"/>
      <c r="E1103" s="119"/>
      <c r="F1103" s="124" t="s">
        <v>56</v>
      </c>
      <c r="G1103" s="124"/>
      <c r="H1103" s="115">
        <f>46.7-6.6-6.5-13-1.5-2.7</f>
        <v>16.400000000000002</v>
      </c>
      <c r="I1103" s="116"/>
    </row>
    <row r="1104" spans="1:9" s="17" customFormat="1" ht="12.75" customHeight="1" x14ac:dyDescent="0.2">
      <c r="A1104" s="65">
        <v>1095</v>
      </c>
      <c r="B1104" s="60"/>
      <c r="C1104" s="112" t="s">
        <v>259</v>
      </c>
      <c r="D1104" s="112"/>
      <c r="E1104" s="112"/>
      <c r="F1104" s="124" t="s">
        <v>58</v>
      </c>
      <c r="G1104" s="124"/>
      <c r="H1104" s="123">
        <v>29.5</v>
      </c>
      <c r="I1104" s="123"/>
    </row>
    <row r="1105" spans="1:9" s="17" customFormat="1" ht="12.75" customHeight="1" x14ac:dyDescent="0.2">
      <c r="A1105" s="65">
        <v>1096</v>
      </c>
      <c r="B1105" s="60"/>
      <c r="C1105" s="112" t="s">
        <v>272</v>
      </c>
      <c r="D1105" s="112"/>
      <c r="E1105" s="112"/>
      <c r="F1105" s="124" t="s">
        <v>200</v>
      </c>
      <c r="G1105" s="124"/>
      <c r="H1105" s="123">
        <v>33.1</v>
      </c>
      <c r="I1105" s="123"/>
    </row>
    <row r="1106" spans="1:9" s="17" customFormat="1" ht="11.25" customHeight="1" x14ac:dyDescent="0.2">
      <c r="A1106" s="65">
        <v>1097</v>
      </c>
      <c r="B1106" s="60"/>
      <c r="C1106" s="120" t="s">
        <v>5406</v>
      </c>
      <c r="D1106" s="120"/>
      <c r="E1106" s="120"/>
      <c r="F1106" s="113" t="s">
        <v>76</v>
      </c>
      <c r="G1106" s="114"/>
      <c r="H1106" s="123">
        <v>19.5</v>
      </c>
      <c r="I1106" s="116"/>
    </row>
    <row r="1107" spans="1:9" s="17" customFormat="1" ht="11.25" customHeight="1" x14ac:dyDescent="0.2">
      <c r="A1107" s="65">
        <v>1098</v>
      </c>
      <c r="B1107" s="60"/>
      <c r="C1107" s="120" t="s">
        <v>2177</v>
      </c>
      <c r="D1107" s="120"/>
      <c r="E1107" s="120"/>
      <c r="F1107" s="124" t="s">
        <v>43</v>
      </c>
      <c r="G1107" s="124"/>
      <c r="H1107" s="123">
        <v>33.6</v>
      </c>
      <c r="I1107" s="123"/>
    </row>
    <row r="1108" spans="1:9" s="17" customFormat="1" ht="12.75" customHeight="1" x14ac:dyDescent="0.2">
      <c r="A1108" s="65">
        <v>1099</v>
      </c>
      <c r="B1108" s="60"/>
      <c r="C1108" s="120" t="s">
        <v>4235</v>
      </c>
      <c r="D1108" s="120"/>
      <c r="E1108" s="120"/>
      <c r="F1108" s="124" t="s">
        <v>201</v>
      </c>
      <c r="G1108" s="124"/>
      <c r="H1108" s="115">
        <f>34.8+35</f>
        <v>69.8</v>
      </c>
      <c r="I1108" s="116"/>
    </row>
    <row r="1109" spans="1:9" s="17" customFormat="1" ht="12.75" customHeight="1" x14ac:dyDescent="0.2">
      <c r="A1109" s="65">
        <v>1100</v>
      </c>
      <c r="B1109" s="60"/>
      <c r="C1109" s="117" t="s">
        <v>2942</v>
      </c>
      <c r="D1109" s="118"/>
      <c r="E1109" s="119"/>
      <c r="F1109" s="124" t="s">
        <v>56</v>
      </c>
      <c r="G1109" s="124"/>
      <c r="H1109" s="115">
        <f>139.7-19-9</f>
        <v>111.69999999999999</v>
      </c>
      <c r="I1109" s="116"/>
    </row>
    <row r="1110" spans="1:9" s="17" customFormat="1" ht="12.75" customHeight="1" x14ac:dyDescent="0.2">
      <c r="A1110" s="65">
        <v>1101</v>
      </c>
      <c r="B1110" s="60"/>
      <c r="C1110" s="120" t="s">
        <v>4036</v>
      </c>
      <c r="D1110" s="120"/>
      <c r="E1110" s="120"/>
      <c r="F1110" s="124" t="s">
        <v>70</v>
      </c>
      <c r="G1110" s="124"/>
      <c r="H1110" s="115">
        <v>28</v>
      </c>
      <c r="I1110" s="116"/>
    </row>
    <row r="1111" spans="1:9" s="17" customFormat="1" ht="12.75" customHeight="1" x14ac:dyDescent="0.2">
      <c r="A1111" s="65">
        <v>1102</v>
      </c>
      <c r="B1111" s="60" t="s">
        <v>3676</v>
      </c>
      <c r="C1111" s="112" t="s">
        <v>3981</v>
      </c>
      <c r="D1111" s="112"/>
      <c r="E1111" s="112"/>
      <c r="F1111" s="125" t="s">
        <v>62</v>
      </c>
      <c r="G1111" s="125"/>
      <c r="H1111" s="123">
        <v>33.6</v>
      </c>
      <c r="I1111" s="123"/>
    </row>
    <row r="1112" spans="1:9" s="17" customFormat="1" ht="12.75" customHeight="1" x14ac:dyDescent="0.2">
      <c r="A1112" s="65">
        <v>1103</v>
      </c>
      <c r="B1112" s="60" t="s">
        <v>3636</v>
      </c>
      <c r="C1112" s="128" t="s">
        <v>4547</v>
      </c>
      <c r="D1112" s="126"/>
      <c r="E1112" s="127"/>
      <c r="F1112" s="124" t="s">
        <v>71</v>
      </c>
      <c r="G1112" s="124"/>
      <c r="H1112" s="115">
        <f>28.5-8-8</f>
        <v>12.5</v>
      </c>
      <c r="I1112" s="116"/>
    </row>
    <row r="1113" spans="1:9" s="16" customFormat="1" ht="12" customHeight="1" x14ac:dyDescent="0.2">
      <c r="A1113" s="65">
        <v>1104</v>
      </c>
      <c r="B1113" s="60" t="s">
        <v>4032</v>
      </c>
      <c r="C1113" s="120" t="s">
        <v>5017</v>
      </c>
      <c r="D1113" s="120"/>
      <c r="E1113" s="120"/>
      <c r="F1113" s="125" t="s">
        <v>483</v>
      </c>
      <c r="G1113" s="125"/>
      <c r="H1113" s="123">
        <v>123.6</v>
      </c>
      <c r="I1113" s="123"/>
    </row>
    <row r="1114" spans="1:9" s="16" customFormat="1" ht="12" customHeight="1" x14ac:dyDescent="0.2">
      <c r="A1114" s="65">
        <v>1105</v>
      </c>
      <c r="B1114" s="60"/>
      <c r="C1114" s="120" t="s">
        <v>3429</v>
      </c>
      <c r="D1114" s="120"/>
      <c r="E1114" s="120"/>
      <c r="F1114" s="125" t="s">
        <v>483</v>
      </c>
      <c r="G1114" s="125"/>
      <c r="H1114" s="123">
        <v>29.8</v>
      </c>
      <c r="I1114" s="123"/>
    </row>
    <row r="1115" spans="1:9" s="17" customFormat="1" ht="12.75" customHeight="1" x14ac:dyDescent="0.2">
      <c r="A1115" s="65">
        <v>1106</v>
      </c>
      <c r="B1115" s="60"/>
      <c r="C1115" s="120" t="s">
        <v>3405</v>
      </c>
      <c r="D1115" s="120"/>
      <c r="E1115" s="120"/>
      <c r="F1115" s="125" t="s">
        <v>76</v>
      </c>
      <c r="G1115" s="125"/>
      <c r="H1115" s="115">
        <f>39.5+58-30.3-16.3-11.4-6.5-11.5</f>
        <v>21.500000000000007</v>
      </c>
      <c r="I1115" s="116"/>
    </row>
    <row r="1116" spans="1:9" s="16" customFormat="1" ht="12" customHeight="1" x14ac:dyDescent="0.2">
      <c r="A1116" s="65">
        <v>1107</v>
      </c>
      <c r="B1116" s="60"/>
      <c r="C1116" s="112" t="s">
        <v>2468</v>
      </c>
      <c r="D1116" s="112"/>
      <c r="E1116" s="112"/>
      <c r="F1116" s="124" t="s">
        <v>31</v>
      </c>
      <c r="G1116" s="124"/>
      <c r="H1116" s="123">
        <v>45.8</v>
      </c>
      <c r="I1116" s="123"/>
    </row>
    <row r="1117" spans="1:9" s="17" customFormat="1" ht="12.75" customHeight="1" x14ac:dyDescent="0.2">
      <c r="A1117" s="65">
        <v>1108</v>
      </c>
      <c r="B1117" s="60"/>
      <c r="C1117" s="117" t="s">
        <v>4449</v>
      </c>
      <c r="D1117" s="118"/>
      <c r="E1117" s="119"/>
      <c r="F1117" s="124" t="s">
        <v>56</v>
      </c>
      <c r="G1117" s="124"/>
      <c r="H1117" s="115">
        <f>22+20.3+21</f>
        <v>63.3</v>
      </c>
      <c r="I1117" s="116"/>
    </row>
    <row r="1118" spans="1:9" s="17" customFormat="1" ht="12.75" customHeight="1" x14ac:dyDescent="0.2">
      <c r="A1118" s="65">
        <v>1109</v>
      </c>
      <c r="B1118" s="60"/>
      <c r="C1118" s="128" t="s">
        <v>3603</v>
      </c>
      <c r="D1118" s="126"/>
      <c r="E1118" s="127"/>
      <c r="F1118" s="125" t="s">
        <v>76</v>
      </c>
      <c r="G1118" s="125"/>
      <c r="H1118" s="115">
        <f>185.4-33.3-45-55.7</f>
        <v>51.40000000000002</v>
      </c>
      <c r="I1118" s="116"/>
    </row>
    <row r="1119" spans="1:9" s="17" customFormat="1" ht="12.75" customHeight="1" x14ac:dyDescent="0.2">
      <c r="A1119" s="65">
        <v>1110</v>
      </c>
      <c r="B1119" s="60" t="s">
        <v>3643</v>
      </c>
      <c r="C1119" s="128" t="s">
        <v>5085</v>
      </c>
      <c r="D1119" s="126"/>
      <c r="E1119" s="127"/>
      <c r="F1119" s="125" t="s">
        <v>76</v>
      </c>
      <c r="G1119" s="125"/>
      <c r="H1119" s="115">
        <v>77.400000000000006</v>
      </c>
      <c r="I1119" s="116"/>
    </row>
    <row r="1120" spans="1:9" s="17" customFormat="1" ht="12.75" customHeight="1" x14ac:dyDescent="0.2">
      <c r="A1120" s="65">
        <v>1111</v>
      </c>
      <c r="B1120" s="60" t="s">
        <v>3574</v>
      </c>
      <c r="C1120" s="128" t="s">
        <v>4416</v>
      </c>
      <c r="D1120" s="126"/>
      <c r="E1120" s="127"/>
      <c r="F1120" s="121" t="s">
        <v>30</v>
      </c>
      <c r="G1120" s="122"/>
      <c r="H1120" s="115">
        <v>23</v>
      </c>
      <c r="I1120" s="116"/>
    </row>
    <row r="1121" spans="1:9" s="17" customFormat="1" ht="12.75" customHeight="1" x14ac:dyDescent="0.2">
      <c r="A1121" s="65">
        <v>1112</v>
      </c>
      <c r="B1121" s="60" t="s">
        <v>4043</v>
      </c>
      <c r="C1121" s="117" t="s">
        <v>5235</v>
      </c>
      <c r="D1121" s="118"/>
      <c r="E1121" s="119"/>
      <c r="F1121" s="113" t="s">
        <v>140</v>
      </c>
      <c r="G1121" s="114"/>
      <c r="H1121" s="115">
        <v>137</v>
      </c>
      <c r="I1121" s="116"/>
    </row>
    <row r="1122" spans="1:9" s="17" customFormat="1" ht="12.75" customHeight="1" x14ac:dyDescent="0.2">
      <c r="A1122" s="65">
        <v>1113</v>
      </c>
      <c r="B1122" s="60"/>
      <c r="C1122" s="112" t="s">
        <v>174</v>
      </c>
      <c r="D1122" s="112"/>
      <c r="E1122" s="112"/>
      <c r="F1122" s="124" t="s">
        <v>45</v>
      </c>
      <c r="G1122" s="124"/>
      <c r="H1122" s="123">
        <v>35.799999999999997</v>
      </c>
      <c r="I1122" s="123"/>
    </row>
    <row r="1123" spans="1:9" s="17" customFormat="1" ht="12.75" customHeight="1" x14ac:dyDescent="0.2">
      <c r="A1123" s="65">
        <v>1114</v>
      </c>
      <c r="B1123" s="60">
        <v>6</v>
      </c>
      <c r="C1123" s="117" t="s">
        <v>4506</v>
      </c>
      <c r="D1123" s="118"/>
      <c r="E1123" s="119"/>
      <c r="F1123" s="124" t="s">
        <v>271</v>
      </c>
      <c r="G1123" s="124"/>
      <c r="H1123" s="115">
        <f>970-14-23-55-100-330-32</f>
        <v>416</v>
      </c>
      <c r="I1123" s="116"/>
    </row>
    <row r="1124" spans="1:9" s="17" customFormat="1" ht="12.75" customHeight="1" x14ac:dyDescent="0.2">
      <c r="A1124" s="65">
        <v>1115</v>
      </c>
      <c r="B1124" s="60"/>
      <c r="C1124" s="117" t="s">
        <v>2621</v>
      </c>
      <c r="D1124" s="118"/>
      <c r="E1124" s="119"/>
      <c r="F1124" s="113" t="s">
        <v>59</v>
      </c>
      <c r="G1124" s="114"/>
      <c r="H1124" s="115">
        <v>9.1999999999999993</v>
      </c>
      <c r="I1124" s="116"/>
    </row>
    <row r="1125" spans="1:9" s="17" customFormat="1" ht="12.75" customHeight="1" x14ac:dyDescent="0.2">
      <c r="A1125" s="65">
        <v>1116</v>
      </c>
      <c r="B1125" s="60"/>
      <c r="C1125" s="128" t="s">
        <v>1780</v>
      </c>
      <c r="D1125" s="126"/>
      <c r="E1125" s="127"/>
      <c r="F1125" s="124" t="s">
        <v>1</v>
      </c>
      <c r="G1125" s="124"/>
      <c r="H1125" s="115">
        <f>143.5-47.5</f>
        <v>96</v>
      </c>
      <c r="I1125" s="116"/>
    </row>
    <row r="1126" spans="1:9" s="17" customFormat="1" ht="12.75" customHeight="1" x14ac:dyDescent="0.2">
      <c r="A1126" s="65">
        <v>1117</v>
      </c>
      <c r="B1126" s="60"/>
      <c r="C1126" s="120" t="s">
        <v>448</v>
      </c>
      <c r="D1126" s="120"/>
      <c r="E1126" s="120"/>
      <c r="F1126" s="125" t="s">
        <v>57</v>
      </c>
      <c r="G1126" s="125"/>
      <c r="H1126" s="115"/>
      <c r="I1126" s="116"/>
    </row>
    <row r="1127" spans="1:9" s="17" customFormat="1" ht="27" customHeight="1" x14ac:dyDescent="0.2">
      <c r="A1127" s="65">
        <v>1118</v>
      </c>
      <c r="B1127" s="60"/>
      <c r="C1127" s="112" t="s">
        <v>3600</v>
      </c>
      <c r="D1127" s="112"/>
      <c r="E1127" s="112"/>
      <c r="F1127" s="125" t="s">
        <v>76</v>
      </c>
      <c r="G1127" s="125"/>
      <c r="H1127" s="115">
        <f>281-11.3-12.9-10.8-10.5-11-5-25.2-2.7-43.2+43.2-2.8</f>
        <v>188.8</v>
      </c>
      <c r="I1127" s="116"/>
    </row>
    <row r="1128" spans="1:9" s="17" customFormat="1" ht="12.75" customHeight="1" x14ac:dyDescent="0.2">
      <c r="A1128" s="65">
        <v>1119</v>
      </c>
      <c r="B1128" s="60" t="s">
        <v>4043</v>
      </c>
      <c r="C1128" s="112" t="s">
        <v>4318</v>
      </c>
      <c r="D1128" s="112"/>
      <c r="E1128" s="112"/>
      <c r="F1128" s="125" t="s">
        <v>76</v>
      </c>
      <c r="G1128" s="125"/>
      <c r="H1128" s="115">
        <v>34.700000000000003</v>
      </c>
      <c r="I1128" s="116"/>
    </row>
    <row r="1129" spans="1:9" s="17" customFormat="1" ht="12.75" customHeight="1" x14ac:dyDescent="0.2">
      <c r="A1129" s="65">
        <v>1120</v>
      </c>
      <c r="B1129" s="60"/>
      <c r="C1129" s="112" t="s">
        <v>698</v>
      </c>
      <c r="D1129" s="112"/>
      <c r="E1129" s="112"/>
      <c r="F1129" s="125" t="s">
        <v>76</v>
      </c>
      <c r="G1129" s="125"/>
      <c r="H1129" s="115">
        <f>55-13</f>
        <v>42</v>
      </c>
      <c r="I1129" s="116"/>
    </row>
    <row r="1130" spans="1:9" s="17" customFormat="1" ht="12.75" customHeight="1" x14ac:dyDescent="0.2">
      <c r="A1130" s="65">
        <v>1121</v>
      </c>
      <c r="B1130" s="60">
        <v>6</v>
      </c>
      <c r="C1130" s="112" t="s">
        <v>847</v>
      </c>
      <c r="D1130" s="112"/>
      <c r="E1130" s="112"/>
      <c r="F1130" s="125" t="s">
        <v>62</v>
      </c>
      <c r="G1130" s="125"/>
      <c r="H1130" s="115">
        <f>665-275-150-55</f>
        <v>185</v>
      </c>
      <c r="I1130" s="116"/>
    </row>
    <row r="1131" spans="1:9" s="17" customFormat="1" ht="12.75" customHeight="1" x14ac:dyDescent="0.2">
      <c r="A1131" s="65">
        <v>1122</v>
      </c>
      <c r="B1131" s="60">
        <v>6</v>
      </c>
      <c r="C1131" s="130" t="s">
        <v>683</v>
      </c>
      <c r="D1131" s="131"/>
      <c r="E1131" s="132"/>
      <c r="F1131" s="125" t="s">
        <v>59</v>
      </c>
      <c r="G1131" s="125"/>
      <c r="H1131" s="115">
        <f>125.3-55.3</f>
        <v>70</v>
      </c>
      <c r="I1131" s="116"/>
    </row>
    <row r="1132" spans="1:9" s="17" customFormat="1" ht="12.75" customHeight="1" x14ac:dyDescent="0.2">
      <c r="A1132" s="65">
        <v>1123</v>
      </c>
      <c r="B1132" s="60"/>
      <c r="C1132" s="130" t="s">
        <v>779</v>
      </c>
      <c r="D1132" s="131"/>
      <c r="E1132" s="132"/>
      <c r="F1132" s="125" t="s">
        <v>29</v>
      </c>
      <c r="G1132" s="125"/>
      <c r="H1132" s="115">
        <v>33</v>
      </c>
      <c r="I1132" s="116"/>
    </row>
    <row r="1133" spans="1:9" s="17" customFormat="1" ht="12.75" customHeight="1" x14ac:dyDescent="0.2">
      <c r="A1133" s="65">
        <v>1124</v>
      </c>
      <c r="B1133" s="60"/>
      <c r="C1133" s="130" t="s">
        <v>1379</v>
      </c>
      <c r="D1133" s="131"/>
      <c r="E1133" s="132"/>
      <c r="F1133" s="125" t="s">
        <v>76</v>
      </c>
      <c r="G1133" s="125"/>
      <c r="H1133" s="115">
        <f>106-10.5-21.8-23.2+23.2+18-6.8-26.5-16.4-18-0.1</f>
        <v>23.900000000000006</v>
      </c>
      <c r="I1133" s="116"/>
    </row>
    <row r="1134" spans="1:9" s="17" customFormat="1" ht="12.75" customHeight="1" x14ac:dyDescent="0.2">
      <c r="A1134" s="65">
        <v>1125</v>
      </c>
      <c r="B1134" s="60">
        <v>2</v>
      </c>
      <c r="C1134" s="128" t="s">
        <v>611</v>
      </c>
      <c r="D1134" s="126"/>
      <c r="E1134" s="127"/>
      <c r="F1134" s="125" t="s">
        <v>76</v>
      </c>
      <c r="G1134" s="125"/>
      <c r="H1134" s="115">
        <f>393+3-86-42</f>
        <v>268</v>
      </c>
      <c r="I1134" s="116"/>
    </row>
    <row r="1135" spans="1:9" s="17" customFormat="1" ht="26.25" customHeight="1" x14ac:dyDescent="0.2">
      <c r="A1135" s="65">
        <v>1126</v>
      </c>
      <c r="B1135" s="60">
        <v>6</v>
      </c>
      <c r="C1135" s="130" t="s">
        <v>2044</v>
      </c>
      <c r="D1135" s="131"/>
      <c r="E1135" s="132"/>
      <c r="F1135" s="125" t="s">
        <v>76</v>
      </c>
      <c r="G1135" s="125"/>
      <c r="H1135" s="115">
        <f>435-26-85-70.1</f>
        <v>253.9</v>
      </c>
      <c r="I1135" s="116"/>
    </row>
    <row r="1136" spans="1:9" s="17" customFormat="1" ht="12.75" customHeight="1" x14ac:dyDescent="0.2">
      <c r="A1136" s="65">
        <v>1127</v>
      </c>
      <c r="B1136" s="60"/>
      <c r="C1136" s="128" t="s">
        <v>1689</v>
      </c>
      <c r="D1136" s="126"/>
      <c r="E1136" s="127"/>
      <c r="F1136" s="124" t="s">
        <v>71</v>
      </c>
      <c r="G1136" s="124"/>
      <c r="H1136" s="115">
        <v>36.299999999999997</v>
      </c>
      <c r="I1136" s="116"/>
    </row>
    <row r="1137" spans="1:9" s="17" customFormat="1" ht="12.75" customHeight="1" x14ac:dyDescent="0.2">
      <c r="A1137" s="65">
        <v>1128</v>
      </c>
      <c r="B1137" s="60"/>
      <c r="C1137" s="128" t="s">
        <v>1690</v>
      </c>
      <c r="D1137" s="126"/>
      <c r="E1137" s="127"/>
      <c r="F1137" s="124" t="s">
        <v>71</v>
      </c>
      <c r="G1137" s="124"/>
      <c r="H1137" s="115">
        <v>60</v>
      </c>
      <c r="I1137" s="116"/>
    </row>
    <row r="1138" spans="1:9" s="17" customFormat="1" ht="12.75" customHeight="1" x14ac:dyDescent="0.2">
      <c r="A1138" s="65">
        <v>1129</v>
      </c>
      <c r="B1138" s="60"/>
      <c r="C1138" s="128" t="s">
        <v>3297</v>
      </c>
      <c r="D1138" s="126"/>
      <c r="E1138" s="127"/>
      <c r="F1138" s="124" t="s">
        <v>71</v>
      </c>
      <c r="G1138" s="124"/>
      <c r="H1138" s="115">
        <f>58.4-3.5-5.3-13.7-16.2</f>
        <v>19.700000000000006</v>
      </c>
      <c r="I1138" s="116"/>
    </row>
    <row r="1139" spans="1:9" s="17" customFormat="1" x14ac:dyDescent="0.2">
      <c r="A1139" s="65">
        <v>1130</v>
      </c>
      <c r="B1139" s="60"/>
      <c r="C1139" s="112" t="s">
        <v>2984</v>
      </c>
      <c r="D1139" s="112"/>
      <c r="E1139" s="112"/>
      <c r="F1139" s="124" t="s">
        <v>30</v>
      </c>
      <c r="G1139" s="124"/>
      <c r="H1139" s="115">
        <f>50-2.8</f>
        <v>47.2</v>
      </c>
      <c r="I1139" s="116"/>
    </row>
    <row r="1140" spans="1:9" s="17" customFormat="1" ht="12.75" customHeight="1" x14ac:dyDescent="0.2">
      <c r="A1140" s="65">
        <v>1131</v>
      </c>
      <c r="B1140" s="60"/>
      <c r="C1140" s="128" t="s">
        <v>449</v>
      </c>
      <c r="D1140" s="126"/>
      <c r="E1140" s="127"/>
      <c r="F1140" s="125" t="s">
        <v>76</v>
      </c>
      <c r="G1140" s="125"/>
      <c r="H1140" s="115"/>
      <c r="I1140" s="116"/>
    </row>
    <row r="1141" spans="1:9" s="17" customFormat="1" ht="12.75" customHeight="1" x14ac:dyDescent="0.2">
      <c r="A1141" s="65">
        <v>1132</v>
      </c>
      <c r="B1141" s="60"/>
      <c r="C1141" s="128" t="s">
        <v>424</v>
      </c>
      <c r="D1141" s="126"/>
      <c r="E1141" s="127"/>
      <c r="F1141" s="124" t="s">
        <v>1</v>
      </c>
      <c r="G1141" s="124"/>
      <c r="H1141" s="115"/>
      <c r="I1141" s="116"/>
    </row>
    <row r="1142" spans="1:9" s="17" customFormat="1" x14ac:dyDescent="0.2">
      <c r="A1142" s="65">
        <v>1133</v>
      </c>
      <c r="B1142" s="60" t="s">
        <v>3574</v>
      </c>
      <c r="C1142" s="112" t="s">
        <v>4035</v>
      </c>
      <c r="D1142" s="112"/>
      <c r="E1142" s="112"/>
      <c r="F1142" s="124" t="s">
        <v>56</v>
      </c>
      <c r="G1142" s="124"/>
      <c r="H1142" s="115">
        <v>15.9</v>
      </c>
      <c r="I1142" s="116"/>
    </row>
    <row r="1143" spans="1:9" s="17" customFormat="1" ht="12.75" customHeight="1" x14ac:dyDescent="0.2">
      <c r="A1143" s="65">
        <v>1134</v>
      </c>
      <c r="B1143" s="60"/>
      <c r="C1143" s="112" t="s">
        <v>1529</v>
      </c>
      <c r="D1143" s="112"/>
      <c r="E1143" s="112"/>
      <c r="F1143" s="125" t="s">
        <v>76</v>
      </c>
      <c r="G1143" s="125"/>
      <c r="H1143" s="115">
        <f>69.4-10</f>
        <v>59.400000000000006</v>
      </c>
      <c r="I1143" s="116"/>
    </row>
    <row r="1144" spans="1:9" s="17" customFormat="1" ht="12.75" customHeight="1" x14ac:dyDescent="0.2">
      <c r="A1144" s="65">
        <v>1135</v>
      </c>
      <c r="B1144" s="60"/>
      <c r="C1144" s="117" t="s">
        <v>555</v>
      </c>
      <c r="D1144" s="118"/>
      <c r="E1144" s="119"/>
      <c r="F1144" s="124" t="s">
        <v>200</v>
      </c>
      <c r="G1144" s="124"/>
      <c r="H1144" s="115">
        <f>158.4+46.6+44</f>
        <v>249</v>
      </c>
      <c r="I1144" s="116"/>
    </row>
    <row r="1145" spans="1:9" s="17" customFormat="1" ht="12.75" customHeight="1" x14ac:dyDescent="0.2">
      <c r="A1145" s="65">
        <v>1136</v>
      </c>
      <c r="B1145" s="60"/>
      <c r="C1145" s="117" t="s">
        <v>1319</v>
      </c>
      <c r="D1145" s="118"/>
      <c r="E1145" s="119"/>
      <c r="F1145" s="124" t="s">
        <v>200</v>
      </c>
      <c r="G1145" s="124"/>
      <c r="H1145" s="115">
        <v>56</v>
      </c>
      <c r="I1145" s="116"/>
    </row>
    <row r="1146" spans="1:9" s="17" customFormat="1" ht="12.75" customHeight="1" x14ac:dyDescent="0.2">
      <c r="A1146" s="65">
        <v>1137</v>
      </c>
      <c r="B1146" s="60"/>
      <c r="C1146" s="112" t="s">
        <v>5201</v>
      </c>
      <c r="D1146" s="112"/>
      <c r="E1146" s="112"/>
      <c r="F1146" s="125" t="s">
        <v>76</v>
      </c>
      <c r="G1146" s="125"/>
      <c r="H1146" s="115">
        <f>128.5-14.5-28.5</f>
        <v>85.5</v>
      </c>
      <c r="I1146" s="116"/>
    </row>
    <row r="1147" spans="1:9" s="17" customFormat="1" ht="12.75" customHeight="1" x14ac:dyDescent="0.2">
      <c r="A1147" s="65">
        <v>1138</v>
      </c>
      <c r="B1147" s="60" t="s">
        <v>4043</v>
      </c>
      <c r="C1147" s="112" t="s">
        <v>4071</v>
      </c>
      <c r="D1147" s="112"/>
      <c r="E1147" s="112"/>
      <c r="F1147" s="125" t="s">
        <v>62</v>
      </c>
      <c r="G1147" s="125"/>
      <c r="H1147" s="115">
        <f>74.3+63.9</f>
        <v>138.19999999999999</v>
      </c>
      <c r="I1147" s="116"/>
    </row>
    <row r="1148" spans="1:9" s="17" customFormat="1" ht="12.75" customHeight="1" x14ac:dyDescent="0.2">
      <c r="A1148" s="65">
        <v>1139</v>
      </c>
      <c r="B1148" s="60" t="s">
        <v>4043</v>
      </c>
      <c r="C1148" s="112" t="s">
        <v>5188</v>
      </c>
      <c r="D1148" s="112"/>
      <c r="E1148" s="112"/>
      <c r="F1148" s="125" t="s">
        <v>140</v>
      </c>
      <c r="G1148" s="125"/>
      <c r="H1148" s="123">
        <f>56.5-11.9-11.7</f>
        <v>32.900000000000006</v>
      </c>
      <c r="I1148" s="123"/>
    </row>
    <row r="1149" spans="1:9" s="17" customFormat="1" ht="12.75" customHeight="1" x14ac:dyDescent="0.2">
      <c r="A1149" s="65">
        <v>1140</v>
      </c>
      <c r="B1149" s="60">
        <v>6</v>
      </c>
      <c r="C1149" s="112" t="s">
        <v>3695</v>
      </c>
      <c r="D1149" s="112"/>
      <c r="E1149" s="112"/>
      <c r="F1149" s="125" t="s">
        <v>57</v>
      </c>
      <c r="G1149" s="125"/>
      <c r="H1149" s="115">
        <f>330-90-41+1-21+1-12.5-28.5-20.5</f>
        <v>118.5</v>
      </c>
      <c r="I1149" s="116"/>
    </row>
    <row r="1150" spans="1:9" s="17" customFormat="1" ht="12.75" customHeight="1" x14ac:dyDescent="0.2">
      <c r="A1150" s="65">
        <v>1141</v>
      </c>
      <c r="B1150" s="60">
        <v>6</v>
      </c>
      <c r="C1150" s="112" t="s">
        <v>4715</v>
      </c>
      <c r="D1150" s="112"/>
      <c r="E1150" s="112"/>
      <c r="F1150" s="125" t="s">
        <v>57</v>
      </c>
      <c r="G1150" s="125"/>
      <c r="H1150" s="115">
        <f>260-10-11</f>
        <v>239</v>
      </c>
      <c r="I1150" s="116"/>
    </row>
    <row r="1151" spans="1:9" s="17" customFormat="1" ht="12.75" customHeight="1" x14ac:dyDescent="0.2">
      <c r="A1151" s="65">
        <v>1142</v>
      </c>
      <c r="B1151" s="60">
        <v>6</v>
      </c>
      <c r="C1151" s="112" t="s">
        <v>3675</v>
      </c>
      <c r="D1151" s="112"/>
      <c r="E1151" s="112"/>
      <c r="F1151" s="124" t="s">
        <v>33</v>
      </c>
      <c r="G1151" s="124"/>
      <c r="H1151" s="115">
        <f>255-19.5-59.8</f>
        <v>175.7</v>
      </c>
      <c r="I1151" s="116"/>
    </row>
    <row r="1152" spans="1:9" s="17" customFormat="1" ht="12.75" customHeight="1" x14ac:dyDescent="0.2">
      <c r="A1152" s="65">
        <v>1143</v>
      </c>
      <c r="B1152" s="60" t="s">
        <v>3676</v>
      </c>
      <c r="C1152" s="112" t="s">
        <v>3677</v>
      </c>
      <c r="D1152" s="112"/>
      <c r="E1152" s="112"/>
      <c r="F1152" s="124" t="s">
        <v>33</v>
      </c>
      <c r="G1152" s="124"/>
      <c r="H1152" s="115">
        <v>59.8</v>
      </c>
      <c r="I1152" s="116"/>
    </row>
    <row r="1153" spans="1:9" s="17" customFormat="1" ht="12.75" customHeight="1" x14ac:dyDescent="0.2">
      <c r="A1153" s="65">
        <v>1144</v>
      </c>
      <c r="B1153" s="60"/>
      <c r="C1153" s="112" t="s">
        <v>2015</v>
      </c>
      <c r="D1153" s="112"/>
      <c r="E1153" s="112"/>
      <c r="F1153" s="124" t="s">
        <v>33</v>
      </c>
      <c r="G1153" s="124"/>
      <c r="H1153" s="115">
        <v>44.2</v>
      </c>
      <c r="I1153" s="116"/>
    </row>
    <row r="1154" spans="1:9" s="17" customFormat="1" ht="12.75" customHeight="1" x14ac:dyDescent="0.2">
      <c r="A1154" s="65">
        <v>1145</v>
      </c>
      <c r="B1154" s="60">
        <v>6</v>
      </c>
      <c r="C1154" s="112" t="s">
        <v>2907</v>
      </c>
      <c r="D1154" s="112"/>
      <c r="E1154" s="112"/>
      <c r="F1154" s="125" t="s">
        <v>57</v>
      </c>
      <c r="G1154" s="125"/>
      <c r="H1154" s="115">
        <f>295-135</f>
        <v>160</v>
      </c>
      <c r="I1154" s="116"/>
    </row>
    <row r="1155" spans="1:9" s="17" customFormat="1" ht="12.75" customHeight="1" x14ac:dyDescent="0.2">
      <c r="A1155" s="65">
        <v>1146</v>
      </c>
      <c r="B1155" s="60"/>
      <c r="C1155" s="128" t="s">
        <v>5183</v>
      </c>
      <c r="D1155" s="126"/>
      <c r="E1155" s="127"/>
      <c r="F1155" s="125" t="s">
        <v>57</v>
      </c>
      <c r="G1155" s="125"/>
      <c r="H1155" s="115">
        <f>9.2+7-9.2</f>
        <v>7</v>
      </c>
      <c r="I1155" s="116"/>
    </row>
    <row r="1156" spans="1:9" s="17" customFormat="1" ht="12.75" customHeight="1" x14ac:dyDescent="0.2">
      <c r="A1156" s="65">
        <v>1147</v>
      </c>
      <c r="B1156" s="60"/>
      <c r="C1156" s="117" t="s">
        <v>4507</v>
      </c>
      <c r="D1156" s="118"/>
      <c r="E1156" s="119"/>
      <c r="F1156" s="125" t="s">
        <v>59</v>
      </c>
      <c r="G1156" s="125"/>
      <c r="H1156" s="115">
        <f>256.8-5.8-14.2-24.5-17.5+41.8-4.5-6.5-48.1-34.3-50-11.1+41-36.4</f>
        <v>86.700000000000045</v>
      </c>
      <c r="I1156" s="116"/>
    </row>
    <row r="1157" spans="1:9" s="17" customFormat="1" ht="12.75" customHeight="1" x14ac:dyDescent="0.2">
      <c r="A1157" s="65">
        <v>1148</v>
      </c>
      <c r="B1157" s="60"/>
      <c r="C1157" s="117" t="s">
        <v>2270</v>
      </c>
      <c r="D1157" s="118"/>
      <c r="E1157" s="119"/>
      <c r="F1157" s="125" t="s">
        <v>59</v>
      </c>
      <c r="G1157" s="125"/>
      <c r="H1157" s="115">
        <f>180-35-50-2.7</f>
        <v>92.3</v>
      </c>
      <c r="I1157" s="116"/>
    </row>
    <row r="1158" spans="1:9" s="17" customFormat="1" ht="12.75" customHeight="1" x14ac:dyDescent="0.2">
      <c r="A1158" s="65">
        <v>1149</v>
      </c>
      <c r="B1158" s="60"/>
      <c r="C1158" s="117" t="s">
        <v>872</v>
      </c>
      <c r="D1158" s="118"/>
      <c r="E1158" s="119"/>
      <c r="F1158" s="125" t="s">
        <v>29</v>
      </c>
      <c r="G1158" s="125"/>
      <c r="H1158" s="115">
        <f>53+57.9-31.4-9.8-26.5</f>
        <v>43.2</v>
      </c>
      <c r="I1158" s="116"/>
    </row>
    <row r="1159" spans="1:9" s="17" customFormat="1" ht="12" customHeight="1" x14ac:dyDescent="0.2">
      <c r="A1159" s="65">
        <v>1150</v>
      </c>
      <c r="B1159" s="60"/>
      <c r="C1159" s="112" t="s">
        <v>1004</v>
      </c>
      <c r="D1159" s="112"/>
      <c r="E1159" s="112"/>
      <c r="F1159" s="125" t="s">
        <v>140</v>
      </c>
      <c r="G1159" s="125"/>
      <c r="H1159" s="115">
        <f>105-54+1-10-4.3</f>
        <v>37.700000000000003</v>
      </c>
      <c r="I1159" s="116"/>
    </row>
    <row r="1160" spans="1:9" s="17" customFormat="1" ht="12.75" customHeight="1" x14ac:dyDescent="0.2">
      <c r="A1160" s="65">
        <v>1151</v>
      </c>
      <c r="B1160" s="60"/>
      <c r="C1160" s="112" t="s">
        <v>1535</v>
      </c>
      <c r="D1160" s="112"/>
      <c r="E1160" s="112"/>
      <c r="F1160" s="125" t="s">
        <v>59</v>
      </c>
      <c r="G1160" s="125"/>
      <c r="H1160" s="123">
        <f>89.5-44.5-4</f>
        <v>41</v>
      </c>
      <c r="I1160" s="123"/>
    </row>
    <row r="1161" spans="1:9" s="17" customFormat="1" ht="12.75" customHeight="1" x14ac:dyDescent="0.2">
      <c r="A1161" s="65">
        <v>1152</v>
      </c>
      <c r="B1161" s="60">
        <v>6</v>
      </c>
      <c r="C1161" s="112" t="s">
        <v>597</v>
      </c>
      <c r="D1161" s="112"/>
      <c r="E1161" s="112"/>
      <c r="F1161" s="124" t="s">
        <v>17</v>
      </c>
      <c r="G1161" s="125"/>
      <c r="H1161" s="115">
        <f>140+95-70-70</f>
        <v>95</v>
      </c>
      <c r="I1161" s="116"/>
    </row>
    <row r="1162" spans="1:9" s="17" customFormat="1" ht="12.75" customHeight="1" x14ac:dyDescent="0.2">
      <c r="A1162" s="65">
        <v>1153</v>
      </c>
      <c r="B1162" s="60"/>
      <c r="C1162" s="112" t="s">
        <v>1781</v>
      </c>
      <c r="D1162" s="112"/>
      <c r="E1162" s="112"/>
      <c r="F1162" s="124" t="s">
        <v>33</v>
      </c>
      <c r="G1162" s="125"/>
      <c r="H1162" s="123">
        <f>51+30.3-1.4-6.8+37.7-66.3-0.3-10+54.2-2-4-28.2</f>
        <v>54.2</v>
      </c>
      <c r="I1162" s="123"/>
    </row>
    <row r="1163" spans="1:9" s="17" customFormat="1" ht="12.75" customHeight="1" x14ac:dyDescent="0.2">
      <c r="A1163" s="65">
        <v>1154</v>
      </c>
      <c r="B1163" s="60"/>
      <c r="C1163" s="112" t="s">
        <v>509</v>
      </c>
      <c r="D1163" s="112"/>
      <c r="E1163" s="112"/>
      <c r="F1163" s="124" t="s">
        <v>31</v>
      </c>
      <c r="G1163" s="125"/>
      <c r="H1163" s="123">
        <v>50.6</v>
      </c>
      <c r="I1163" s="123"/>
    </row>
    <row r="1164" spans="1:9" s="17" customFormat="1" ht="12.75" customHeight="1" x14ac:dyDescent="0.2">
      <c r="A1164" s="65">
        <v>1155</v>
      </c>
      <c r="B1164" s="60"/>
      <c r="C1164" s="117" t="s">
        <v>556</v>
      </c>
      <c r="D1164" s="118"/>
      <c r="E1164" s="119"/>
      <c r="F1164" s="124" t="s">
        <v>31</v>
      </c>
      <c r="G1164" s="125"/>
      <c r="H1164" s="123">
        <f>63.2-27.2</f>
        <v>36</v>
      </c>
      <c r="I1164" s="123"/>
    </row>
    <row r="1165" spans="1:9" s="17" customFormat="1" ht="12.75" customHeight="1" x14ac:dyDescent="0.2">
      <c r="A1165" s="65">
        <v>1156</v>
      </c>
      <c r="B1165" s="60">
        <v>6</v>
      </c>
      <c r="C1165" s="112" t="s">
        <v>598</v>
      </c>
      <c r="D1165" s="112"/>
      <c r="E1165" s="112"/>
      <c r="F1165" s="124" t="s">
        <v>17</v>
      </c>
      <c r="G1165" s="125"/>
      <c r="H1165" s="115">
        <v>75</v>
      </c>
      <c r="I1165" s="116"/>
    </row>
    <row r="1166" spans="1:9" s="16" customFormat="1" ht="12" customHeight="1" x14ac:dyDescent="0.2">
      <c r="A1166" s="65">
        <v>1157</v>
      </c>
      <c r="B1166" s="60" t="s">
        <v>3676</v>
      </c>
      <c r="C1166" s="120" t="s">
        <v>5020</v>
      </c>
      <c r="D1166" s="120"/>
      <c r="E1166" s="120"/>
      <c r="F1166" s="125" t="s">
        <v>483</v>
      </c>
      <c r="G1166" s="125"/>
      <c r="H1166" s="123">
        <v>21.5</v>
      </c>
      <c r="I1166" s="123"/>
    </row>
    <row r="1167" spans="1:9" s="17" customFormat="1" ht="12.75" customHeight="1" x14ac:dyDescent="0.2">
      <c r="A1167" s="65">
        <v>1158</v>
      </c>
      <c r="B1167" s="60"/>
      <c r="C1167" s="112" t="s">
        <v>2336</v>
      </c>
      <c r="D1167" s="112"/>
      <c r="E1167" s="112"/>
      <c r="F1167" s="124" t="s">
        <v>33</v>
      </c>
      <c r="G1167" s="125"/>
      <c r="H1167" s="123">
        <v>25.3</v>
      </c>
      <c r="I1167" s="123"/>
    </row>
    <row r="1168" spans="1:9" s="17" customFormat="1" ht="12.75" customHeight="1" x14ac:dyDescent="0.2">
      <c r="A1168" s="65">
        <v>1159</v>
      </c>
      <c r="B1168" s="60"/>
      <c r="C1168" s="112" t="s">
        <v>2954</v>
      </c>
      <c r="D1168" s="112"/>
      <c r="E1168" s="112"/>
      <c r="F1168" s="125" t="s">
        <v>184</v>
      </c>
      <c r="G1168" s="125"/>
      <c r="H1168" s="115">
        <v>89.5</v>
      </c>
      <c r="I1168" s="116"/>
    </row>
    <row r="1169" spans="1:9" s="17" customFormat="1" ht="12.75" customHeight="1" x14ac:dyDescent="0.2">
      <c r="A1169" s="65">
        <v>1160</v>
      </c>
      <c r="B1169" s="60"/>
      <c r="C1169" s="117" t="s">
        <v>1471</v>
      </c>
      <c r="D1169" s="118"/>
      <c r="E1169" s="119"/>
      <c r="F1169" s="125" t="s">
        <v>29</v>
      </c>
      <c r="G1169" s="125"/>
      <c r="H1169" s="115">
        <v>34.299999999999997</v>
      </c>
      <c r="I1169" s="116"/>
    </row>
    <row r="1170" spans="1:9" s="17" customFormat="1" ht="12.75" customHeight="1" x14ac:dyDescent="0.2">
      <c r="A1170" s="65">
        <v>1161</v>
      </c>
      <c r="B1170" s="60"/>
      <c r="C1170" s="117" t="s">
        <v>1344</v>
      </c>
      <c r="D1170" s="118"/>
      <c r="E1170" s="119"/>
      <c r="F1170" s="125" t="s">
        <v>29</v>
      </c>
      <c r="G1170" s="125"/>
      <c r="H1170" s="70">
        <f>42.6-4.8</f>
        <v>37.800000000000004</v>
      </c>
      <c r="I1170" s="71"/>
    </row>
    <row r="1171" spans="1:9" s="17" customFormat="1" ht="23.25" customHeight="1" x14ac:dyDescent="0.2">
      <c r="A1171" s="65">
        <v>1162</v>
      </c>
      <c r="B1171" s="60"/>
      <c r="C1171" s="117" t="s">
        <v>2764</v>
      </c>
      <c r="D1171" s="118"/>
      <c r="E1171" s="119"/>
      <c r="F1171" s="125" t="s">
        <v>29</v>
      </c>
      <c r="G1171" s="125"/>
      <c r="H1171" s="115">
        <f>276.5-33-32-2.2</f>
        <v>209.3</v>
      </c>
      <c r="I1171" s="116"/>
    </row>
    <row r="1172" spans="1:9" s="17" customFormat="1" ht="12.75" customHeight="1" x14ac:dyDescent="0.2">
      <c r="A1172" s="65">
        <v>1163</v>
      </c>
      <c r="B1172" s="60"/>
      <c r="C1172" s="112" t="s">
        <v>955</v>
      </c>
      <c r="D1172" s="112"/>
      <c r="E1172" s="112"/>
      <c r="F1172" s="125" t="s">
        <v>29</v>
      </c>
      <c r="G1172" s="125"/>
      <c r="H1172" s="115">
        <v>30.6</v>
      </c>
      <c r="I1172" s="116"/>
    </row>
    <row r="1173" spans="1:9" s="17" customFormat="1" ht="12.75" customHeight="1" x14ac:dyDescent="0.2">
      <c r="A1173" s="65">
        <v>1164</v>
      </c>
      <c r="B1173" s="60"/>
      <c r="C1173" s="117" t="s">
        <v>880</v>
      </c>
      <c r="D1173" s="118"/>
      <c r="E1173" s="119"/>
      <c r="F1173" s="113" t="s">
        <v>59</v>
      </c>
      <c r="G1173" s="114"/>
      <c r="H1173" s="115">
        <f>77.5-25.3</f>
        <v>52.2</v>
      </c>
      <c r="I1173" s="116"/>
    </row>
    <row r="1174" spans="1:9" s="17" customFormat="1" ht="12.75" customHeight="1" x14ac:dyDescent="0.2">
      <c r="A1174" s="65">
        <v>1165</v>
      </c>
      <c r="B1174" s="60">
        <v>6</v>
      </c>
      <c r="C1174" s="112" t="s">
        <v>1444</v>
      </c>
      <c r="D1174" s="112"/>
      <c r="E1174" s="112"/>
      <c r="F1174" s="125" t="s">
        <v>59</v>
      </c>
      <c r="G1174" s="125"/>
      <c r="H1174" s="115">
        <f>482-120</f>
        <v>362</v>
      </c>
      <c r="I1174" s="116"/>
    </row>
    <row r="1175" spans="1:9" s="17" customFormat="1" ht="12.75" customHeight="1" x14ac:dyDescent="0.2">
      <c r="A1175" s="65">
        <v>1166</v>
      </c>
      <c r="B1175" s="60" t="s">
        <v>4032</v>
      </c>
      <c r="C1175" s="112" t="s">
        <v>4233</v>
      </c>
      <c r="D1175" s="112"/>
      <c r="E1175" s="112"/>
      <c r="F1175" s="121" t="s">
        <v>200</v>
      </c>
      <c r="G1175" s="122"/>
      <c r="H1175" s="115">
        <f>73.2+69.8</f>
        <v>143</v>
      </c>
      <c r="I1175" s="116"/>
    </row>
    <row r="1176" spans="1:9" s="17" customFormat="1" ht="12.75" customHeight="1" x14ac:dyDescent="0.2">
      <c r="A1176" s="65">
        <v>1167</v>
      </c>
      <c r="B1176" s="60"/>
      <c r="C1176" s="117" t="s">
        <v>2725</v>
      </c>
      <c r="D1176" s="118"/>
      <c r="E1176" s="119"/>
      <c r="F1176" s="113" t="s">
        <v>29</v>
      </c>
      <c r="G1176" s="114"/>
      <c r="H1176" s="115">
        <v>74</v>
      </c>
      <c r="I1176" s="116"/>
    </row>
    <row r="1177" spans="1:9" s="17" customFormat="1" ht="12.75" customHeight="1" x14ac:dyDescent="0.2">
      <c r="A1177" s="65">
        <v>1168</v>
      </c>
      <c r="B1177" s="60"/>
      <c r="C1177" s="117" t="s">
        <v>2197</v>
      </c>
      <c r="D1177" s="118"/>
      <c r="E1177" s="119"/>
      <c r="F1177" s="113" t="s">
        <v>59</v>
      </c>
      <c r="G1177" s="114"/>
      <c r="H1177" s="115">
        <f>167.8-46.5+46.5</f>
        <v>167.8</v>
      </c>
      <c r="I1177" s="116"/>
    </row>
    <row r="1178" spans="1:9" s="17" customFormat="1" ht="12.75" customHeight="1" x14ac:dyDescent="0.2">
      <c r="A1178" s="65">
        <v>1169</v>
      </c>
      <c r="B1178" s="60"/>
      <c r="C1178" s="130" t="s">
        <v>560</v>
      </c>
      <c r="D1178" s="131"/>
      <c r="E1178" s="132"/>
      <c r="F1178" s="124" t="s">
        <v>85</v>
      </c>
      <c r="G1178" s="124"/>
      <c r="H1178" s="115">
        <v>39.700000000000003</v>
      </c>
      <c r="I1178" s="116"/>
    </row>
    <row r="1179" spans="1:9" s="17" customFormat="1" ht="12.75" customHeight="1" x14ac:dyDescent="0.2">
      <c r="A1179" s="65">
        <v>1170</v>
      </c>
      <c r="B1179" s="60"/>
      <c r="C1179" s="117" t="s">
        <v>1445</v>
      </c>
      <c r="D1179" s="118"/>
      <c r="E1179" s="119"/>
      <c r="F1179" s="113" t="s">
        <v>140</v>
      </c>
      <c r="G1179" s="114"/>
      <c r="H1179" s="115">
        <f>153.7-19-76.9-7-24-0.4</f>
        <v>26.399999999999984</v>
      </c>
      <c r="I1179" s="116"/>
    </row>
    <row r="1180" spans="1:9" s="17" customFormat="1" ht="12.75" customHeight="1" x14ac:dyDescent="0.2">
      <c r="A1180" s="65">
        <v>1171</v>
      </c>
      <c r="B1180" s="60"/>
      <c r="C1180" s="117" t="s">
        <v>2058</v>
      </c>
      <c r="D1180" s="118"/>
      <c r="E1180" s="119"/>
      <c r="F1180" s="113" t="s">
        <v>140</v>
      </c>
      <c r="G1180" s="114"/>
      <c r="H1180" s="115">
        <v>62.8</v>
      </c>
      <c r="I1180" s="116"/>
    </row>
    <row r="1181" spans="1:9" s="17" customFormat="1" ht="12.75" customHeight="1" x14ac:dyDescent="0.2">
      <c r="A1181" s="65">
        <v>1172</v>
      </c>
      <c r="B1181" s="60"/>
      <c r="C1181" s="117" t="s">
        <v>4828</v>
      </c>
      <c r="D1181" s="118"/>
      <c r="E1181" s="119"/>
      <c r="F1181" s="113" t="s">
        <v>140</v>
      </c>
      <c r="G1181" s="114"/>
      <c r="H1181" s="115">
        <f>150-21-21-16.5+0.5-18.6</f>
        <v>73.400000000000006</v>
      </c>
      <c r="I1181" s="116"/>
    </row>
    <row r="1182" spans="1:9" s="17" customFormat="1" ht="12.75" customHeight="1" x14ac:dyDescent="0.2">
      <c r="A1182" s="65">
        <v>1173</v>
      </c>
      <c r="B1182" s="60"/>
      <c r="C1182" s="117" t="s">
        <v>2996</v>
      </c>
      <c r="D1182" s="118"/>
      <c r="E1182" s="119"/>
      <c r="F1182" s="113" t="s">
        <v>140</v>
      </c>
      <c r="G1182" s="114"/>
      <c r="H1182" s="115">
        <f>155.3-78.3</f>
        <v>77.000000000000014</v>
      </c>
      <c r="I1182" s="116"/>
    </row>
    <row r="1183" spans="1:9" s="17" customFormat="1" ht="12.75" customHeight="1" x14ac:dyDescent="0.2">
      <c r="A1183" s="65">
        <v>1174</v>
      </c>
      <c r="B1183" s="60"/>
      <c r="C1183" s="117" t="s">
        <v>1943</v>
      </c>
      <c r="D1183" s="118"/>
      <c r="E1183" s="119"/>
      <c r="F1183" s="124" t="s">
        <v>271</v>
      </c>
      <c r="G1183" s="124"/>
      <c r="H1183" s="115">
        <f>166.6-5.7</f>
        <v>160.9</v>
      </c>
      <c r="I1183" s="116"/>
    </row>
    <row r="1184" spans="1:9" s="17" customFormat="1" ht="27.75" customHeight="1" x14ac:dyDescent="0.2">
      <c r="A1184" s="65">
        <v>1175</v>
      </c>
      <c r="B1184" s="60">
        <v>6</v>
      </c>
      <c r="C1184" s="117" t="s">
        <v>1665</v>
      </c>
      <c r="D1184" s="118"/>
      <c r="E1184" s="119"/>
      <c r="F1184" s="124" t="s">
        <v>271</v>
      </c>
      <c r="G1184" s="124"/>
      <c r="H1184" s="115">
        <v>1339.3</v>
      </c>
      <c r="I1184" s="116"/>
    </row>
    <row r="1185" spans="1:9" s="17" customFormat="1" ht="12.75" customHeight="1" x14ac:dyDescent="0.2">
      <c r="A1185" s="65">
        <v>1176</v>
      </c>
      <c r="B1185" s="60"/>
      <c r="C1185" s="117" t="s">
        <v>2226</v>
      </c>
      <c r="D1185" s="118"/>
      <c r="E1185" s="119"/>
      <c r="F1185" s="113" t="s">
        <v>140</v>
      </c>
      <c r="G1185" s="114"/>
      <c r="H1185" s="115">
        <f>327.5-83.5-23-82-57-8.6-24.5+0.1</f>
        <v>49.000000000000007</v>
      </c>
      <c r="I1185" s="116"/>
    </row>
    <row r="1186" spans="1:9" s="17" customFormat="1" ht="12.75" customHeight="1" x14ac:dyDescent="0.2">
      <c r="A1186" s="65">
        <v>1177</v>
      </c>
      <c r="B1186" s="60"/>
      <c r="C1186" s="117" t="s">
        <v>2614</v>
      </c>
      <c r="D1186" s="118"/>
      <c r="E1186" s="119"/>
      <c r="F1186" s="113" t="s">
        <v>59</v>
      </c>
      <c r="G1186" s="114"/>
      <c r="H1186" s="115">
        <v>10</v>
      </c>
      <c r="I1186" s="116"/>
    </row>
    <row r="1187" spans="1:9" s="17" customFormat="1" ht="12.75" customHeight="1" x14ac:dyDescent="0.2">
      <c r="A1187" s="65">
        <v>1178</v>
      </c>
      <c r="B1187" s="60"/>
      <c r="C1187" s="117" t="s">
        <v>2359</v>
      </c>
      <c r="D1187" s="118"/>
      <c r="E1187" s="119"/>
      <c r="F1187" s="113" t="s">
        <v>59</v>
      </c>
      <c r="G1187" s="114"/>
      <c r="H1187" s="115">
        <v>25.5</v>
      </c>
      <c r="I1187" s="116"/>
    </row>
    <row r="1188" spans="1:9" s="17" customFormat="1" ht="12.75" customHeight="1" x14ac:dyDescent="0.2">
      <c r="A1188" s="65">
        <v>1179</v>
      </c>
      <c r="B1188" s="60"/>
      <c r="C1188" s="117" t="s">
        <v>2620</v>
      </c>
      <c r="D1188" s="118"/>
      <c r="E1188" s="119"/>
      <c r="F1188" s="113" t="s">
        <v>59</v>
      </c>
      <c r="G1188" s="114"/>
      <c r="H1188" s="115">
        <v>11.6</v>
      </c>
      <c r="I1188" s="116"/>
    </row>
    <row r="1189" spans="1:9" s="17" customFormat="1" ht="12.75" customHeight="1" x14ac:dyDescent="0.2">
      <c r="A1189" s="65">
        <v>1180</v>
      </c>
      <c r="B1189" s="60" t="s">
        <v>4043</v>
      </c>
      <c r="C1189" s="117" t="s">
        <v>5061</v>
      </c>
      <c r="D1189" s="118"/>
      <c r="E1189" s="119"/>
      <c r="F1189" s="113" t="s">
        <v>140</v>
      </c>
      <c r="G1189" s="114"/>
      <c r="H1189" s="115">
        <f>16.8+26.6-6.2-20.4</f>
        <v>16.800000000000004</v>
      </c>
      <c r="I1189" s="116"/>
    </row>
    <row r="1190" spans="1:9" s="17" customFormat="1" ht="12.75" customHeight="1" x14ac:dyDescent="0.2">
      <c r="A1190" s="65">
        <v>1181</v>
      </c>
      <c r="B1190" s="60" t="s">
        <v>4032</v>
      </c>
      <c r="C1190" s="117" t="s">
        <v>5234</v>
      </c>
      <c r="D1190" s="118"/>
      <c r="E1190" s="119"/>
      <c r="F1190" s="113" t="s">
        <v>29</v>
      </c>
      <c r="G1190" s="114"/>
      <c r="H1190" s="115">
        <v>123</v>
      </c>
      <c r="I1190" s="116"/>
    </row>
    <row r="1191" spans="1:9" s="17" customFormat="1" ht="12.75" customHeight="1" x14ac:dyDescent="0.2">
      <c r="A1191" s="65">
        <v>1182</v>
      </c>
      <c r="B1191" s="60"/>
      <c r="C1191" s="117" t="s">
        <v>1569</v>
      </c>
      <c r="D1191" s="118"/>
      <c r="E1191" s="119"/>
      <c r="F1191" s="121" t="s">
        <v>56</v>
      </c>
      <c r="G1191" s="122"/>
      <c r="H1191" s="115">
        <v>26</v>
      </c>
      <c r="I1191" s="116"/>
    </row>
    <row r="1192" spans="1:9" s="17" customFormat="1" ht="12.75" customHeight="1" x14ac:dyDescent="0.2">
      <c r="A1192" s="65">
        <v>1183</v>
      </c>
      <c r="B1192" s="60"/>
      <c r="C1192" s="120" t="s">
        <v>2057</v>
      </c>
      <c r="D1192" s="120"/>
      <c r="E1192" s="120"/>
      <c r="F1192" s="124" t="s">
        <v>30</v>
      </c>
      <c r="G1192" s="124"/>
      <c r="H1192" s="123">
        <v>42</v>
      </c>
      <c r="I1192" s="123"/>
    </row>
    <row r="1193" spans="1:9" s="17" customFormat="1" ht="12.75" customHeight="1" x14ac:dyDescent="0.2">
      <c r="A1193" s="65">
        <v>1184</v>
      </c>
      <c r="B1193" s="60"/>
      <c r="C1193" s="112" t="s">
        <v>335</v>
      </c>
      <c r="D1193" s="112"/>
      <c r="E1193" s="112"/>
      <c r="F1193" s="121" t="s">
        <v>12</v>
      </c>
      <c r="G1193" s="122"/>
      <c r="H1193" s="115">
        <v>46.6</v>
      </c>
      <c r="I1193" s="116"/>
    </row>
    <row r="1194" spans="1:9" s="17" customFormat="1" ht="12.75" customHeight="1" x14ac:dyDescent="0.2">
      <c r="A1194" s="65">
        <v>1185</v>
      </c>
      <c r="B1194" s="60"/>
      <c r="C1194" s="128" t="s">
        <v>5178</v>
      </c>
      <c r="D1194" s="126"/>
      <c r="E1194" s="127"/>
      <c r="F1194" s="125" t="s">
        <v>57</v>
      </c>
      <c r="G1194" s="125"/>
      <c r="H1194" s="115">
        <v>259</v>
      </c>
      <c r="I1194" s="115"/>
    </row>
    <row r="1195" spans="1:9" s="17" customFormat="1" ht="12.75" customHeight="1" x14ac:dyDescent="0.2">
      <c r="A1195" s="65">
        <v>1186</v>
      </c>
      <c r="B1195" s="60"/>
      <c r="C1195" s="117" t="s">
        <v>3699</v>
      </c>
      <c r="D1195" s="118"/>
      <c r="E1195" s="119"/>
      <c r="F1195" s="121" t="s">
        <v>56</v>
      </c>
      <c r="G1195" s="122"/>
      <c r="H1195" s="115">
        <f>99.4-29</f>
        <v>70.400000000000006</v>
      </c>
      <c r="I1195" s="116"/>
    </row>
    <row r="1196" spans="1:9" s="17" customFormat="1" ht="12.75" customHeight="1" x14ac:dyDescent="0.2">
      <c r="A1196" s="65">
        <v>1187</v>
      </c>
      <c r="B1196" s="60"/>
      <c r="C1196" s="112" t="s">
        <v>2335</v>
      </c>
      <c r="D1196" s="112"/>
      <c r="E1196" s="112"/>
      <c r="F1196" s="124" t="s">
        <v>31</v>
      </c>
      <c r="G1196" s="124"/>
      <c r="H1196" s="115">
        <v>12.8</v>
      </c>
      <c r="I1196" s="116"/>
    </row>
    <row r="1197" spans="1:9" s="17" customFormat="1" ht="12.75" customHeight="1" x14ac:dyDescent="0.2">
      <c r="A1197" s="65">
        <v>1188</v>
      </c>
      <c r="B1197" s="60"/>
      <c r="C1197" s="128" t="s">
        <v>2036</v>
      </c>
      <c r="D1197" s="126"/>
      <c r="E1197" s="127"/>
      <c r="F1197" s="125" t="s">
        <v>57</v>
      </c>
      <c r="G1197" s="125"/>
      <c r="H1197" s="115">
        <f>20.3</f>
        <v>20.3</v>
      </c>
      <c r="I1197" s="115"/>
    </row>
    <row r="1198" spans="1:9" s="17" customFormat="1" ht="12.75" customHeight="1" x14ac:dyDescent="0.2">
      <c r="A1198" s="65">
        <v>1189</v>
      </c>
      <c r="B1198" s="60"/>
      <c r="C1198" s="120" t="s">
        <v>4027</v>
      </c>
      <c r="D1198" s="120"/>
      <c r="E1198" s="120"/>
      <c r="F1198" s="124" t="s">
        <v>33</v>
      </c>
      <c r="G1198" s="124"/>
      <c r="H1198" s="115">
        <v>12.3</v>
      </c>
      <c r="I1198" s="116"/>
    </row>
    <row r="1199" spans="1:9" s="17" customFormat="1" ht="12.75" customHeight="1" x14ac:dyDescent="0.2">
      <c r="A1199" s="65">
        <v>1190</v>
      </c>
      <c r="B1199" s="60"/>
      <c r="C1199" s="112" t="s">
        <v>298</v>
      </c>
      <c r="D1199" s="112"/>
      <c r="E1199" s="112"/>
      <c r="F1199" s="125" t="s">
        <v>76</v>
      </c>
      <c r="G1199" s="125"/>
      <c r="H1199" s="115"/>
      <c r="I1199" s="116"/>
    </row>
    <row r="1200" spans="1:9" s="17" customFormat="1" ht="12.75" customHeight="1" x14ac:dyDescent="0.2">
      <c r="A1200" s="65">
        <v>1191</v>
      </c>
      <c r="B1200" s="60"/>
      <c r="C1200" s="117" t="s">
        <v>3743</v>
      </c>
      <c r="D1200" s="118"/>
      <c r="E1200" s="119"/>
      <c r="F1200" s="121" t="s">
        <v>56</v>
      </c>
      <c r="G1200" s="122"/>
      <c r="H1200" s="115">
        <v>33</v>
      </c>
      <c r="I1200" s="116"/>
    </row>
    <row r="1201" spans="1:9" s="17" customFormat="1" ht="12.75" customHeight="1" x14ac:dyDescent="0.2">
      <c r="A1201" s="65">
        <v>1192</v>
      </c>
      <c r="B1201" s="60"/>
      <c r="C1201" s="128" t="s">
        <v>3619</v>
      </c>
      <c r="D1201" s="126"/>
      <c r="E1201" s="127"/>
      <c r="F1201" s="124" t="s">
        <v>271</v>
      </c>
      <c r="G1201" s="124"/>
      <c r="H1201" s="115">
        <f>227-8-15-39-58-12-8-17-8+2.3-16.2-0.1</f>
        <v>47.999999999999993</v>
      </c>
      <c r="I1201" s="116"/>
    </row>
    <row r="1202" spans="1:9" s="16" customFormat="1" ht="12" customHeight="1" x14ac:dyDescent="0.2">
      <c r="A1202" s="65">
        <v>1193</v>
      </c>
      <c r="B1202" s="60" t="s">
        <v>4032</v>
      </c>
      <c r="C1202" s="120" t="s">
        <v>5018</v>
      </c>
      <c r="D1202" s="120"/>
      <c r="E1202" s="120"/>
      <c r="F1202" s="125" t="s">
        <v>483</v>
      </c>
      <c r="G1202" s="125"/>
      <c r="H1202" s="123">
        <v>83.3</v>
      </c>
      <c r="I1202" s="123"/>
    </row>
    <row r="1203" spans="1:9" s="16" customFormat="1" ht="12" customHeight="1" x14ac:dyDescent="0.2">
      <c r="A1203" s="65">
        <v>1194</v>
      </c>
      <c r="B1203" s="60" t="s">
        <v>3673</v>
      </c>
      <c r="C1203" s="120" t="s">
        <v>5019</v>
      </c>
      <c r="D1203" s="120"/>
      <c r="E1203" s="120"/>
      <c r="F1203" s="125" t="s">
        <v>483</v>
      </c>
      <c r="G1203" s="125"/>
      <c r="H1203" s="123">
        <v>106.5</v>
      </c>
      <c r="I1203" s="123"/>
    </row>
    <row r="1204" spans="1:9" s="17" customFormat="1" ht="11.25" customHeight="1" x14ac:dyDescent="0.2">
      <c r="A1204" s="65">
        <v>1195</v>
      </c>
      <c r="B1204" s="60">
        <v>6</v>
      </c>
      <c r="C1204" s="120" t="s">
        <v>1517</v>
      </c>
      <c r="D1204" s="120"/>
      <c r="E1204" s="120"/>
      <c r="F1204" s="113" t="s">
        <v>57</v>
      </c>
      <c r="G1204" s="114"/>
      <c r="H1204" s="123">
        <f>100-8.5</f>
        <v>91.5</v>
      </c>
      <c r="I1204" s="123"/>
    </row>
    <row r="1205" spans="1:9" s="17" customFormat="1" ht="11.25" customHeight="1" x14ac:dyDescent="0.2">
      <c r="A1205" s="65">
        <v>1196</v>
      </c>
      <c r="B1205" s="60" t="s">
        <v>4043</v>
      </c>
      <c r="C1205" s="120" t="s">
        <v>5145</v>
      </c>
      <c r="D1205" s="120"/>
      <c r="E1205" s="120"/>
      <c r="F1205" s="113" t="s">
        <v>57</v>
      </c>
      <c r="G1205" s="114"/>
      <c r="H1205" s="123">
        <f>33-9.7</f>
        <v>23.3</v>
      </c>
      <c r="I1205" s="123"/>
    </row>
    <row r="1206" spans="1:9" s="17" customFormat="1" ht="12.75" customHeight="1" x14ac:dyDescent="0.2">
      <c r="A1206" s="65">
        <v>1197</v>
      </c>
      <c r="B1206" s="60" t="s">
        <v>3574</v>
      </c>
      <c r="C1206" s="120" t="s">
        <v>4536</v>
      </c>
      <c r="D1206" s="120"/>
      <c r="E1206" s="120"/>
      <c r="F1206" s="121" t="s">
        <v>56</v>
      </c>
      <c r="G1206" s="122"/>
      <c r="H1206" s="115">
        <v>21</v>
      </c>
      <c r="I1206" s="116"/>
    </row>
    <row r="1207" spans="1:9" s="17" customFormat="1" ht="12.75" customHeight="1" x14ac:dyDescent="0.2">
      <c r="A1207" s="65">
        <v>1198</v>
      </c>
      <c r="B1207" s="60"/>
      <c r="C1207" s="128" t="s">
        <v>2874</v>
      </c>
      <c r="D1207" s="126"/>
      <c r="E1207" s="127"/>
      <c r="F1207" s="124" t="s">
        <v>1</v>
      </c>
      <c r="G1207" s="124"/>
      <c r="H1207" s="115">
        <v>276.2</v>
      </c>
      <c r="I1207" s="116"/>
    </row>
    <row r="1208" spans="1:9" s="17" customFormat="1" ht="12.75" customHeight="1" x14ac:dyDescent="0.2">
      <c r="A1208" s="65">
        <v>1199</v>
      </c>
      <c r="B1208" s="60" t="s">
        <v>4043</v>
      </c>
      <c r="C1208" s="112" t="s">
        <v>4222</v>
      </c>
      <c r="D1208" s="112"/>
      <c r="E1208" s="112"/>
      <c r="F1208" s="124" t="s">
        <v>1</v>
      </c>
      <c r="G1208" s="124"/>
      <c r="H1208" s="123">
        <v>41.2</v>
      </c>
      <c r="I1208" s="123"/>
    </row>
    <row r="1209" spans="1:9" s="17" customFormat="1" ht="25.5" customHeight="1" x14ac:dyDescent="0.2">
      <c r="A1209" s="65">
        <v>1200</v>
      </c>
      <c r="B1209" s="60"/>
      <c r="C1209" s="120" t="s">
        <v>382</v>
      </c>
      <c r="D1209" s="120"/>
      <c r="E1209" s="120"/>
      <c r="F1209" s="125" t="s">
        <v>76</v>
      </c>
      <c r="G1209" s="125"/>
      <c r="H1209" s="115"/>
      <c r="I1209" s="116"/>
    </row>
    <row r="1210" spans="1:9" s="17" customFormat="1" ht="12.75" customHeight="1" x14ac:dyDescent="0.2">
      <c r="A1210" s="65">
        <v>1201</v>
      </c>
      <c r="B1210" s="60">
        <v>6</v>
      </c>
      <c r="C1210" s="112" t="s">
        <v>4021</v>
      </c>
      <c r="D1210" s="112"/>
      <c r="E1210" s="112"/>
      <c r="F1210" s="125" t="s">
        <v>140</v>
      </c>
      <c r="G1210" s="125"/>
      <c r="H1210" s="123">
        <v>105</v>
      </c>
      <c r="I1210" s="123"/>
    </row>
    <row r="1211" spans="1:9" s="17" customFormat="1" ht="12.75" customHeight="1" x14ac:dyDescent="0.2">
      <c r="A1211" s="65">
        <v>1202</v>
      </c>
      <c r="B1211" s="60" t="s">
        <v>3673</v>
      </c>
      <c r="C1211" s="112" t="s">
        <v>5185</v>
      </c>
      <c r="D1211" s="112"/>
      <c r="E1211" s="112"/>
      <c r="F1211" s="125" t="s">
        <v>140</v>
      </c>
      <c r="G1211" s="125"/>
      <c r="H1211" s="123">
        <f>107.5-8</f>
        <v>99.5</v>
      </c>
      <c r="I1211" s="123"/>
    </row>
    <row r="1212" spans="1:9" s="17" customFormat="1" ht="12.75" customHeight="1" x14ac:dyDescent="0.2">
      <c r="A1212" s="65">
        <v>1203</v>
      </c>
      <c r="B1212" s="60"/>
      <c r="C1212" s="112" t="s">
        <v>1730</v>
      </c>
      <c r="D1212" s="112"/>
      <c r="E1212" s="112"/>
      <c r="F1212" s="125" t="s">
        <v>57</v>
      </c>
      <c r="G1212" s="125"/>
      <c r="H1212" s="115">
        <v>8.3000000000000007</v>
      </c>
      <c r="I1212" s="116"/>
    </row>
    <row r="1213" spans="1:9" s="17" customFormat="1" ht="12.75" customHeight="1" x14ac:dyDescent="0.2">
      <c r="A1213" s="65">
        <v>1204</v>
      </c>
      <c r="B1213" s="60">
        <v>6</v>
      </c>
      <c r="C1213" s="112" t="s">
        <v>2833</v>
      </c>
      <c r="D1213" s="112"/>
      <c r="E1213" s="112"/>
      <c r="F1213" s="125" t="s">
        <v>57</v>
      </c>
      <c r="G1213" s="125"/>
      <c r="H1213" s="115">
        <f>395-36.5-145+1.5-50</f>
        <v>165</v>
      </c>
      <c r="I1213" s="116"/>
    </row>
    <row r="1214" spans="1:9" s="17" customFormat="1" ht="12.75" customHeight="1" x14ac:dyDescent="0.2">
      <c r="A1214" s="65">
        <v>1205</v>
      </c>
      <c r="B1214" s="60"/>
      <c r="C1214" s="128" t="s">
        <v>1999</v>
      </c>
      <c r="D1214" s="126"/>
      <c r="E1214" s="127"/>
      <c r="F1214" s="125" t="s">
        <v>57</v>
      </c>
      <c r="G1214" s="125"/>
      <c r="H1214" s="115">
        <v>15.3</v>
      </c>
      <c r="I1214" s="116"/>
    </row>
    <row r="1215" spans="1:9" s="17" customFormat="1" ht="12.75" customHeight="1" x14ac:dyDescent="0.2">
      <c r="A1215" s="65">
        <v>1206</v>
      </c>
      <c r="B1215" s="60"/>
      <c r="C1215" s="128" t="s">
        <v>2077</v>
      </c>
      <c r="D1215" s="126"/>
      <c r="E1215" s="127"/>
      <c r="F1215" s="124" t="s">
        <v>17</v>
      </c>
      <c r="G1215" s="124"/>
      <c r="H1215" s="115">
        <v>10.199999999999999</v>
      </c>
      <c r="I1215" s="116"/>
    </row>
    <row r="1216" spans="1:9" s="17" customFormat="1" ht="12.75" customHeight="1" x14ac:dyDescent="0.2">
      <c r="A1216" s="65">
        <v>1207</v>
      </c>
      <c r="B1216" s="60"/>
      <c r="C1216" s="112" t="s">
        <v>1666</v>
      </c>
      <c r="D1216" s="112"/>
      <c r="E1216" s="112"/>
      <c r="F1216" s="124" t="s">
        <v>33</v>
      </c>
      <c r="G1216" s="125"/>
      <c r="H1216" s="115">
        <f>66.5-31.5-13-3.5</f>
        <v>18.5</v>
      </c>
      <c r="I1216" s="116"/>
    </row>
    <row r="1217" spans="1:9" s="17" customFormat="1" ht="12.75" customHeight="1" x14ac:dyDescent="0.2">
      <c r="A1217" s="65">
        <v>1208</v>
      </c>
      <c r="B1217" s="60">
        <v>6</v>
      </c>
      <c r="C1217" s="130" t="s">
        <v>1691</v>
      </c>
      <c r="D1217" s="131"/>
      <c r="E1217" s="132"/>
      <c r="F1217" s="124" t="s">
        <v>71</v>
      </c>
      <c r="G1217" s="124"/>
      <c r="H1217" s="115">
        <v>155</v>
      </c>
      <c r="I1217" s="116"/>
    </row>
    <row r="1218" spans="1:9" s="17" customFormat="1" ht="12.75" customHeight="1" x14ac:dyDescent="0.2">
      <c r="A1218" s="65">
        <v>1209</v>
      </c>
      <c r="B1218" s="60"/>
      <c r="C1218" s="117" t="s">
        <v>3588</v>
      </c>
      <c r="D1218" s="118"/>
      <c r="E1218" s="119"/>
      <c r="F1218" s="124" t="s">
        <v>71</v>
      </c>
      <c r="G1218" s="124"/>
      <c r="H1218" s="115">
        <f>225-36-80-15+5-12-2.5</f>
        <v>84.5</v>
      </c>
      <c r="I1218" s="116"/>
    </row>
    <row r="1219" spans="1:9" s="17" customFormat="1" ht="27" customHeight="1" x14ac:dyDescent="0.2">
      <c r="A1219" s="65">
        <v>1210</v>
      </c>
      <c r="B1219" s="60">
        <v>6</v>
      </c>
      <c r="C1219" s="130" t="s">
        <v>2988</v>
      </c>
      <c r="D1219" s="131"/>
      <c r="E1219" s="132"/>
      <c r="F1219" s="125" t="s">
        <v>76</v>
      </c>
      <c r="G1219" s="125"/>
      <c r="H1219" s="115">
        <v>750</v>
      </c>
      <c r="I1219" s="116"/>
    </row>
    <row r="1220" spans="1:9" s="17" customFormat="1" ht="27" customHeight="1" x14ac:dyDescent="0.2">
      <c r="A1220" s="65">
        <v>1211</v>
      </c>
      <c r="B1220" s="60"/>
      <c r="C1220" s="130" t="s">
        <v>2989</v>
      </c>
      <c r="D1220" s="131"/>
      <c r="E1220" s="132"/>
      <c r="F1220" s="125" t="s">
        <v>76</v>
      </c>
      <c r="G1220" s="125"/>
      <c r="H1220" s="115">
        <v>314.2</v>
      </c>
      <c r="I1220" s="116"/>
    </row>
    <row r="1221" spans="1:9" s="17" customFormat="1" ht="12.75" customHeight="1" x14ac:dyDescent="0.2">
      <c r="A1221" s="65">
        <v>1212</v>
      </c>
      <c r="B1221" s="60"/>
      <c r="C1221" s="117" t="s">
        <v>2639</v>
      </c>
      <c r="D1221" s="118"/>
      <c r="E1221" s="119"/>
      <c r="F1221" s="124" t="s">
        <v>71</v>
      </c>
      <c r="G1221" s="124"/>
      <c r="H1221" s="115">
        <f>225-25-135+2.4-14+14-53.4</f>
        <v>14.000000000000007</v>
      </c>
      <c r="I1221" s="116"/>
    </row>
    <row r="1222" spans="1:9" s="17" customFormat="1" ht="12.75" customHeight="1" x14ac:dyDescent="0.2">
      <c r="A1222" s="65">
        <v>1213</v>
      </c>
      <c r="B1222" s="60"/>
      <c r="C1222" s="130" t="s">
        <v>3501</v>
      </c>
      <c r="D1222" s="131"/>
      <c r="E1222" s="132"/>
      <c r="F1222" s="125" t="s">
        <v>62</v>
      </c>
      <c r="G1222" s="125"/>
      <c r="H1222" s="115">
        <f>310-50-8-155+3-7.5-6.5+0.5</f>
        <v>86.5</v>
      </c>
      <c r="I1222" s="116"/>
    </row>
    <row r="1223" spans="1:9" s="17" customFormat="1" ht="12.75" customHeight="1" x14ac:dyDescent="0.2">
      <c r="A1223" s="65">
        <v>1214</v>
      </c>
      <c r="B1223" s="60">
        <v>6</v>
      </c>
      <c r="C1223" s="112" t="s">
        <v>3671</v>
      </c>
      <c r="D1223" s="112"/>
      <c r="E1223" s="112"/>
      <c r="F1223" s="125" t="s">
        <v>59</v>
      </c>
      <c r="G1223" s="125"/>
      <c r="H1223" s="115">
        <f>770+115+135-95-190-15-105-5-112-115-10-66.5</f>
        <v>306.5</v>
      </c>
      <c r="I1223" s="116"/>
    </row>
    <row r="1224" spans="1:9" s="17" customFormat="1" ht="12.75" customHeight="1" x14ac:dyDescent="0.2">
      <c r="A1224" s="65">
        <v>1215</v>
      </c>
      <c r="B1224" s="60" t="s">
        <v>3673</v>
      </c>
      <c r="C1224" s="112" t="s">
        <v>3672</v>
      </c>
      <c r="D1224" s="112"/>
      <c r="E1224" s="112"/>
      <c r="F1224" s="125" t="s">
        <v>59</v>
      </c>
      <c r="G1224" s="125"/>
      <c r="H1224" s="115">
        <v>66.5</v>
      </c>
      <c r="I1224" s="116"/>
    </row>
    <row r="1225" spans="1:9" s="17" customFormat="1" ht="12.75" customHeight="1" x14ac:dyDescent="0.2">
      <c r="A1225" s="65">
        <v>1216</v>
      </c>
      <c r="B1225" s="60" t="s">
        <v>3673</v>
      </c>
      <c r="C1225" s="112" t="s">
        <v>3674</v>
      </c>
      <c r="D1225" s="112"/>
      <c r="E1225" s="112"/>
      <c r="F1225" s="125" t="s">
        <v>59</v>
      </c>
      <c r="G1225" s="125"/>
      <c r="H1225" s="115">
        <f>380-190-28-40.5-33+1.3</f>
        <v>89.8</v>
      </c>
      <c r="I1225" s="116"/>
    </row>
    <row r="1226" spans="1:9" s="17" customFormat="1" ht="12.75" customHeight="1" x14ac:dyDescent="0.2">
      <c r="A1226" s="65">
        <v>1217</v>
      </c>
      <c r="B1226" s="60" t="s">
        <v>4043</v>
      </c>
      <c r="C1226" s="117" t="s">
        <v>4388</v>
      </c>
      <c r="D1226" s="118"/>
      <c r="E1226" s="119"/>
      <c r="F1226" s="124" t="s">
        <v>56</v>
      </c>
      <c r="G1226" s="124"/>
      <c r="H1226" s="115">
        <f>108.6-24</f>
        <v>84.6</v>
      </c>
      <c r="I1226" s="116"/>
    </row>
    <row r="1227" spans="1:9" s="17" customFormat="1" ht="12.75" customHeight="1" x14ac:dyDescent="0.2">
      <c r="A1227" s="65">
        <v>1218</v>
      </c>
      <c r="B1227" s="60"/>
      <c r="C1227" s="112" t="s">
        <v>1782</v>
      </c>
      <c r="D1227" s="112"/>
      <c r="E1227" s="112"/>
      <c r="F1227" s="124" t="s">
        <v>200</v>
      </c>
      <c r="G1227" s="124"/>
      <c r="H1227" s="123">
        <f>20.6-5</f>
        <v>15.600000000000001</v>
      </c>
      <c r="I1227" s="123"/>
    </row>
    <row r="1228" spans="1:9" s="17" customFormat="1" ht="12.75" customHeight="1" x14ac:dyDescent="0.2">
      <c r="A1228" s="65">
        <v>1219</v>
      </c>
      <c r="B1228" s="60"/>
      <c r="C1228" s="112" t="s">
        <v>2619</v>
      </c>
      <c r="D1228" s="112"/>
      <c r="E1228" s="112"/>
      <c r="F1228" s="113" t="s">
        <v>59</v>
      </c>
      <c r="G1228" s="114"/>
      <c r="H1228" s="115">
        <v>9.6999999999999993</v>
      </c>
      <c r="I1228" s="116"/>
    </row>
    <row r="1229" spans="1:9" s="17" customFormat="1" ht="12.75" customHeight="1" x14ac:dyDescent="0.2">
      <c r="A1229" s="65">
        <v>1220</v>
      </c>
      <c r="B1229" s="60"/>
      <c r="C1229" s="112" t="s">
        <v>2615</v>
      </c>
      <c r="D1229" s="112"/>
      <c r="E1229" s="112"/>
      <c r="F1229" s="113" t="s">
        <v>59</v>
      </c>
      <c r="G1229" s="114"/>
      <c r="H1229" s="115">
        <v>12.8</v>
      </c>
      <c r="I1229" s="116"/>
    </row>
    <row r="1230" spans="1:9" s="16" customFormat="1" ht="12" customHeight="1" x14ac:dyDescent="0.2">
      <c r="A1230" s="65">
        <v>1221</v>
      </c>
      <c r="B1230" s="60"/>
      <c r="C1230" s="112" t="s">
        <v>5021</v>
      </c>
      <c r="D1230" s="112"/>
      <c r="E1230" s="112"/>
      <c r="F1230" s="125" t="s">
        <v>706</v>
      </c>
      <c r="G1230" s="125"/>
      <c r="H1230" s="123">
        <v>138.6</v>
      </c>
      <c r="I1230" s="123"/>
    </row>
    <row r="1231" spans="1:9" s="17" customFormat="1" ht="12.75" customHeight="1" x14ac:dyDescent="0.2">
      <c r="A1231" s="65">
        <v>1222</v>
      </c>
      <c r="B1231" s="60"/>
      <c r="C1231" s="112" t="s">
        <v>1265</v>
      </c>
      <c r="D1231" s="112"/>
      <c r="E1231" s="112"/>
      <c r="F1231" s="125" t="s">
        <v>29</v>
      </c>
      <c r="G1231" s="125"/>
      <c r="H1231" s="115">
        <v>51.6</v>
      </c>
      <c r="I1231" s="116"/>
    </row>
    <row r="1232" spans="1:9" s="17" customFormat="1" ht="12.75" customHeight="1" x14ac:dyDescent="0.2">
      <c r="A1232" s="65">
        <v>1223</v>
      </c>
      <c r="B1232" s="60"/>
      <c r="C1232" s="117" t="s">
        <v>969</v>
      </c>
      <c r="D1232" s="118"/>
      <c r="E1232" s="119"/>
      <c r="F1232" s="124" t="s">
        <v>56</v>
      </c>
      <c r="G1232" s="124"/>
      <c r="H1232" s="115">
        <v>36.700000000000003</v>
      </c>
      <c r="I1232" s="116"/>
    </row>
    <row r="1233" spans="1:9" s="17" customFormat="1" ht="12.75" customHeight="1" x14ac:dyDescent="0.2">
      <c r="A1233" s="65">
        <v>1224</v>
      </c>
      <c r="B1233" s="60"/>
      <c r="C1233" s="117" t="s">
        <v>2065</v>
      </c>
      <c r="D1233" s="118"/>
      <c r="E1233" s="119"/>
      <c r="F1233" s="124" t="s">
        <v>56</v>
      </c>
      <c r="G1233" s="124"/>
      <c r="H1233" s="115">
        <f>140.4-22+41.3+61.8-118.4+135.4-5.5-16.2-66.5-61.8+30-4.6-72.7+0.1+47.3-41.3</f>
        <v>47.300000000000026</v>
      </c>
      <c r="I1233" s="116"/>
    </row>
    <row r="1234" spans="1:9" s="17" customFormat="1" ht="12.75" customHeight="1" x14ac:dyDescent="0.2">
      <c r="A1234" s="65">
        <v>1225</v>
      </c>
      <c r="B1234" s="60"/>
      <c r="C1234" s="117" t="s">
        <v>1997</v>
      </c>
      <c r="D1234" s="118"/>
      <c r="E1234" s="119"/>
      <c r="F1234" s="124" t="s">
        <v>56</v>
      </c>
      <c r="G1234" s="124"/>
      <c r="H1234" s="115">
        <v>59.5</v>
      </c>
      <c r="I1234" s="116"/>
    </row>
    <row r="1235" spans="1:9" s="17" customFormat="1" ht="12.75" customHeight="1" x14ac:dyDescent="0.2">
      <c r="A1235" s="65">
        <v>1226</v>
      </c>
      <c r="B1235" s="60"/>
      <c r="C1235" s="117" t="s">
        <v>733</v>
      </c>
      <c r="D1235" s="118"/>
      <c r="E1235" s="119"/>
      <c r="F1235" s="124" t="s">
        <v>56</v>
      </c>
      <c r="G1235" s="124"/>
      <c r="H1235" s="115">
        <v>92</v>
      </c>
      <c r="I1235" s="116"/>
    </row>
    <row r="1236" spans="1:9" s="33" customFormat="1" ht="12.75" customHeight="1" x14ac:dyDescent="0.2">
      <c r="A1236" s="65">
        <v>1227</v>
      </c>
      <c r="B1236" s="60"/>
      <c r="C1236" s="117" t="s">
        <v>638</v>
      </c>
      <c r="D1236" s="148"/>
      <c r="E1236" s="149"/>
      <c r="F1236" s="113" t="s">
        <v>76</v>
      </c>
      <c r="G1236" s="114"/>
      <c r="H1236" s="166">
        <v>2</v>
      </c>
      <c r="I1236" s="167"/>
    </row>
    <row r="1237" spans="1:9" s="17" customFormat="1" ht="12.75" customHeight="1" x14ac:dyDescent="0.2">
      <c r="A1237" s="65">
        <v>1228</v>
      </c>
      <c r="B1237" s="60"/>
      <c r="C1237" s="117" t="s">
        <v>3589</v>
      </c>
      <c r="D1237" s="118"/>
      <c r="E1237" s="119"/>
      <c r="F1237" s="125" t="s">
        <v>483</v>
      </c>
      <c r="G1237" s="125"/>
      <c r="H1237" s="115">
        <f>66.5-14+51.2+37.7-5.7</f>
        <v>135.70000000000002</v>
      </c>
      <c r="I1237" s="116"/>
    </row>
    <row r="1238" spans="1:9" s="17" customFormat="1" ht="12.75" customHeight="1" x14ac:dyDescent="0.2">
      <c r="A1238" s="65">
        <v>1229</v>
      </c>
      <c r="B1238" s="60"/>
      <c r="C1238" s="117" t="s">
        <v>2970</v>
      </c>
      <c r="D1238" s="118"/>
      <c r="E1238" s="119"/>
      <c r="F1238" s="125" t="s">
        <v>483</v>
      </c>
      <c r="G1238" s="125"/>
      <c r="H1238" s="115">
        <f>115.8+63.6+98.3+28.6+26.2+34-120.7-11.6-34.3-19.2+30.8-66.8-26.2-26.7-4.3-28.1-7.1</f>
        <v>52.30000000000004</v>
      </c>
      <c r="I1238" s="116"/>
    </row>
    <row r="1239" spans="1:9" s="17" customFormat="1" ht="12.75" customHeight="1" x14ac:dyDescent="0.2">
      <c r="A1239" s="65">
        <v>1230</v>
      </c>
      <c r="B1239" s="60"/>
      <c r="C1239" s="112" t="s">
        <v>4351</v>
      </c>
      <c r="D1239" s="112"/>
      <c r="E1239" s="112"/>
      <c r="F1239" s="124" t="s">
        <v>56</v>
      </c>
      <c r="G1239" s="124"/>
      <c r="H1239" s="115">
        <f>37+36.5-12.3-24.2</f>
        <v>37</v>
      </c>
      <c r="I1239" s="116"/>
    </row>
    <row r="1240" spans="1:9" s="17" customFormat="1" ht="12.75" customHeight="1" x14ac:dyDescent="0.2">
      <c r="A1240" s="65">
        <v>1231</v>
      </c>
      <c r="B1240" s="60"/>
      <c r="C1240" s="112" t="s">
        <v>2698</v>
      </c>
      <c r="D1240" s="112"/>
      <c r="E1240" s="112"/>
      <c r="F1240" s="124" t="s">
        <v>42</v>
      </c>
      <c r="G1240" s="124"/>
      <c r="H1240" s="115">
        <f>61.8-32.3</f>
        <v>29.5</v>
      </c>
      <c r="I1240" s="116"/>
    </row>
    <row r="1241" spans="1:9" s="17" customFormat="1" ht="12.75" customHeight="1" x14ac:dyDescent="0.2">
      <c r="A1241" s="65">
        <v>1232</v>
      </c>
      <c r="B1241" s="60"/>
      <c r="C1241" s="112" t="s">
        <v>941</v>
      </c>
      <c r="D1241" s="112"/>
      <c r="E1241" s="112"/>
      <c r="F1241" s="124" t="s">
        <v>42</v>
      </c>
      <c r="G1241" s="124"/>
      <c r="H1241" s="115">
        <f>100.5-5.1+73-10.1-7.4-12.5-85.3</f>
        <v>53.100000000000009</v>
      </c>
      <c r="I1241" s="116"/>
    </row>
    <row r="1242" spans="1:9" s="17" customFormat="1" ht="12.75" customHeight="1" x14ac:dyDescent="0.2">
      <c r="A1242" s="65">
        <v>1233</v>
      </c>
      <c r="B1242" s="60">
        <v>6</v>
      </c>
      <c r="C1242" s="112" t="s">
        <v>2594</v>
      </c>
      <c r="D1242" s="112"/>
      <c r="E1242" s="112"/>
      <c r="F1242" s="125" t="s">
        <v>140</v>
      </c>
      <c r="G1242" s="125"/>
      <c r="H1242" s="123">
        <f>716-105-6.2-68+0.2-179</f>
        <v>358</v>
      </c>
      <c r="I1242" s="123"/>
    </row>
    <row r="1243" spans="1:9" s="17" customFormat="1" ht="12.75" customHeight="1" x14ac:dyDescent="0.2">
      <c r="A1243" s="65">
        <v>1234</v>
      </c>
      <c r="B1243" s="60"/>
      <c r="C1243" s="112" t="s">
        <v>2968</v>
      </c>
      <c r="D1243" s="112"/>
      <c r="E1243" s="112"/>
      <c r="F1243" s="125" t="s">
        <v>140</v>
      </c>
      <c r="G1243" s="125"/>
      <c r="H1243" s="123">
        <f>68-5-9.5</f>
        <v>53.5</v>
      </c>
      <c r="I1243" s="123"/>
    </row>
    <row r="1244" spans="1:9" s="17" customFormat="1" ht="12.75" customHeight="1" x14ac:dyDescent="0.2">
      <c r="A1244" s="65">
        <v>1235</v>
      </c>
      <c r="B1244" s="60">
        <v>6</v>
      </c>
      <c r="C1244" s="112" t="s">
        <v>2641</v>
      </c>
      <c r="D1244" s="112"/>
      <c r="E1244" s="112"/>
      <c r="F1244" s="125" t="s">
        <v>29</v>
      </c>
      <c r="G1244" s="125"/>
      <c r="H1244" s="123">
        <f>300-20-133+3-37-11</f>
        <v>102</v>
      </c>
      <c r="I1244" s="123"/>
    </row>
    <row r="1245" spans="1:9" s="17" customFormat="1" ht="12.75" customHeight="1" x14ac:dyDescent="0.2">
      <c r="A1245" s="65">
        <v>1236</v>
      </c>
      <c r="B1245" s="60"/>
      <c r="C1245" s="117" t="s">
        <v>2395</v>
      </c>
      <c r="D1245" s="118"/>
      <c r="E1245" s="119"/>
      <c r="F1245" s="125" t="s">
        <v>140</v>
      </c>
      <c r="G1245" s="125"/>
      <c r="H1245" s="123">
        <v>51.8</v>
      </c>
      <c r="I1245" s="123"/>
    </row>
    <row r="1246" spans="1:9" s="17" customFormat="1" ht="12.75" customHeight="1" x14ac:dyDescent="0.2">
      <c r="A1246" s="65">
        <v>1237</v>
      </c>
      <c r="B1246" s="60" t="s">
        <v>4043</v>
      </c>
      <c r="C1246" s="112" t="s">
        <v>4227</v>
      </c>
      <c r="D1246" s="112"/>
      <c r="E1246" s="112"/>
      <c r="F1246" s="125" t="s">
        <v>140</v>
      </c>
      <c r="G1246" s="125"/>
      <c r="H1246" s="123">
        <v>47.3</v>
      </c>
      <c r="I1246" s="123"/>
    </row>
    <row r="1247" spans="1:9" s="17" customFormat="1" ht="12.75" customHeight="1" x14ac:dyDescent="0.2">
      <c r="A1247" s="65">
        <v>1238</v>
      </c>
      <c r="B1247" s="60" t="s">
        <v>3676</v>
      </c>
      <c r="C1247" s="112" t="s">
        <v>4223</v>
      </c>
      <c r="D1247" s="112"/>
      <c r="E1247" s="112"/>
      <c r="F1247" s="125" t="s">
        <v>140</v>
      </c>
      <c r="G1247" s="125"/>
      <c r="H1247" s="123">
        <v>37</v>
      </c>
      <c r="I1247" s="123"/>
    </row>
    <row r="1248" spans="1:9" s="17" customFormat="1" ht="25.5" customHeight="1" x14ac:dyDescent="0.2">
      <c r="A1248" s="65">
        <v>1239</v>
      </c>
      <c r="B1248" s="60"/>
      <c r="C1248" s="117" t="s">
        <v>2811</v>
      </c>
      <c r="D1248" s="118"/>
      <c r="E1248" s="119"/>
      <c r="F1248" s="125" t="s">
        <v>29</v>
      </c>
      <c r="G1248" s="125"/>
      <c r="H1248" s="123">
        <f>53.2+265.6</f>
        <v>318.8</v>
      </c>
      <c r="I1248" s="123"/>
    </row>
    <row r="1249" spans="1:9" s="17" customFormat="1" ht="12.75" customHeight="1" x14ac:dyDescent="0.2">
      <c r="A1249" s="65">
        <v>1240</v>
      </c>
      <c r="B1249" s="60">
        <v>6</v>
      </c>
      <c r="C1249" s="112" t="s">
        <v>4020</v>
      </c>
      <c r="D1249" s="112"/>
      <c r="E1249" s="112"/>
      <c r="F1249" s="125" t="s">
        <v>140</v>
      </c>
      <c r="G1249" s="125"/>
      <c r="H1249" s="123">
        <v>180</v>
      </c>
      <c r="I1249" s="123"/>
    </row>
    <row r="1250" spans="1:9" s="17" customFormat="1" ht="12.75" customHeight="1" x14ac:dyDescent="0.2">
      <c r="A1250" s="65">
        <v>1241</v>
      </c>
      <c r="B1250" s="60"/>
      <c r="C1250" s="112" t="s">
        <v>3121</v>
      </c>
      <c r="D1250" s="112"/>
      <c r="E1250" s="112"/>
      <c r="F1250" s="113" t="s">
        <v>59</v>
      </c>
      <c r="G1250" s="114"/>
      <c r="H1250" s="115">
        <f>21-10.5</f>
        <v>10.5</v>
      </c>
      <c r="I1250" s="116"/>
    </row>
    <row r="1251" spans="1:9" s="17" customFormat="1" ht="12.75" customHeight="1" x14ac:dyDescent="0.2">
      <c r="A1251" s="65">
        <v>1242</v>
      </c>
      <c r="B1251" s="60">
        <v>6</v>
      </c>
      <c r="C1251" s="128" t="s">
        <v>3580</v>
      </c>
      <c r="D1251" s="126"/>
      <c r="E1251" s="127"/>
      <c r="F1251" s="124" t="s">
        <v>33</v>
      </c>
      <c r="G1251" s="124"/>
      <c r="H1251" s="115">
        <f>290-10-10-52-111+3</f>
        <v>110</v>
      </c>
      <c r="I1251" s="116"/>
    </row>
    <row r="1252" spans="1:9" s="17" customFormat="1" ht="12.75" customHeight="1" x14ac:dyDescent="0.2">
      <c r="A1252" s="65">
        <v>1243</v>
      </c>
      <c r="B1252" s="60"/>
      <c r="C1252" s="112" t="s">
        <v>3006</v>
      </c>
      <c r="D1252" s="112"/>
      <c r="E1252" s="112"/>
      <c r="F1252" s="124" t="s">
        <v>33</v>
      </c>
      <c r="G1252" s="124"/>
      <c r="H1252" s="115">
        <v>8.3000000000000007</v>
      </c>
      <c r="I1252" s="116"/>
    </row>
    <row r="1253" spans="1:9" s="17" customFormat="1" ht="12.75" customHeight="1" x14ac:dyDescent="0.2">
      <c r="A1253" s="65">
        <v>1244</v>
      </c>
      <c r="B1253" s="60"/>
      <c r="C1253" s="128" t="s">
        <v>3339</v>
      </c>
      <c r="D1253" s="126"/>
      <c r="E1253" s="127"/>
      <c r="F1253" s="125" t="s">
        <v>57</v>
      </c>
      <c r="G1253" s="125"/>
      <c r="H1253" s="115">
        <v>12.7</v>
      </c>
      <c r="I1253" s="116"/>
    </row>
    <row r="1254" spans="1:9" s="17" customFormat="1" ht="12.75" customHeight="1" x14ac:dyDescent="0.2">
      <c r="A1254" s="65">
        <v>1245</v>
      </c>
      <c r="B1254" s="60"/>
      <c r="C1254" s="128" t="s">
        <v>2328</v>
      </c>
      <c r="D1254" s="126"/>
      <c r="E1254" s="127"/>
      <c r="F1254" s="125" t="s">
        <v>57</v>
      </c>
      <c r="G1254" s="125"/>
      <c r="H1254" s="115">
        <f>29.5-16.5</f>
        <v>13</v>
      </c>
      <c r="I1254" s="116"/>
    </row>
    <row r="1255" spans="1:9" s="17" customFormat="1" ht="12.75" customHeight="1" x14ac:dyDescent="0.2">
      <c r="A1255" s="65">
        <v>1246</v>
      </c>
      <c r="B1255" s="60"/>
      <c r="C1255" s="112" t="s">
        <v>3256</v>
      </c>
      <c r="D1255" s="112"/>
      <c r="E1255" s="112"/>
      <c r="F1255" s="124" t="s">
        <v>33</v>
      </c>
      <c r="G1255" s="124"/>
      <c r="H1255" s="115">
        <v>19.2</v>
      </c>
      <c r="I1255" s="116"/>
    </row>
    <row r="1256" spans="1:9" s="17" customFormat="1" ht="12.75" customHeight="1" x14ac:dyDescent="0.2">
      <c r="A1256" s="65">
        <v>1247</v>
      </c>
      <c r="B1256" s="60"/>
      <c r="C1256" s="112" t="s">
        <v>664</v>
      </c>
      <c r="D1256" s="112"/>
      <c r="E1256" s="112"/>
      <c r="F1256" s="125" t="s">
        <v>57</v>
      </c>
      <c r="G1256" s="125"/>
      <c r="H1256" s="115">
        <v>55.5</v>
      </c>
      <c r="I1256" s="116"/>
    </row>
    <row r="1257" spans="1:9" s="17" customFormat="1" ht="12.75" customHeight="1" x14ac:dyDescent="0.2">
      <c r="A1257" s="65">
        <v>1248</v>
      </c>
      <c r="B1257" s="60"/>
      <c r="C1257" s="112" t="s">
        <v>1289</v>
      </c>
      <c r="D1257" s="112"/>
      <c r="E1257" s="112"/>
      <c r="F1257" s="125" t="s">
        <v>184</v>
      </c>
      <c r="G1257" s="125"/>
      <c r="H1257" s="123">
        <f>105-20+2.7-13</f>
        <v>74.7</v>
      </c>
      <c r="I1257" s="123"/>
    </row>
    <row r="1258" spans="1:9" s="17" customFormat="1" ht="12.75" customHeight="1" x14ac:dyDescent="0.2">
      <c r="A1258" s="65">
        <v>1249</v>
      </c>
      <c r="B1258" s="60">
        <v>6</v>
      </c>
      <c r="C1258" s="112" t="s">
        <v>730</v>
      </c>
      <c r="D1258" s="112"/>
      <c r="E1258" s="112"/>
      <c r="F1258" s="125" t="s">
        <v>184</v>
      </c>
      <c r="G1258" s="125"/>
      <c r="H1258" s="123">
        <v>95</v>
      </c>
      <c r="I1258" s="123"/>
    </row>
    <row r="1259" spans="1:9" s="17" customFormat="1" ht="12.75" customHeight="1" x14ac:dyDescent="0.2">
      <c r="A1259" s="65">
        <v>1250</v>
      </c>
      <c r="B1259" s="60">
        <v>6</v>
      </c>
      <c r="C1259" s="112" t="s">
        <v>1667</v>
      </c>
      <c r="D1259" s="112"/>
      <c r="E1259" s="112"/>
      <c r="F1259" s="124" t="s">
        <v>33</v>
      </c>
      <c r="G1259" s="124"/>
      <c r="H1259" s="123">
        <v>335</v>
      </c>
      <c r="I1259" s="123"/>
    </row>
    <row r="1260" spans="1:9" s="17" customFormat="1" ht="12.75" customHeight="1" x14ac:dyDescent="0.2">
      <c r="A1260" s="65">
        <v>1251</v>
      </c>
      <c r="B1260" s="60">
        <v>6</v>
      </c>
      <c r="C1260" s="130" t="s">
        <v>1692</v>
      </c>
      <c r="D1260" s="131"/>
      <c r="E1260" s="132"/>
      <c r="F1260" s="124" t="s">
        <v>71</v>
      </c>
      <c r="G1260" s="124"/>
      <c r="H1260" s="115">
        <v>95</v>
      </c>
      <c r="I1260" s="116"/>
    </row>
    <row r="1261" spans="1:9" s="17" customFormat="1" ht="12.75" customHeight="1" x14ac:dyDescent="0.2">
      <c r="A1261" s="65">
        <v>1252</v>
      </c>
      <c r="B1261" s="60">
        <v>6</v>
      </c>
      <c r="C1261" s="130" t="s">
        <v>1693</v>
      </c>
      <c r="D1261" s="131"/>
      <c r="E1261" s="132"/>
      <c r="F1261" s="124" t="s">
        <v>71</v>
      </c>
      <c r="G1261" s="124"/>
      <c r="H1261" s="115">
        <v>230</v>
      </c>
      <c r="I1261" s="116"/>
    </row>
    <row r="1262" spans="1:9" s="17" customFormat="1" ht="12.75" customHeight="1" x14ac:dyDescent="0.2">
      <c r="A1262" s="65">
        <v>1253</v>
      </c>
      <c r="B1262" s="60"/>
      <c r="C1262" s="130" t="s">
        <v>1694</v>
      </c>
      <c r="D1262" s="131"/>
      <c r="E1262" s="132"/>
      <c r="F1262" s="124" t="s">
        <v>71</v>
      </c>
      <c r="G1262" s="124"/>
      <c r="H1262" s="115">
        <f>93.2-40-16.5</f>
        <v>36.700000000000003</v>
      </c>
      <c r="I1262" s="116"/>
    </row>
    <row r="1263" spans="1:9" s="17" customFormat="1" ht="12.75" customHeight="1" x14ac:dyDescent="0.2">
      <c r="A1263" s="65">
        <v>1254</v>
      </c>
      <c r="B1263" s="60">
        <v>6</v>
      </c>
      <c r="C1263" s="130" t="s">
        <v>1695</v>
      </c>
      <c r="D1263" s="131"/>
      <c r="E1263" s="132"/>
      <c r="F1263" s="124" t="s">
        <v>71</v>
      </c>
      <c r="G1263" s="124"/>
      <c r="H1263" s="115">
        <f>510+155-85-21</f>
        <v>559</v>
      </c>
      <c r="I1263" s="116"/>
    </row>
    <row r="1264" spans="1:9" s="27" customFormat="1" ht="12.75" customHeight="1" x14ac:dyDescent="0.2">
      <c r="A1264" s="65">
        <v>1255</v>
      </c>
      <c r="B1264" s="60">
        <v>6</v>
      </c>
      <c r="C1264" s="112" t="s">
        <v>1161</v>
      </c>
      <c r="D1264" s="112"/>
      <c r="E1264" s="112"/>
      <c r="F1264" s="124" t="s">
        <v>88</v>
      </c>
      <c r="G1264" s="124"/>
      <c r="H1264" s="123">
        <f>590-43</f>
        <v>547</v>
      </c>
      <c r="I1264" s="123"/>
    </row>
    <row r="1265" spans="1:9" s="17" customFormat="1" ht="12.75" customHeight="1" x14ac:dyDescent="0.2">
      <c r="A1265" s="65">
        <v>1256</v>
      </c>
      <c r="B1265" s="60" t="s">
        <v>3673</v>
      </c>
      <c r="C1265" s="112" t="s">
        <v>5146</v>
      </c>
      <c r="D1265" s="112"/>
      <c r="E1265" s="112"/>
      <c r="F1265" s="125" t="s">
        <v>62</v>
      </c>
      <c r="G1265" s="125"/>
      <c r="H1265" s="115">
        <f>137-15-28-10+2-19</f>
        <v>67</v>
      </c>
      <c r="I1265" s="116"/>
    </row>
    <row r="1266" spans="1:9" s="17" customFormat="1" ht="12.75" customHeight="1" x14ac:dyDescent="0.2">
      <c r="A1266" s="65">
        <v>1257</v>
      </c>
      <c r="B1266" s="60"/>
      <c r="C1266" s="128" t="s">
        <v>3109</v>
      </c>
      <c r="D1266" s="126"/>
      <c r="E1266" s="127"/>
      <c r="F1266" s="125" t="s">
        <v>59</v>
      </c>
      <c r="G1266" s="125"/>
      <c r="H1266" s="115">
        <f>145-70-14.5-7</f>
        <v>53.5</v>
      </c>
      <c r="I1266" s="116"/>
    </row>
    <row r="1267" spans="1:9" s="17" customFormat="1" ht="12.75" customHeight="1" x14ac:dyDescent="0.2">
      <c r="A1267" s="65">
        <v>1258</v>
      </c>
      <c r="B1267" s="60">
        <v>6</v>
      </c>
      <c r="C1267" s="112" t="s">
        <v>1668</v>
      </c>
      <c r="D1267" s="112"/>
      <c r="E1267" s="112"/>
      <c r="F1267" s="124" t="s">
        <v>33</v>
      </c>
      <c r="G1267" s="124"/>
      <c r="H1267" s="123">
        <f>365-180</f>
        <v>185</v>
      </c>
      <c r="I1267" s="123"/>
    </row>
    <row r="1268" spans="1:9" s="17" customFormat="1" ht="12.75" customHeight="1" x14ac:dyDescent="0.2">
      <c r="A1268" s="65">
        <v>1259</v>
      </c>
      <c r="B1268" s="60">
        <v>6</v>
      </c>
      <c r="C1268" s="112" t="s">
        <v>1696</v>
      </c>
      <c r="D1268" s="112"/>
      <c r="E1268" s="112"/>
      <c r="F1268" s="124" t="s">
        <v>1</v>
      </c>
      <c r="G1268" s="124"/>
      <c r="H1268" s="123">
        <f>325-45-11</f>
        <v>269</v>
      </c>
      <c r="I1268" s="123"/>
    </row>
    <row r="1269" spans="1:9" s="17" customFormat="1" ht="12.75" customHeight="1" x14ac:dyDescent="0.2">
      <c r="A1269" s="65">
        <v>1260</v>
      </c>
      <c r="B1269" s="60"/>
      <c r="C1269" s="112" t="s">
        <v>2457</v>
      </c>
      <c r="D1269" s="112"/>
      <c r="E1269" s="112"/>
      <c r="F1269" s="124" t="s">
        <v>33</v>
      </c>
      <c r="G1269" s="124"/>
      <c r="H1269" s="123">
        <f>140.5-37.6</f>
        <v>102.9</v>
      </c>
      <c r="I1269" s="123"/>
    </row>
    <row r="1270" spans="1:9" s="17" customFormat="1" ht="12.75" customHeight="1" x14ac:dyDescent="0.2">
      <c r="A1270" s="65">
        <v>1261</v>
      </c>
      <c r="B1270" s="60"/>
      <c r="C1270" s="112" t="s">
        <v>1465</v>
      </c>
      <c r="D1270" s="112"/>
      <c r="E1270" s="112"/>
      <c r="F1270" s="124" t="s">
        <v>56</v>
      </c>
      <c r="G1270" s="124"/>
      <c r="H1270" s="115">
        <f>96-12.7</f>
        <v>83.3</v>
      </c>
      <c r="I1270" s="116"/>
    </row>
    <row r="1271" spans="1:9" s="17" customFormat="1" ht="12.75" customHeight="1" x14ac:dyDescent="0.2">
      <c r="A1271" s="65">
        <v>1262</v>
      </c>
      <c r="B1271" s="60"/>
      <c r="C1271" s="112" t="s">
        <v>2231</v>
      </c>
      <c r="D1271" s="112"/>
      <c r="E1271" s="112"/>
      <c r="F1271" s="124" t="s">
        <v>56</v>
      </c>
      <c r="G1271" s="124"/>
      <c r="H1271" s="115">
        <f>95.6+112.7-4.3</f>
        <v>204</v>
      </c>
      <c r="I1271" s="116"/>
    </row>
    <row r="1272" spans="1:9" s="17" customFormat="1" ht="12.75" customHeight="1" x14ac:dyDescent="0.2">
      <c r="A1272" s="65">
        <v>1263</v>
      </c>
      <c r="B1272" s="60">
        <v>2</v>
      </c>
      <c r="C1272" s="112" t="s">
        <v>3394</v>
      </c>
      <c r="D1272" s="112"/>
      <c r="E1272" s="112"/>
      <c r="F1272" s="124" t="s">
        <v>56</v>
      </c>
      <c r="G1272" s="124"/>
      <c r="H1272" s="115">
        <f>340-108.2</f>
        <v>231.8</v>
      </c>
      <c r="I1272" s="116"/>
    </row>
    <row r="1273" spans="1:9" s="16" customFormat="1" ht="12" customHeight="1" x14ac:dyDescent="0.2">
      <c r="A1273" s="65">
        <v>1264</v>
      </c>
      <c r="B1273" s="60">
        <v>6</v>
      </c>
      <c r="C1273" s="120" t="s">
        <v>2365</v>
      </c>
      <c r="D1273" s="120"/>
      <c r="E1273" s="120"/>
      <c r="F1273" s="125" t="s">
        <v>57</v>
      </c>
      <c r="G1273" s="125"/>
      <c r="H1273" s="123">
        <f>596-125-165-60-57.5+1.5+5-28</f>
        <v>167</v>
      </c>
      <c r="I1273" s="123"/>
    </row>
    <row r="1274" spans="1:9" s="17" customFormat="1" ht="12.75" customHeight="1" x14ac:dyDescent="0.2">
      <c r="A1274" s="65">
        <v>1265</v>
      </c>
      <c r="B1274" s="60">
        <v>6</v>
      </c>
      <c r="C1274" s="112" t="s">
        <v>1958</v>
      </c>
      <c r="D1274" s="112"/>
      <c r="E1274" s="112"/>
      <c r="F1274" s="124" t="s">
        <v>45</v>
      </c>
      <c r="G1274" s="124"/>
      <c r="H1274" s="123">
        <f>540-33-66-66-66+11-33</f>
        <v>287</v>
      </c>
      <c r="I1274" s="123"/>
    </row>
    <row r="1275" spans="1:9" s="17" customFormat="1" ht="12.75" customHeight="1" x14ac:dyDescent="0.2">
      <c r="A1275" s="65">
        <v>1266</v>
      </c>
      <c r="B1275" s="60"/>
      <c r="C1275" s="112" t="s">
        <v>2405</v>
      </c>
      <c r="D1275" s="112"/>
      <c r="E1275" s="112"/>
      <c r="F1275" s="121" t="s">
        <v>271</v>
      </c>
      <c r="G1275" s="122"/>
      <c r="H1275" s="115">
        <v>16.100000000000001</v>
      </c>
      <c r="I1275" s="116"/>
    </row>
    <row r="1276" spans="1:9" s="17" customFormat="1" ht="12.75" customHeight="1" x14ac:dyDescent="0.2">
      <c r="A1276" s="65">
        <v>1267</v>
      </c>
      <c r="B1276" s="60">
        <v>6</v>
      </c>
      <c r="C1276" s="130" t="s">
        <v>1697</v>
      </c>
      <c r="D1276" s="131"/>
      <c r="E1276" s="132"/>
      <c r="F1276" s="124" t="s">
        <v>71</v>
      </c>
      <c r="G1276" s="124"/>
      <c r="H1276" s="115">
        <f>885-205-250-24</f>
        <v>406</v>
      </c>
      <c r="I1276" s="116"/>
    </row>
    <row r="1277" spans="1:9" s="17" customFormat="1" ht="11.25" customHeight="1" x14ac:dyDescent="0.2">
      <c r="A1277" s="65">
        <v>1268</v>
      </c>
      <c r="B1277" s="60"/>
      <c r="C1277" s="120" t="s">
        <v>5407</v>
      </c>
      <c r="D1277" s="120"/>
      <c r="E1277" s="120"/>
      <c r="F1277" s="113" t="s">
        <v>76</v>
      </c>
      <c r="G1277" s="114"/>
      <c r="H1277" s="123">
        <v>31.8</v>
      </c>
      <c r="I1277" s="116"/>
    </row>
    <row r="1278" spans="1:9" s="17" customFormat="1" ht="12.75" customHeight="1" x14ac:dyDescent="0.2">
      <c r="A1278" s="65">
        <v>1269</v>
      </c>
      <c r="B1278" s="60"/>
      <c r="C1278" s="128" t="s">
        <v>1669</v>
      </c>
      <c r="D1278" s="126"/>
      <c r="E1278" s="127"/>
      <c r="F1278" s="124" t="s">
        <v>33</v>
      </c>
      <c r="G1278" s="124"/>
      <c r="H1278" s="115">
        <v>11</v>
      </c>
      <c r="I1278" s="116"/>
    </row>
    <row r="1279" spans="1:9" s="16" customFormat="1" ht="12" customHeight="1" x14ac:dyDescent="0.2">
      <c r="A1279" s="65">
        <v>1270</v>
      </c>
      <c r="B1279" s="60">
        <v>6</v>
      </c>
      <c r="C1279" s="120" t="s">
        <v>1508</v>
      </c>
      <c r="D1279" s="120"/>
      <c r="E1279" s="120"/>
      <c r="F1279" s="125" t="s">
        <v>57</v>
      </c>
      <c r="G1279" s="125"/>
      <c r="H1279" s="123">
        <f>315-25</f>
        <v>290</v>
      </c>
      <c r="I1279" s="123"/>
    </row>
    <row r="1280" spans="1:9" s="17" customFormat="1" ht="12.75" customHeight="1" x14ac:dyDescent="0.2">
      <c r="A1280" s="65">
        <v>1271</v>
      </c>
      <c r="B1280" s="60"/>
      <c r="C1280" s="112" t="s">
        <v>2073</v>
      </c>
      <c r="D1280" s="112"/>
      <c r="E1280" s="112"/>
      <c r="F1280" s="125" t="s">
        <v>57</v>
      </c>
      <c r="G1280" s="125"/>
      <c r="H1280" s="115">
        <v>24.2</v>
      </c>
      <c r="I1280" s="116"/>
    </row>
    <row r="1281" spans="1:9" s="17" customFormat="1" ht="12.75" customHeight="1" x14ac:dyDescent="0.2">
      <c r="A1281" s="65">
        <v>1272</v>
      </c>
      <c r="B1281" s="60"/>
      <c r="C1281" s="128" t="s">
        <v>3307</v>
      </c>
      <c r="D1281" s="126"/>
      <c r="E1281" s="127"/>
      <c r="F1281" s="124" t="s">
        <v>17</v>
      </c>
      <c r="G1281" s="124"/>
      <c r="H1281" s="115">
        <f>13.5+17</f>
        <v>30.5</v>
      </c>
      <c r="I1281" s="116"/>
    </row>
    <row r="1282" spans="1:9" s="17" customFormat="1" ht="12.75" customHeight="1" x14ac:dyDescent="0.2">
      <c r="A1282" s="65">
        <v>1273</v>
      </c>
      <c r="B1282" s="60"/>
      <c r="C1282" s="128" t="s">
        <v>1974</v>
      </c>
      <c r="D1282" s="126"/>
      <c r="E1282" s="127"/>
      <c r="F1282" s="125" t="s">
        <v>57</v>
      </c>
      <c r="G1282" s="125"/>
      <c r="H1282" s="115">
        <v>27.2</v>
      </c>
      <c r="I1282" s="116"/>
    </row>
    <row r="1283" spans="1:9" s="17" customFormat="1" ht="12.75" customHeight="1" x14ac:dyDescent="0.2">
      <c r="A1283" s="65">
        <v>1274</v>
      </c>
      <c r="B1283" s="60"/>
      <c r="C1283" s="117" t="s">
        <v>2808</v>
      </c>
      <c r="D1283" s="118"/>
      <c r="E1283" s="119"/>
      <c r="F1283" s="113" t="s">
        <v>57</v>
      </c>
      <c r="G1283" s="114"/>
      <c r="H1283" s="115">
        <v>11.8</v>
      </c>
      <c r="I1283" s="116"/>
    </row>
    <row r="1284" spans="1:9" s="17" customFormat="1" ht="12.75" customHeight="1" x14ac:dyDescent="0.2">
      <c r="A1284" s="65">
        <v>1275</v>
      </c>
      <c r="B1284" s="60"/>
      <c r="C1284" s="128" t="s">
        <v>2066</v>
      </c>
      <c r="D1284" s="126"/>
      <c r="E1284" s="127"/>
      <c r="F1284" s="125" t="s">
        <v>57</v>
      </c>
      <c r="G1284" s="125"/>
      <c r="H1284" s="115">
        <v>23.6</v>
      </c>
      <c r="I1284" s="116"/>
    </row>
    <row r="1285" spans="1:9" s="17" customFormat="1" ht="12.75" customHeight="1" x14ac:dyDescent="0.2">
      <c r="A1285" s="65">
        <v>1276</v>
      </c>
      <c r="B1285" s="60">
        <v>2</v>
      </c>
      <c r="C1285" s="112" t="s">
        <v>1887</v>
      </c>
      <c r="D1285" s="112"/>
      <c r="E1285" s="112"/>
      <c r="F1285" s="124" t="s">
        <v>30</v>
      </c>
      <c r="G1285" s="124"/>
      <c r="H1285" s="115">
        <f>239-62+1-23-62</f>
        <v>93</v>
      </c>
      <c r="I1285" s="116"/>
    </row>
    <row r="1286" spans="1:9" s="17" customFormat="1" ht="12.75" customHeight="1" x14ac:dyDescent="0.2">
      <c r="A1286" s="65">
        <v>1277</v>
      </c>
      <c r="B1286" s="60"/>
      <c r="C1286" s="112" t="s">
        <v>3460</v>
      </c>
      <c r="D1286" s="112"/>
      <c r="E1286" s="112"/>
      <c r="F1286" s="124" t="s">
        <v>30</v>
      </c>
      <c r="G1286" s="124"/>
      <c r="H1286" s="115">
        <f>34.6-13.3</f>
        <v>21.3</v>
      </c>
      <c r="I1286" s="116"/>
    </row>
    <row r="1287" spans="1:9" s="17" customFormat="1" ht="12.75" customHeight="1" x14ac:dyDescent="0.2">
      <c r="A1287" s="65">
        <v>1278</v>
      </c>
      <c r="B1287" s="60">
        <v>6</v>
      </c>
      <c r="C1287" s="112" t="s">
        <v>839</v>
      </c>
      <c r="D1287" s="112"/>
      <c r="E1287" s="112"/>
      <c r="F1287" s="125" t="s">
        <v>59</v>
      </c>
      <c r="G1287" s="125"/>
      <c r="H1287" s="115">
        <f>740-407</f>
        <v>333</v>
      </c>
      <c r="I1287" s="116"/>
    </row>
    <row r="1288" spans="1:9" s="17" customFormat="1" ht="12.75" customHeight="1" x14ac:dyDescent="0.2">
      <c r="A1288" s="65">
        <v>1279</v>
      </c>
      <c r="B1288" s="60"/>
      <c r="C1288" s="128" t="s">
        <v>2048</v>
      </c>
      <c r="D1288" s="126"/>
      <c r="E1288" s="127"/>
      <c r="F1288" s="125" t="s">
        <v>57</v>
      </c>
      <c r="G1288" s="125"/>
      <c r="H1288" s="115">
        <f>11.2</f>
        <v>11.2</v>
      </c>
      <c r="I1288" s="116"/>
    </row>
    <row r="1289" spans="1:9" s="17" customFormat="1" ht="12.75" customHeight="1" x14ac:dyDescent="0.2">
      <c r="A1289" s="65">
        <v>1280</v>
      </c>
      <c r="B1289" s="60"/>
      <c r="C1289" s="128" t="s">
        <v>2076</v>
      </c>
      <c r="D1289" s="126"/>
      <c r="E1289" s="127"/>
      <c r="F1289" s="124" t="s">
        <v>17</v>
      </c>
      <c r="G1289" s="124"/>
      <c r="H1289" s="115">
        <v>12.8</v>
      </c>
      <c r="I1289" s="116"/>
    </row>
    <row r="1290" spans="1:9" s="17" customFormat="1" ht="12.75" customHeight="1" x14ac:dyDescent="0.2">
      <c r="A1290" s="65">
        <v>1281</v>
      </c>
      <c r="B1290" s="60"/>
      <c r="C1290" s="128" t="s">
        <v>1979</v>
      </c>
      <c r="D1290" s="126"/>
      <c r="E1290" s="127"/>
      <c r="F1290" s="125" t="s">
        <v>57</v>
      </c>
      <c r="G1290" s="125"/>
      <c r="H1290" s="115">
        <v>9.4</v>
      </c>
      <c r="I1290" s="116"/>
    </row>
    <row r="1291" spans="1:9" s="17" customFormat="1" ht="12.75" customHeight="1" x14ac:dyDescent="0.2">
      <c r="A1291" s="65">
        <v>1282</v>
      </c>
      <c r="B1291" s="60">
        <v>2</v>
      </c>
      <c r="C1291" s="112" t="s">
        <v>1670</v>
      </c>
      <c r="D1291" s="112"/>
      <c r="E1291" s="112"/>
      <c r="F1291" s="124" t="s">
        <v>17</v>
      </c>
      <c r="G1291" s="124"/>
      <c r="H1291" s="123">
        <v>306</v>
      </c>
      <c r="I1291" s="123"/>
    </row>
    <row r="1292" spans="1:9" s="17" customFormat="1" ht="12.75" customHeight="1" x14ac:dyDescent="0.2">
      <c r="A1292" s="65">
        <v>1283</v>
      </c>
      <c r="B1292" s="60"/>
      <c r="C1292" s="112" t="s">
        <v>2807</v>
      </c>
      <c r="D1292" s="112"/>
      <c r="E1292" s="112"/>
      <c r="F1292" s="125" t="s">
        <v>57</v>
      </c>
      <c r="G1292" s="125"/>
      <c r="H1292" s="115">
        <v>10.5</v>
      </c>
      <c r="I1292" s="116"/>
    </row>
    <row r="1293" spans="1:9" s="17" customFormat="1" ht="12.75" customHeight="1" x14ac:dyDescent="0.2">
      <c r="A1293" s="65">
        <v>1284</v>
      </c>
      <c r="B1293" s="60">
        <v>6</v>
      </c>
      <c r="C1293" s="112" t="s">
        <v>4737</v>
      </c>
      <c r="D1293" s="112"/>
      <c r="E1293" s="112"/>
      <c r="F1293" s="124" t="s">
        <v>33</v>
      </c>
      <c r="G1293" s="124"/>
      <c r="H1293" s="115">
        <f>260-28-16-71</f>
        <v>145</v>
      </c>
      <c r="I1293" s="116"/>
    </row>
    <row r="1294" spans="1:9" s="17" customFormat="1" ht="12.75" customHeight="1" x14ac:dyDescent="0.2">
      <c r="A1294" s="65">
        <v>1285</v>
      </c>
      <c r="B1294" s="60"/>
      <c r="C1294" s="112" t="s">
        <v>3358</v>
      </c>
      <c r="D1294" s="112"/>
      <c r="E1294" s="112"/>
      <c r="F1294" s="124" t="s">
        <v>31</v>
      </c>
      <c r="G1294" s="124"/>
      <c r="H1294" s="115">
        <v>20</v>
      </c>
      <c r="I1294" s="116"/>
    </row>
    <row r="1295" spans="1:9" s="17" customFormat="1" ht="12.75" customHeight="1" x14ac:dyDescent="0.2">
      <c r="A1295" s="65">
        <v>1286</v>
      </c>
      <c r="B1295" s="60"/>
      <c r="C1295" s="112" t="s">
        <v>1805</v>
      </c>
      <c r="D1295" s="112"/>
      <c r="E1295" s="112"/>
      <c r="F1295" s="124" t="s">
        <v>33</v>
      </c>
      <c r="G1295" s="124"/>
      <c r="H1295" s="115">
        <v>20.9</v>
      </c>
      <c r="I1295" s="116"/>
    </row>
    <row r="1296" spans="1:9" s="17" customFormat="1" ht="12.75" customHeight="1" x14ac:dyDescent="0.2">
      <c r="A1296" s="65">
        <v>1287</v>
      </c>
      <c r="B1296" s="60"/>
      <c r="C1296" s="112" t="s">
        <v>1806</v>
      </c>
      <c r="D1296" s="112"/>
      <c r="E1296" s="112"/>
      <c r="F1296" s="125" t="s">
        <v>59</v>
      </c>
      <c r="G1296" s="125"/>
      <c r="H1296" s="115">
        <v>17.600000000000001</v>
      </c>
      <c r="I1296" s="116"/>
    </row>
    <row r="1297" spans="1:9" s="17" customFormat="1" ht="12.75" customHeight="1" x14ac:dyDescent="0.2">
      <c r="A1297" s="65">
        <v>1288</v>
      </c>
      <c r="B1297" s="60"/>
      <c r="C1297" s="117" t="s">
        <v>3567</v>
      </c>
      <c r="D1297" s="118"/>
      <c r="E1297" s="119"/>
      <c r="F1297" s="125" t="s">
        <v>140</v>
      </c>
      <c r="G1297" s="125"/>
      <c r="H1297" s="123">
        <f>85.3-38</f>
        <v>47.3</v>
      </c>
      <c r="I1297" s="123"/>
    </row>
    <row r="1298" spans="1:9" s="17" customFormat="1" ht="12.75" customHeight="1" x14ac:dyDescent="0.2">
      <c r="A1298" s="65">
        <v>1289</v>
      </c>
      <c r="B1298" s="60">
        <v>6</v>
      </c>
      <c r="C1298" s="112" t="s">
        <v>1818</v>
      </c>
      <c r="D1298" s="112"/>
      <c r="E1298" s="112"/>
      <c r="F1298" s="125" t="s">
        <v>29</v>
      </c>
      <c r="G1298" s="125"/>
      <c r="H1298" s="115">
        <v>268</v>
      </c>
      <c r="I1298" s="116"/>
    </row>
    <row r="1299" spans="1:9" s="17" customFormat="1" ht="12.75" customHeight="1" x14ac:dyDescent="0.2">
      <c r="A1299" s="65">
        <v>1290</v>
      </c>
      <c r="B1299" s="60">
        <v>2</v>
      </c>
      <c r="C1299" s="112" t="s">
        <v>5014</v>
      </c>
      <c r="D1299" s="112"/>
      <c r="E1299" s="112"/>
      <c r="F1299" s="125" t="s">
        <v>29</v>
      </c>
      <c r="G1299" s="125"/>
      <c r="H1299" s="123">
        <v>741</v>
      </c>
      <c r="I1299" s="123"/>
    </row>
    <row r="1300" spans="1:9" s="17" customFormat="1" ht="12.75" customHeight="1" x14ac:dyDescent="0.2">
      <c r="A1300" s="65">
        <v>1291</v>
      </c>
      <c r="B1300" s="60">
        <v>2</v>
      </c>
      <c r="C1300" s="112" t="s">
        <v>5015</v>
      </c>
      <c r="D1300" s="112"/>
      <c r="E1300" s="112"/>
      <c r="F1300" s="125" t="s">
        <v>29</v>
      </c>
      <c r="G1300" s="125"/>
      <c r="H1300" s="123">
        <v>278</v>
      </c>
      <c r="I1300" s="123"/>
    </row>
    <row r="1301" spans="1:9" s="17" customFormat="1" ht="12.75" customHeight="1" x14ac:dyDescent="0.2">
      <c r="A1301" s="65">
        <v>1292</v>
      </c>
      <c r="B1301" s="60"/>
      <c r="C1301" s="112" t="s">
        <v>5016</v>
      </c>
      <c r="D1301" s="112"/>
      <c r="E1301" s="112"/>
      <c r="F1301" s="125" t="s">
        <v>29</v>
      </c>
      <c r="G1301" s="125"/>
      <c r="H1301" s="123">
        <v>43.3</v>
      </c>
      <c r="I1301" s="123"/>
    </row>
    <row r="1302" spans="1:9" s="17" customFormat="1" ht="12.75" customHeight="1" x14ac:dyDescent="0.2">
      <c r="A1302" s="65">
        <v>1293</v>
      </c>
      <c r="B1302" s="60"/>
      <c r="C1302" s="112" t="s">
        <v>2806</v>
      </c>
      <c r="D1302" s="112"/>
      <c r="E1302" s="112"/>
      <c r="F1302" s="125" t="s">
        <v>57</v>
      </c>
      <c r="G1302" s="125"/>
      <c r="H1302" s="115">
        <v>12.1</v>
      </c>
      <c r="I1302" s="116"/>
    </row>
    <row r="1303" spans="1:9" s="17" customFormat="1" ht="12.75" customHeight="1" x14ac:dyDescent="0.2">
      <c r="A1303" s="65">
        <v>1294</v>
      </c>
      <c r="B1303" s="60"/>
      <c r="C1303" s="112" t="s">
        <v>1812</v>
      </c>
      <c r="D1303" s="112"/>
      <c r="E1303" s="112"/>
      <c r="F1303" s="125" t="s">
        <v>57</v>
      </c>
      <c r="G1303" s="125"/>
      <c r="H1303" s="115">
        <v>15.8</v>
      </c>
      <c r="I1303" s="116"/>
    </row>
    <row r="1304" spans="1:9" s="17" customFormat="1" ht="12.75" customHeight="1" x14ac:dyDescent="0.2">
      <c r="A1304" s="65">
        <v>1295</v>
      </c>
      <c r="B1304" s="60"/>
      <c r="C1304" s="112" t="s">
        <v>1314</v>
      </c>
      <c r="D1304" s="112"/>
      <c r="E1304" s="112"/>
      <c r="F1304" s="125" t="s">
        <v>57</v>
      </c>
      <c r="G1304" s="125"/>
      <c r="H1304" s="115">
        <v>22.4</v>
      </c>
      <c r="I1304" s="116"/>
    </row>
    <row r="1305" spans="1:9" s="17" customFormat="1" ht="12.75" customHeight="1" x14ac:dyDescent="0.2">
      <c r="A1305" s="65">
        <v>1296</v>
      </c>
      <c r="B1305" s="60"/>
      <c r="C1305" s="112" t="s">
        <v>2072</v>
      </c>
      <c r="D1305" s="112"/>
      <c r="E1305" s="112"/>
      <c r="F1305" s="125" t="s">
        <v>57</v>
      </c>
      <c r="G1305" s="125"/>
      <c r="H1305" s="115">
        <v>14.8</v>
      </c>
      <c r="I1305" s="116"/>
    </row>
    <row r="1306" spans="1:9" s="17" customFormat="1" ht="12.75" customHeight="1" x14ac:dyDescent="0.2">
      <c r="A1306" s="65">
        <v>1297</v>
      </c>
      <c r="B1306" s="60"/>
      <c r="C1306" s="112" t="s">
        <v>2071</v>
      </c>
      <c r="D1306" s="112"/>
      <c r="E1306" s="112"/>
      <c r="F1306" s="125" t="s">
        <v>57</v>
      </c>
      <c r="G1306" s="125"/>
      <c r="H1306" s="115">
        <v>14</v>
      </c>
      <c r="I1306" s="116"/>
    </row>
    <row r="1307" spans="1:9" s="17" customFormat="1" ht="12.75" customHeight="1" x14ac:dyDescent="0.2">
      <c r="A1307" s="65">
        <v>1298</v>
      </c>
      <c r="B1307" s="60">
        <v>6</v>
      </c>
      <c r="C1307" s="112" t="s">
        <v>5114</v>
      </c>
      <c r="D1307" s="112"/>
      <c r="E1307" s="112"/>
      <c r="F1307" s="125" t="s">
        <v>57</v>
      </c>
      <c r="G1307" s="125"/>
      <c r="H1307" s="115">
        <f>160-33</f>
        <v>127</v>
      </c>
      <c r="I1307" s="116"/>
    </row>
    <row r="1308" spans="1:9" s="17" customFormat="1" ht="12.75" customHeight="1" x14ac:dyDescent="0.2">
      <c r="A1308" s="65">
        <v>1299</v>
      </c>
      <c r="B1308" s="60"/>
      <c r="C1308" s="112" t="s">
        <v>2684</v>
      </c>
      <c r="D1308" s="112"/>
      <c r="E1308" s="112"/>
      <c r="F1308" s="124" t="s">
        <v>71</v>
      </c>
      <c r="G1308" s="124"/>
      <c r="H1308" s="115">
        <f>12.9+13.4-13.4</f>
        <v>12.9</v>
      </c>
      <c r="I1308" s="116"/>
    </row>
    <row r="1309" spans="1:9" s="17" customFormat="1" ht="12.75" customHeight="1" x14ac:dyDescent="0.2">
      <c r="A1309" s="65">
        <v>1300</v>
      </c>
      <c r="B1309" s="60">
        <v>2</v>
      </c>
      <c r="C1309" s="112" t="s">
        <v>1671</v>
      </c>
      <c r="D1309" s="112"/>
      <c r="E1309" s="112"/>
      <c r="F1309" s="124" t="s">
        <v>33</v>
      </c>
      <c r="G1309" s="125"/>
      <c r="H1309" s="115">
        <f>362-164</f>
        <v>198</v>
      </c>
      <c r="I1309" s="116"/>
    </row>
    <row r="1310" spans="1:9" s="17" customFormat="1" ht="12.75" customHeight="1" x14ac:dyDescent="0.2">
      <c r="A1310" s="65">
        <v>1301</v>
      </c>
      <c r="B1310" s="60"/>
      <c r="C1310" s="112" t="s">
        <v>4269</v>
      </c>
      <c r="D1310" s="112"/>
      <c r="E1310" s="112"/>
      <c r="F1310" s="125" t="s">
        <v>57</v>
      </c>
      <c r="G1310" s="125"/>
      <c r="H1310" s="115">
        <f>28.3+17.3+23.3-40.6</f>
        <v>28.300000000000004</v>
      </c>
      <c r="I1310" s="116"/>
    </row>
    <row r="1311" spans="1:9" s="17" customFormat="1" ht="12.75" customHeight="1" x14ac:dyDescent="0.2">
      <c r="A1311" s="65">
        <v>1302</v>
      </c>
      <c r="B1311" s="60"/>
      <c r="C1311" s="128" t="s">
        <v>5189</v>
      </c>
      <c r="D1311" s="126"/>
      <c r="E1311" s="127"/>
      <c r="F1311" s="125" t="s">
        <v>59</v>
      </c>
      <c r="G1311" s="125"/>
      <c r="H1311" s="115">
        <f>135-90-15</f>
        <v>30</v>
      </c>
      <c r="I1311" s="116"/>
    </row>
    <row r="1312" spans="1:9" s="17" customFormat="1" ht="11.25" customHeight="1" x14ac:dyDescent="0.2">
      <c r="A1312" s="65">
        <v>1303</v>
      </c>
      <c r="B1312" s="60">
        <v>6</v>
      </c>
      <c r="C1312" s="120" t="s">
        <v>3625</v>
      </c>
      <c r="D1312" s="120"/>
      <c r="E1312" s="120"/>
      <c r="F1312" s="113" t="s">
        <v>62</v>
      </c>
      <c r="G1312" s="114"/>
      <c r="H1312" s="123">
        <f>748-15-51-34-8.5-7</f>
        <v>632.5</v>
      </c>
      <c r="I1312" s="123"/>
    </row>
    <row r="1313" spans="1:9" s="16" customFormat="1" ht="12" customHeight="1" x14ac:dyDescent="0.2">
      <c r="A1313" s="65">
        <v>1304</v>
      </c>
      <c r="B1313" s="60">
        <v>6</v>
      </c>
      <c r="C1313" s="120" t="s">
        <v>1447</v>
      </c>
      <c r="D1313" s="120"/>
      <c r="E1313" s="120"/>
      <c r="F1313" s="125" t="s">
        <v>62</v>
      </c>
      <c r="G1313" s="125"/>
      <c r="H1313" s="123">
        <v>210</v>
      </c>
      <c r="I1313" s="123"/>
    </row>
    <row r="1314" spans="1:9" s="17" customFormat="1" ht="12.75" customHeight="1" x14ac:dyDescent="0.2">
      <c r="A1314" s="65">
        <v>1305</v>
      </c>
      <c r="B1314" s="60">
        <v>6</v>
      </c>
      <c r="C1314" s="128" t="s">
        <v>4681</v>
      </c>
      <c r="D1314" s="126"/>
      <c r="E1314" s="127"/>
      <c r="F1314" s="121" t="s">
        <v>71</v>
      </c>
      <c r="G1314" s="122"/>
      <c r="H1314" s="115">
        <f>440-36-54-8</f>
        <v>342</v>
      </c>
      <c r="I1314" s="116"/>
    </row>
    <row r="1315" spans="1:9" s="17" customFormat="1" ht="12.75" customHeight="1" x14ac:dyDescent="0.2">
      <c r="A1315" s="65">
        <v>1306</v>
      </c>
      <c r="B1315" s="60">
        <v>6</v>
      </c>
      <c r="C1315" s="128" t="s">
        <v>2514</v>
      </c>
      <c r="D1315" s="126"/>
      <c r="E1315" s="127"/>
      <c r="F1315" s="121" t="s">
        <v>71</v>
      </c>
      <c r="G1315" s="122"/>
      <c r="H1315" s="115">
        <f>1260-34.5</f>
        <v>1225.5</v>
      </c>
      <c r="I1315" s="116"/>
    </row>
    <row r="1316" spans="1:9" s="17" customFormat="1" ht="12.75" customHeight="1" x14ac:dyDescent="0.2">
      <c r="A1316" s="65">
        <v>1307</v>
      </c>
      <c r="B1316" s="60">
        <v>6</v>
      </c>
      <c r="C1316" s="117" t="s">
        <v>1737</v>
      </c>
      <c r="D1316" s="118"/>
      <c r="E1316" s="119"/>
      <c r="F1316" s="121" t="s">
        <v>31</v>
      </c>
      <c r="G1316" s="122"/>
      <c r="H1316" s="115">
        <f>375-75-120-31.5-22.5-38+5</f>
        <v>93</v>
      </c>
      <c r="I1316" s="116"/>
    </row>
    <row r="1317" spans="1:9" s="17" customFormat="1" ht="12.75" customHeight="1" x14ac:dyDescent="0.2">
      <c r="A1317" s="65">
        <v>1308</v>
      </c>
      <c r="B1317" s="60">
        <v>6</v>
      </c>
      <c r="C1317" s="112" t="s">
        <v>2588</v>
      </c>
      <c r="D1317" s="112"/>
      <c r="E1317" s="112"/>
      <c r="F1317" s="125" t="s">
        <v>184</v>
      </c>
      <c r="G1317" s="125"/>
      <c r="H1317" s="115">
        <f>255-45-15</f>
        <v>195</v>
      </c>
      <c r="I1317" s="116"/>
    </row>
    <row r="1318" spans="1:9" s="17" customFormat="1" ht="12.75" customHeight="1" x14ac:dyDescent="0.2">
      <c r="A1318" s="65">
        <v>1309</v>
      </c>
      <c r="B1318" s="60" t="s">
        <v>3676</v>
      </c>
      <c r="C1318" s="112" t="s">
        <v>2059</v>
      </c>
      <c r="D1318" s="112"/>
      <c r="E1318" s="112"/>
      <c r="F1318" s="125" t="s">
        <v>140</v>
      </c>
      <c r="G1318" s="125"/>
      <c r="H1318" s="115">
        <f>615-13-87-28-11.5-166-85-135.5-43+1</f>
        <v>47</v>
      </c>
      <c r="I1318" s="116"/>
    </row>
    <row r="1319" spans="1:9" s="17" customFormat="1" ht="12.75" customHeight="1" x14ac:dyDescent="0.2">
      <c r="A1319" s="65">
        <v>1310</v>
      </c>
      <c r="B1319" s="60">
        <v>6</v>
      </c>
      <c r="C1319" s="112" t="s">
        <v>1247</v>
      </c>
      <c r="D1319" s="112"/>
      <c r="E1319" s="112"/>
      <c r="F1319" s="125" t="s">
        <v>29</v>
      </c>
      <c r="G1319" s="125"/>
      <c r="H1319" s="115">
        <f>840-51-175-306-158</f>
        <v>150</v>
      </c>
      <c r="I1319" s="116"/>
    </row>
    <row r="1320" spans="1:9" s="17" customFormat="1" ht="12.75" customHeight="1" x14ac:dyDescent="0.2">
      <c r="A1320" s="65">
        <v>1311</v>
      </c>
      <c r="B1320" s="60">
        <v>6</v>
      </c>
      <c r="C1320" s="112" t="s">
        <v>639</v>
      </c>
      <c r="D1320" s="112"/>
      <c r="E1320" s="112"/>
      <c r="F1320" s="125" t="s">
        <v>59</v>
      </c>
      <c r="G1320" s="125"/>
      <c r="H1320" s="115">
        <f>135-23</f>
        <v>112</v>
      </c>
      <c r="I1320" s="116"/>
    </row>
    <row r="1321" spans="1:9" s="17" customFormat="1" ht="12.75" customHeight="1" x14ac:dyDescent="0.2">
      <c r="A1321" s="65">
        <v>1312</v>
      </c>
      <c r="B1321" s="60"/>
      <c r="C1321" s="117" t="s">
        <v>466</v>
      </c>
      <c r="D1321" s="118"/>
      <c r="E1321" s="119"/>
      <c r="F1321" s="124" t="s">
        <v>467</v>
      </c>
      <c r="G1321" s="124"/>
      <c r="H1321" s="115">
        <v>69.3</v>
      </c>
      <c r="I1321" s="116"/>
    </row>
    <row r="1322" spans="1:9" s="17" customFormat="1" ht="12.75" customHeight="1" x14ac:dyDescent="0.2">
      <c r="A1322" s="65">
        <v>1313</v>
      </c>
      <c r="B1322" s="60">
        <v>6</v>
      </c>
      <c r="C1322" s="112" t="s">
        <v>2074</v>
      </c>
      <c r="D1322" s="112"/>
      <c r="E1322" s="112"/>
      <c r="F1322" s="125" t="s">
        <v>76</v>
      </c>
      <c r="G1322" s="125"/>
      <c r="H1322" s="115">
        <f>271-83.4</f>
        <v>187.6</v>
      </c>
      <c r="I1322" s="116"/>
    </row>
    <row r="1323" spans="1:9" s="17" customFormat="1" ht="12.75" customHeight="1" x14ac:dyDescent="0.2">
      <c r="A1323" s="65">
        <v>1314</v>
      </c>
      <c r="B1323" s="60"/>
      <c r="C1323" s="112" t="s">
        <v>2413</v>
      </c>
      <c r="D1323" s="112"/>
      <c r="E1323" s="112"/>
      <c r="F1323" s="125" t="s">
        <v>76</v>
      </c>
      <c r="G1323" s="125"/>
      <c r="H1323" s="115">
        <v>50</v>
      </c>
      <c r="I1323" s="116"/>
    </row>
    <row r="1324" spans="1:9" s="17" customFormat="1" ht="12.75" customHeight="1" x14ac:dyDescent="0.2">
      <c r="A1324" s="65">
        <v>1315</v>
      </c>
      <c r="B1324" s="60">
        <v>6</v>
      </c>
      <c r="C1324" s="112" t="s">
        <v>1464</v>
      </c>
      <c r="D1324" s="112"/>
      <c r="E1324" s="112"/>
      <c r="F1324" s="125" t="s">
        <v>76</v>
      </c>
      <c r="G1324" s="125"/>
      <c r="H1324" s="115">
        <f>117.4-8.2</f>
        <v>109.2</v>
      </c>
      <c r="I1324" s="116"/>
    </row>
    <row r="1325" spans="1:9" s="17" customFormat="1" ht="12.75" customHeight="1" x14ac:dyDescent="0.2">
      <c r="A1325" s="65">
        <v>1316</v>
      </c>
      <c r="B1325" s="60">
        <v>6</v>
      </c>
      <c r="C1325" s="112" t="s">
        <v>2345</v>
      </c>
      <c r="D1325" s="112"/>
      <c r="E1325" s="112"/>
      <c r="F1325" s="125" t="s">
        <v>76</v>
      </c>
      <c r="G1325" s="125"/>
      <c r="H1325" s="115">
        <v>155</v>
      </c>
      <c r="I1325" s="116"/>
    </row>
    <row r="1326" spans="1:9" s="17" customFormat="1" ht="12.75" customHeight="1" x14ac:dyDescent="0.2">
      <c r="A1326" s="65">
        <v>1317</v>
      </c>
      <c r="B1326" s="60"/>
      <c r="C1326" s="112" t="s">
        <v>1182</v>
      </c>
      <c r="D1326" s="112"/>
      <c r="E1326" s="112"/>
      <c r="F1326" s="125" t="s">
        <v>76</v>
      </c>
      <c r="G1326" s="125"/>
      <c r="H1326" s="115">
        <v>205.5</v>
      </c>
      <c r="I1326" s="116"/>
    </row>
    <row r="1327" spans="1:9" s="17" customFormat="1" ht="12.75" customHeight="1" x14ac:dyDescent="0.2">
      <c r="A1327" s="65">
        <v>1318</v>
      </c>
      <c r="B1327" s="60">
        <v>6</v>
      </c>
      <c r="C1327" s="112" t="s">
        <v>2346</v>
      </c>
      <c r="D1327" s="112"/>
      <c r="E1327" s="112"/>
      <c r="F1327" s="125" t="s">
        <v>76</v>
      </c>
      <c r="G1327" s="125"/>
      <c r="H1327" s="115">
        <v>232</v>
      </c>
      <c r="I1327" s="116"/>
    </row>
    <row r="1328" spans="1:9" s="17" customFormat="1" ht="12.75" customHeight="1" x14ac:dyDescent="0.2">
      <c r="A1328" s="65">
        <v>1319</v>
      </c>
      <c r="B1328" s="60">
        <v>2</v>
      </c>
      <c r="C1328" s="112" t="s">
        <v>5203</v>
      </c>
      <c r="D1328" s="112"/>
      <c r="E1328" s="112"/>
      <c r="F1328" s="125" t="s">
        <v>62</v>
      </c>
      <c r="G1328" s="125"/>
      <c r="H1328" s="115">
        <f>1190-25-8.5-226-25-97-25</f>
        <v>783.5</v>
      </c>
      <c r="I1328" s="116"/>
    </row>
    <row r="1329" spans="1:9" s="17" customFormat="1" ht="12.75" customHeight="1" x14ac:dyDescent="0.2">
      <c r="A1329" s="65">
        <v>1320</v>
      </c>
      <c r="B1329" s="60"/>
      <c r="C1329" s="112" t="s">
        <v>3518</v>
      </c>
      <c r="D1329" s="112"/>
      <c r="E1329" s="112"/>
      <c r="F1329" s="125" t="s">
        <v>76</v>
      </c>
      <c r="G1329" s="125"/>
      <c r="H1329" s="115">
        <v>180</v>
      </c>
      <c r="I1329" s="116"/>
    </row>
    <row r="1330" spans="1:9" s="17" customFormat="1" ht="12.75" customHeight="1" x14ac:dyDescent="0.2">
      <c r="A1330" s="65">
        <v>1321</v>
      </c>
      <c r="B1330" s="60"/>
      <c r="C1330" s="112" t="s">
        <v>3040</v>
      </c>
      <c r="D1330" s="112"/>
      <c r="E1330" s="112"/>
      <c r="F1330" s="125" t="s">
        <v>76</v>
      </c>
      <c r="G1330" s="125"/>
      <c r="H1330" s="115">
        <v>13.2</v>
      </c>
      <c r="I1330" s="116"/>
    </row>
    <row r="1331" spans="1:9" s="17" customFormat="1" ht="12.75" customHeight="1" x14ac:dyDescent="0.2">
      <c r="A1331" s="65">
        <v>1322</v>
      </c>
      <c r="B1331" s="60"/>
      <c r="C1331" s="112" t="s">
        <v>2070</v>
      </c>
      <c r="D1331" s="112"/>
      <c r="E1331" s="112"/>
      <c r="F1331" s="125" t="s">
        <v>57</v>
      </c>
      <c r="G1331" s="125"/>
      <c r="H1331" s="115">
        <v>30.9</v>
      </c>
      <c r="I1331" s="116"/>
    </row>
    <row r="1332" spans="1:9" s="17" customFormat="1" ht="12.75" customHeight="1" x14ac:dyDescent="0.2">
      <c r="A1332" s="65">
        <v>1323</v>
      </c>
      <c r="B1332" s="60"/>
      <c r="C1332" s="112" t="s">
        <v>1978</v>
      </c>
      <c r="D1332" s="112"/>
      <c r="E1332" s="112"/>
      <c r="F1332" s="125" t="s">
        <v>57</v>
      </c>
      <c r="G1332" s="125"/>
      <c r="H1332" s="115">
        <v>17.8</v>
      </c>
      <c r="I1332" s="116"/>
    </row>
    <row r="1333" spans="1:9" s="17" customFormat="1" ht="12.75" customHeight="1" x14ac:dyDescent="0.2">
      <c r="A1333" s="65">
        <v>1324</v>
      </c>
      <c r="B1333" s="60" t="s">
        <v>3676</v>
      </c>
      <c r="C1333" s="112" t="s">
        <v>4045</v>
      </c>
      <c r="D1333" s="112"/>
      <c r="E1333" s="112"/>
      <c r="F1333" s="125" t="s">
        <v>62</v>
      </c>
      <c r="G1333" s="125"/>
      <c r="H1333" s="115">
        <v>136.6</v>
      </c>
      <c r="I1333" s="116"/>
    </row>
    <row r="1334" spans="1:9" s="17" customFormat="1" ht="12.75" customHeight="1" x14ac:dyDescent="0.2">
      <c r="A1334" s="65">
        <v>1325</v>
      </c>
      <c r="B1334" s="60" t="s">
        <v>4043</v>
      </c>
      <c r="C1334" s="112" t="s">
        <v>4225</v>
      </c>
      <c r="D1334" s="112"/>
      <c r="E1334" s="112"/>
      <c r="F1334" s="125" t="s">
        <v>140</v>
      </c>
      <c r="G1334" s="125"/>
      <c r="H1334" s="123">
        <v>75.3</v>
      </c>
      <c r="I1334" s="123"/>
    </row>
    <row r="1335" spans="1:9" s="17" customFormat="1" ht="12.75" customHeight="1" x14ac:dyDescent="0.2">
      <c r="A1335" s="65">
        <v>1326</v>
      </c>
      <c r="B1335" s="60" t="s">
        <v>4043</v>
      </c>
      <c r="C1335" s="112" t="s">
        <v>4226</v>
      </c>
      <c r="D1335" s="112"/>
      <c r="E1335" s="112"/>
      <c r="F1335" s="125" t="s">
        <v>140</v>
      </c>
      <c r="G1335" s="125"/>
      <c r="H1335" s="123">
        <v>81.599999999999994</v>
      </c>
      <c r="I1335" s="123"/>
    </row>
    <row r="1336" spans="1:9" s="17" customFormat="1" ht="12.75" customHeight="1" x14ac:dyDescent="0.2">
      <c r="A1336" s="65">
        <v>1327</v>
      </c>
      <c r="B1336" s="60"/>
      <c r="C1336" s="112" t="s">
        <v>5184</v>
      </c>
      <c r="D1336" s="112"/>
      <c r="E1336" s="112"/>
      <c r="F1336" s="125" t="s">
        <v>29</v>
      </c>
      <c r="G1336" s="125"/>
      <c r="H1336" s="115">
        <f>182-45.5-45.5</f>
        <v>91</v>
      </c>
      <c r="I1336" s="116"/>
    </row>
    <row r="1337" spans="1:9" s="17" customFormat="1" ht="12.75" customHeight="1" x14ac:dyDescent="0.2">
      <c r="A1337" s="65">
        <v>1328</v>
      </c>
      <c r="B1337" s="60">
        <v>6</v>
      </c>
      <c r="C1337" s="112" t="s">
        <v>1146</v>
      </c>
      <c r="D1337" s="112"/>
      <c r="E1337" s="112"/>
      <c r="F1337" s="125" t="s">
        <v>29</v>
      </c>
      <c r="G1337" s="125"/>
      <c r="H1337" s="123">
        <v>200</v>
      </c>
      <c r="I1337" s="123"/>
    </row>
    <row r="1338" spans="1:9" s="17" customFormat="1" ht="12.75" customHeight="1" x14ac:dyDescent="0.2">
      <c r="A1338" s="65">
        <v>1329</v>
      </c>
      <c r="B1338" s="60">
        <v>2</v>
      </c>
      <c r="C1338" s="112" t="s">
        <v>4220</v>
      </c>
      <c r="D1338" s="112"/>
      <c r="E1338" s="112"/>
      <c r="F1338" s="125" t="s">
        <v>140</v>
      </c>
      <c r="G1338" s="125"/>
      <c r="H1338" s="123">
        <v>432</v>
      </c>
      <c r="I1338" s="123"/>
    </row>
    <row r="1339" spans="1:9" s="17" customFormat="1" ht="12.75" customHeight="1" x14ac:dyDescent="0.2">
      <c r="A1339" s="65">
        <v>1330</v>
      </c>
      <c r="B1339" s="60">
        <v>2</v>
      </c>
      <c r="C1339" s="112" t="s">
        <v>4219</v>
      </c>
      <c r="D1339" s="112"/>
      <c r="E1339" s="112"/>
      <c r="F1339" s="125" t="s">
        <v>140</v>
      </c>
      <c r="G1339" s="125"/>
      <c r="H1339" s="123">
        <v>139</v>
      </c>
      <c r="I1339" s="123"/>
    </row>
    <row r="1340" spans="1:9" s="17" customFormat="1" ht="15.75" customHeight="1" x14ac:dyDescent="0.2">
      <c r="A1340" s="65">
        <v>1331</v>
      </c>
      <c r="B1340" s="60">
        <v>6</v>
      </c>
      <c r="C1340" s="112" t="s">
        <v>704</v>
      </c>
      <c r="D1340" s="112"/>
      <c r="E1340" s="112"/>
      <c r="F1340" s="125" t="s">
        <v>76</v>
      </c>
      <c r="G1340" s="125"/>
      <c r="H1340" s="115">
        <v>260</v>
      </c>
      <c r="I1340" s="116"/>
    </row>
    <row r="1341" spans="1:9" s="17" customFormat="1" ht="12.75" customHeight="1" x14ac:dyDescent="0.2">
      <c r="A1341" s="65">
        <v>1332</v>
      </c>
      <c r="B1341" s="60">
        <v>6</v>
      </c>
      <c r="C1341" s="128" t="s">
        <v>3752</v>
      </c>
      <c r="D1341" s="126"/>
      <c r="E1341" s="127"/>
      <c r="F1341" s="135" t="s">
        <v>76</v>
      </c>
      <c r="G1341" s="135"/>
      <c r="H1341" s="140">
        <f>3345-30-555</f>
        <v>2760</v>
      </c>
      <c r="I1341" s="141"/>
    </row>
    <row r="1342" spans="1:9" s="17" customFormat="1" ht="12.75" customHeight="1" x14ac:dyDescent="0.2">
      <c r="A1342" s="65">
        <v>1333</v>
      </c>
      <c r="B1342" s="60">
        <v>2</v>
      </c>
      <c r="C1342" s="128" t="s">
        <v>2809</v>
      </c>
      <c r="D1342" s="126"/>
      <c r="E1342" s="127"/>
      <c r="F1342" s="135" t="s">
        <v>76</v>
      </c>
      <c r="G1342" s="135"/>
      <c r="H1342" s="140">
        <f>3330-1670+140-190+1035-1150-127-41-106-100-136-105-290-170+30</f>
        <v>450</v>
      </c>
      <c r="I1342" s="141"/>
    </row>
    <row r="1343" spans="1:9" s="17" customFormat="1" ht="12.75" customHeight="1" x14ac:dyDescent="0.2">
      <c r="A1343" s="65">
        <v>1334</v>
      </c>
      <c r="B1343" s="60">
        <v>2</v>
      </c>
      <c r="C1343" s="128" t="s">
        <v>1975</v>
      </c>
      <c r="D1343" s="126"/>
      <c r="E1343" s="127"/>
      <c r="F1343" s="135" t="s">
        <v>76</v>
      </c>
      <c r="G1343" s="135"/>
      <c r="H1343" s="140">
        <v>105</v>
      </c>
      <c r="I1343" s="141"/>
    </row>
    <row r="1344" spans="1:9" s="17" customFormat="1" ht="15.75" customHeight="1" x14ac:dyDescent="0.2">
      <c r="A1344" s="65">
        <v>1335</v>
      </c>
      <c r="B1344" s="60"/>
      <c r="C1344" s="112" t="s">
        <v>648</v>
      </c>
      <c r="D1344" s="112"/>
      <c r="E1344" s="112"/>
      <c r="F1344" s="125" t="s">
        <v>76</v>
      </c>
      <c r="G1344" s="125"/>
      <c r="H1344" s="115">
        <v>112.5</v>
      </c>
      <c r="I1344" s="116"/>
    </row>
    <row r="1345" spans="1:9" s="17" customFormat="1" ht="12.75" customHeight="1" x14ac:dyDescent="0.2">
      <c r="A1345" s="65">
        <v>1336</v>
      </c>
      <c r="B1345" s="60">
        <v>2</v>
      </c>
      <c r="C1345" s="128" t="s">
        <v>1976</v>
      </c>
      <c r="D1345" s="126"/>
      <c r="E1345" s="127"/>
      <c r="F1345" s="135" t="s">
        <v>76</v>
      </c>
      <c r="G1345" s="135"/>
      <c r="H1345" s="140">
        <v>290</v>
      </c>
      <c r="I1345" s="141"/>
    </row>
    <row r="1346" spans="1:9" s="17" customFormat="1" ht="12.75" customHeight="1" x14ac:dyDescent="0.2">
      <c r="A1346" s="65">
        <v>1337</v>
      </c>
      <c r="B1346" s="60" t="s">
        <v>1624</v>
      </c>
      <c r="C1346" s="120" t="s">
        <v>2828</v>
      </c>
      <c r="D1346" s="120"/>
      <c r="E1346" s="120"/>
      <c r="F1346" s="124" t="s">
        <v>85</v>
      </c>
      <c r="G1346" s="124"/>
      <c r="H1346" s="140">
        <v>77.2</v>
      </c>
      <c r="I1346" s="141"/>
    </row>
    <row r="1347" spans="1:9" s="17" customFormat="1" ht="12.75" customHeight="1" x14ac:dyDescent="0.2">
      <c r="A1347" s="65">
        <v>1338</v>
      </c>
      <c r="B1347" s="60"/>
      <c r="C1347" s="120" t="s">
        <v>4432</v>
      </c>
      <c r="D1347" s="120"/>
      <c r="E1347" s="120"/>
      <c r="F1347" s="124" t="s">
        <v>85</v>
      </c>
      <c r="G1347" s="124"/>
      <c r="H1347" s="115">
        <v>7.9</v>
      </c>
      <c r="I1347" s="116"/>
    </row>
    <row r="1348" spans="1:9" s="17" customFormat="1" ht="24" customHeight="1" x14ac:dyDescent="0.2">
      <c r="A1348" s="65">
        <v>1339</v>
      </c>
      <c r="B1348" s="60" t="s">
        <v>1624</v>
      </c>
      <c r="C1348" s="128" t="s">
        <v>5253</v>
      </c>
      <c r="D1348" s="126"/>
      <c r="E1348" s="127"/>
      <c r="F1348" s="135" t="s">
        <v>76</v>
      </c>
      <c r="G1348" s="135"/>
      <c r="H1348" s="140">
        <f>252-21-5-1.2-1-1-1-1-1-0.6</f>
        <v>219.20000000000002</v>
      </c>
      <c r="I1348" s="141"/>
    </row>
    <row r="1349" spans="1:9" s="17" customFormat="1" ht="12.75" customHeight="1" x14ac:dyDescent="0.2">
      <c r="A1349" s="65">
        <v>1340</v>
      </c>
      <c r="B1349" s="60" t="s">
        <v>1624</v>
      </c>
      <c r="C1349" s="128" t="s">
        <v>1735</v>
      </c>
      <c r="D1349" s="126"/>
      <c r="E1349" s="127"/>
      <c r="F1349" s="135" t="s">
        <v>76</v>
      </c>
      <c r="G1349" s="135"/>
      <c r="H1349" s="140">
        <v>5.9</v>
      </c>
      <c r="I1349" s="141"/>
    </row>
    <row r="1350" spans="1:9" s="17" customFormat="1" ht="12.75" customHeight="1" x14ac:dyDescent="0.2">
      <c r="A1350" s="65">
        <v>1341</v>
      </c>
      <c r="B1350" s="60"/>
      <c r="C1350" s="128" t="s">
        <v>4309</v>
      </c>
      <c r="D1350" s="126"/>
      <c r="E1350" s="127"/>
      <c r="F1350" s="135" t="s">
        <v>76</v>
      </c>
      <c r="G1350" s="135"/>
      <c r="H1350" s="140">
        <f>76-1-1.5-1-1-1</f>
        <v>70.5</v>
      </c>
      <c r="I1350" s="141"/>
    </row>
    <row r="1351" spans="1:9" s="17" customFormat="1" ht="12.75" customHeight="1" x14ac:dyDescent="0.2">
      <c r="A1351" s="65">
        <v>1342</v>
      </c>
      <c r="B1351" s="60"/>
      <c r="C1351" s="128" t="s">
        <v>2997</v>
      </c>
      <c r="D1351" s="126"/>
      <c r="E1351" s="127"/>
      <c r="F1351" s="135" t="s">
        <v>76</v>
      </c>
      <c r="G1351" s="135"/>
      <c r="H1351" s="140">
        <f>81-1-0.4-0.4-1.8-10-0.2</f>
        <v>67.199999999999989</v>
      </c>
      <c r="I1351" s="141"/>
    </row>
    <row r="1352" spans="1:9" s="17" customFormat="1" ht="12.75" customHeight="1" x14ac:dyDescent="0.2">
      <c r="A1352" s="65">
        <v>1343</v>
      </c>
      <c r="B1352" s="60" t="s">
        <v>741</v>
      </c>
      <c r="C1352" s="128" t="s">
        <v>3626</v>
      </c>
      <c r="D1352" s="126"/>
      <c r="E1352" s="127"/>
      <c r="F1352" s="135" t="s">
        <v>76</v>
      </c>
      <c r="G1352" s="135"/>
      <c r="H1352" s="140">
        <f>66.3-1-5-1.5</f>
        <v>58.8</v>
      </c>
      <c r="I1352" s="141"/>
    </row>
    <row r="1353" spans="1:9" s="17" customFormat="1" ht="12.75" customHeight="1" x14ac:dyDescent="0.2">
      <c r="A1353" s="65">
        <v>1344</v>
      </c>
      <c r="B1353" s="60"/>
      <c r="C1353" s="128" t="s">
        <v>3662</v>
      </c>
      <c r="D1353" s="126"/>
      <c r="E1353" s="127"/>
      <c r="F1353" s="135" t="s">
        <v>76</v>
      </c>
      <c r="G1353" s="135"/>
      <c r="H1353" s="140">
        <f>25.6-1.3-1.2-1.2-1-1.5-1+0.4-0.2-1-5.3-5-0.2-2+2.1-0.5-0.2-0.3-2</f>
        <v>4.2000000000000011</v>
      </c>
      <c r="I1353" s="141"/>
    </row>
    <row r="1354" spans="1:9" s="17" customFormat="1" ht="12.75" customHeight="1" x14ac:dyDescent="0.2">
      <c r="A1354" s="65">
        <v>1345</v>
      </c>
      <c r="B1354" s="60"/>
      <c r="C1354" s="128" t="s">
        <v>3039</v>
      </c>
      <c r="D1354" s="126"/>
      <c r="E1354" s="127"/>
      <c r="F1354" s="135" t="s">
        <v>76</v>
      </c>
      <c r="G1354" s="135"/>
      <c r="H1354" s="140">
        <f>26-0.6-1.7-1.2-0.2-0.2-1-2.1</f>
        <v>19</v>
      </c>
      <c r="I1354" s="141"/>
    </row>
    <row r="1355" spans="1:9" s="17" customFormat="1" ht="12.75" customHeight="1" x14ac:dyDescent="0.2">
      <c r="A1355" s="65">
        <v>1346</v>
      </c>
      <c r="B1355" s="60" t="s">
        <v>3540</v>
      </c>
      <c r="C1355" s="120" t="s">
        <v>4946</v>
      </c>
      <c r="D1355" s="120"/>
      <c r="E1355" s="120"/>
      <c r="F1355" s="124" t="s">
        <v>85</v>
      </c>
      <c r="G1355" s="124"/>
      <c r="H1355" s="115">
        <v>27.7</v>
      </c>
      <c r="I1355" s="116"/>
    </row>
    <row r="1356" spans="1:9" s="17" customFormat="1" ht="12.75" customHeight="1" x14ac:dyDescent="0.2">
      <c r="A1356" s="65">
        <v>1347</v>
      </c>
      <c r="B1356" s="60"/>
      <c r="C1356" s="120" t="s">
        <v>1350</v>
      </c>
      <c r="D1356" s="120"/>
      <c r="E1356" s="120"/>
      <c r="F1356" s="124" t="s">
        <v>85</v>
      </c>
      <c r="G1356" s="124"/>
      <c r="H1356" s="140">
        <f>15.4-0.2</f>
        <v>15.200000000000001</v>
      </c>
      <c r="I1356" s="141"/>
    </row>
    <row r="1357" spans="1:9" s="17" customFormat="1" ht="12.75" customHeight="1" x14ac:dyDescent="0.2">
      <c r="A1357" s="65">
        <v>1348</v>
      </c>
      <c r="B1357" s="60"/>
      <c r="C1357" s="120" t="s">
        <v>5127</v>
      </c>
      <c r="D1357" s="120"/>
      <c r="E1357" s="120"/>
      <c r="F1357" s="135" t="s">
        <v>76</v>
      </c>
      <c r="G1357" s="135"/>
      <c r="H1357" s="140">
        <f>30.8-10-1+0.1-3.1</f>
        <v>16.8</v>
      </c>
      <c r="I1357" s="141"/>
    </row>
    <row r="1358" spans="1:9" s="17" customFormat="1" ht="12.75" customHeight="1" x14ac:dyDescent="0.2">
      <c r="A1358" s="65">
        <v>1349</v>
      </c>
      <c r="B1358" s="60"/>
      <c r="C1358" s="120" t="s">
        <v>3186</v>
      </c>
      <c r="D1358" s="120"/>
      <c r="E1358" s="120"/>
      <c r="F1358" s="135" t="s">
        <v>76</v>
      </c>
      <c r="G1358" s="135"/>
      <c r="H1358" s="140">
        <f>136-5-1-5.3-1-0.5-6.8-1-9.5-1-0.3-0.9</f>
        <v>103.7</v>
      </c>
      <c r="I1358" s="141"/>
    </row>
    <row r="1359" spans="1:9" s="17" customFormat="1" ht="12.75" customHeight="1" x14ac:dyDescent="0.2">
      <c r="A1359" s="65">
        <v>1350</v>
      </c>
      <c r="B1359" s="60"/>
      <c r="C1359" s="120" t="s">
        <v>2908</v>
      </c>
      <c r="D1359" s="120"/>
      <c r="E1359" s="120"/>
      <c r="F1359" s="124" t="s">
        <v>43</v>
      </c>
      <c r="G1359" s="124"/>
      <c r="H1359" s="140">
        <f>6.3-1.3</f>
        <v>5</v>
      </c>
      <c r="I1359" s="141"/>
    </row>
    <row r="1360" spans="1:9" s="17" customFormat="1" ht="12.75" customHeight="1" x14ac:dyDescent="0.2">
      <c r="A1360" s="65">
        <v>1351</v>
      </c>
      <c r="B1360" s="60"/>
      <c r="C1360" s="120" t="s">
        <v>2157</v>
      </c>
      <c r="D1360" s="120"/>
      <c r="E1360" s="120"/>
      <c r="F1360" s="124" t="s">
        <v>2158</v>
      </c>
      <c r="G1360" s="124"/>
      <c r="H1360" s="140">
        <v>5</v>
      </c>
      <c r="I1360" s="141"/>
    </row>
    <row r="1361" spans="1:9" s="17" customFormat="1" ht="12.75" customHeight="1" x14ac:dyDescent="0.2">
      <c r="A1361" s="65">
        <v>1352</v>
      </c>
      <c r="B1361" s="60"/>
      <c r="C1361" s="120" t="s">
        <v>4831</v>
      </c>
      <c r="D1361" s="120"/>
      <c r="E1361" s="120"/>
      <c r="F1361" s="135" t="s">
        <v>76</v>
      </c>
      <c r="G1361" s="135"/>
      <c r="H1361" s="140">
        <f>166.4-5-1.2-5-15.8-1.2-1.2-4.8-16.5-5-5.3-1-6.2-1-36.7-1.2-0.5</f>
        <v>58.800000000000011</v>
      </c>
      <c r="I1361" s="141"/>
    </row>
    <row r="1362" spans="1:9" s="17" customFormat="1" ht="12.75" customHeight="1" x14ac:dyDescent="0.2">
      <c r="A1362" s="65">
        <v>1353</v>
      </c>
      <c r="B1362" s="60"/>
      <c r="C1362" s="120" t="s">
        <v>5039</v>
      </c>
      <c r="D1362" s="120"/>
      <c r="E1362" s="120"/>
      <c r="F1362" s="135" t="s">
        <v>76</v>
      </c>
      <c r="G1362" s="135"/>
      <c r="H1362" s="140">
        <f>10.2+12.3-1.2-11.1</f>
        <v>10.200000000000001</v>
      </c>
      <c r="I1362" s="141"/>
    </row>
    <row r="1363" spans="1:9" s="17" customFormat="1" ht="12.75" customHeight="1" x14ac:dyDescent="0.2">
      <c r="A1363" s="65">
        <v>1354</v>
      </c>
      <c r="B1363" s="60">
        <v>7</v>
      </c>
      <c r="C1363" s="120" t="s">
        <v>1441</v>
      </c>
      <c r="D1363" s="120"/>
      <c r="E1363" s="120"/>
      <c r="F1363" s="124" t="s">
        <v>125</v>
      </c>
      <c r="G1363" s="124"/>
      <c r="H1363" s="140">
        <v>400</v>
      </c>
      <c r="I1363" s="141"/>
    </row>
    <row r="1364" spans="1:9" s="17" customFormat="1" ht="12.75" customHeight="1" x14ac:dyDescent="0.2">
      <c r="A1364" s="65">
        <v>1355</v>
      </c>
      <c r="B1364" s="60"/>
      <c r="C1364" s="120" t="s">
        <v>3288</v>
      </c>
      <c r="D1364" s="120"/>
      <c r="E1364" s="120"/>
      <c r="F1364" s="135" t="s">
        <v>76</v>
      </c>
      <c r="G1364" s="135"/>
      <c r="H1364" s="140">
        <f>11-1-1.8-1-1-2.4</f>
        <v>3.7999999999999994</v>
      </c>
      <c r="I1364" s="141"/>
    </row>
    <row r="1365" spans="1:9" s="17" customFormat="1" ht="12.75" customHeight="1" x14ac:dyDescent="0.2">
      <c r="A1365" s="65">
        <v>1356</v>
      </c>
      <c r="B1365" s="60"/>
      <c r="C1365" s="120" t="s">
        <v>4832</v>
      </c>
      <c r="D1365" s="120"/>
      <c r="E1365" s="120"/>
      <c r="F1365" s="135" t="s">
        <v>76</v>
      </c>
      <c r="G1365" s="135"/>
      <c r="H1365" s="140">
        <f>333.6-4.3-5-1-1-3-1-2.5-1-16-1-1-1-0.7</f>
        <v>295.10000000000002</v>
      </c>
      <c r="I1365" s="141"/>
    </row>
    <row r="1366" spans="1:9" s="17" customFormat="1" ht="12.75" customHeight="1" x14ac:dyDescent="0.2">
      <c r="A1366" s="65">
        <v>1357</v>
      </c>
      <c r="B1366" s="60"/>
      <c r="C1366" s="120" t="s">
        <v>2497</v>
      </c>
      <c r="D1366" s="120"/>
      <c r="E1366" s="120"/>
      <c r="F1366" s="135" t="s">
        <v>76</v>
      </c>
      <c r="G1366" s="135"/>
      <c r="H1366" s="140">
        <f>12.8-1-4.7</f>
        <v>7.1000000000000005</v>
      </c>
      <c r="I1366" s="141"/>
    </row>
    <row r="1367" spans="1:9" s="17" customFormat="1" ht="12.75" customHeight="1" x14ac:dyDescent="0.2">
      <c r="A1367" s="65">
        <v>1358</v>
      </c>
      <c r="B1367" s="60"/>
      <c r="C1367" s="120" t="s">
        <v>4582</v>
      </c>
      <c r="D1367" s="120"/>
      <c r="E1367" s="120"/>
      <c r="F1367" s="135" t="s">
        <v>76</v>
      </c>
      <c r="G1367" s="135"/>
      <c r="H1367" s="140">
        <f>4.5-1</f>
        <v>3.5</v>
      </c>
      <c r="I1367" s="141"/>
    </row>
    <row r="1368" spans="1:9" s="17" customFormat="1" ht="12.75" customHeight="1" x14ac:dyDescent="0.2">
      <c r="A1368" s="65">
        <v>1359</v>
      </c>
      <c r="B1368" s="60"/>
      <c r="C1368" s="120" t="s">
        <v>4824</v>
      </c>
      <c r="D1368" s="120"/>
      <c r="E1368" s="120"/>
      <c r="F1368" s="124" t="s">
        <v>13</v>
      </c>
      <c r="G1368" s="124"/>
      <c r="H1368" s="140">
        <f>12.3-1.2</f>
        <v>11.100000000000001</v>
      </c>
      <c r="I1368" s="141"/>
    </row>
    <row r="1369" spans="1:9" s="17" customFormat="1" ht="12.75" customHeight="1" x14ac:dyDescent="0.2">
      <c r="A1369" s="65">
        <v>1360</v>
      </c>
      <c r="B1369" s="60"/>
      <c r="C1369" s="120" t="s">
        <v>3014</v>
      </c>
      <c r="D1369" s="120"/>
      <c r="E1369" s="120"/>
      <c r="F1369" s="135" t="s">
        <v>76</v>
      </c>
      <c r="G1369" s="135"/>
      <c r="H1369" s="140">
        <f>42.5-2-15-1.6</f>
        <v>23.9</v>
      </c>
      <c r="I1369" s="141"/>
    </row>
    <row r="1370" spans="1:9" s="17" customFormat="1" ht="12.75" customHeight="1" x14ac:dyDescent="0.2">
      <c r="A1370" s="65">
        <v>1361</v>
      </c>
      <c r="B1370" s="60"/>
      <c r="C1370" s="120" t="s">
        <v>1912</v>
      </c>
      <c r="D1370" s="120"/>
      <c r="E1370" s="120"/>
      <c r="F1370" s="135" t="s">
        <v>76</v>
      </c>
      <c r="G1370" s="135"/>
      <c r="H1370" s="140">
        <f>49.4-1.6-1.5-1-5-6-2</f>
        <v>32.299999999999997</v>
      </c>
      <c r="I1370" s="141"/>
    </row>
    <row r="1371" spans="1:9" s="17" customFormat="1" ht="12.75" customHeight="1" x14ac:dyDescent="0.2">
      <c r="A1371" s="65">
        <v>1362</v>
      </c>
      <c r="B1371" s="60"/>
      <c r="C1371" s="117" t="s">
        <v>2033</v>
      </c>
      <c r="D1371" s="118"/>
      <c r="E1371" s="119"/>
      <c r="F1371" s="125" t="s">
        <v>59</v>
      </c>
      <c r="G1371" s="125"/>
      <c r="H1371" s="115">
        <f>144.2-6-6-0.6-7-9.8-0.6-16-1.2-15.6-2.4-5-11.5-9.3</f>
        <v>53.2</v>
      </c>
      <c r="I1371" s="116"/>
    </row>
    <row r="1372" spans="1:9" s="17" customFormat="1" ht="12.75" customHeight="1" x14ac:dyDescent="0.2">
      <c r="A1372" s="65">
        <v>1363</v>
      </c>
      <c r="B1372" s="60"/>
      <c r="C1372" s="117" t="s">
        <v>2034</v>
      </c>
      <c r="D1372" s="118"/>
      <c r="E1372" s="119"/>
      <c r="F1372" s="125" t="s">
        <v>59</v>
      </c>
      <c r="G1372" s="125"/>
      <c r="H1372" s="115">
        <f>39.9-1.9-12.1</f>
        <v>25.9</v>
      </c>
      <c r="I1372" s="116"/>
    </row>
    <row r="1373" spans="1:9" s="17" customFormat="1" ht="12.75" customHeight="1" x14ac:dyDescent="0.2">
      <c r="A1373" s="65">
        <v>1364</v>
      </c>
      <c r="B1373" s="60"/>
      <c r="C1373" s="112" t="s">
        <v>2454</v>
      </c>
      <c r="D1373" s="112"/>
      <c r="E1373" s="112"/>
      <c r="F1373" s="125" t="s">
        <v>57</v>
      </c>
      <c r="G1373" s="125"/>
      <c r="H1373" s="115">
        <v>8</v>
      </c>
      <c r="I1373" s="116"/>
    </row>
    <row r="1374" spans="1:9" s="17" customFormat="1" ht="11.25" customHeight="1" x14ac:dyDescent="0.2">
      <c r="A1374" s="65">
        <v>1365</v>
      </c>
      <c r="B1374" s="60"/>
      <c r="C1374" s="120" t="s">
        <v>932</v>
      </c>
      <c r="D1374" s="120"/>
      <c r="E1374" s="120"/>
      <c r="F1374" s="135" t="s">
        <v>59</v>
      </c>
      <c r="G1374" s="135"/>
      <c r="H1374" s="140">
        <f>129.8-11-11-5.7-11</f>
        <v>91.100000000000009</v>
      </c>
      <c r="I1374" s="141"/>
    </row>
    <row r="1375" spans="1:9" s="17" customFormat="1" ht="12.75" customHeight="1" x14ac:dyDescent="0.2">
      <c r="A1375" s="65">
        <v>1366</v>
      </c>
      <c r="B1375" s="60"/>
      <c r="C1375" s="112" t="s">
        <v>4736</v>
      </c>
      <c r="D1375" s="112"/>
      <c r="E1375" s="112"/>
      <c r="F1375" s="135" t="s">
        <v>76</v>
      </c>
      <c r="G1375" s="135"/>
      <c r="H1375" s="115">
        <f>239-12.4-25-25-12.6-12.7-12.5-37.8</f>
        <v>101.00000000000001</v>
      </c>
      <c r="I1375" s="116"/>
    </row>
    <row r="1376" spans="1:9" s="17" customFormat="1" ht="12.75" customHeight="1" x14ac:dyDescent="0.2">
      <c r="A1376" s="65">
        <v>1367</v>
      </c>
      <c r="B1376" s="60"/>
      <c r="C1376" s="112" t="s">
        <v>1201</v>
      </c>
      <c r="D1376" s="112"/>
      <c r="E1376" s="112"/>
      <c r="F1376" s="135" t="s">
        <v>76</v>
      </c>
      <c r="G1376" s="135"/>
      <c r="H1376" s="115">
        <f>26-13+12.6+24-24.6+12.4-13+11.7-12.4-12+36-11.7-12</f>
        <v>24</v>
      </c>
      <c r="I1376" s="116"/>
    </row>
    <row r="1377" spans="1:9" s="17" customFormat="1" ht="12.75" customHeight="1" x14ac:dyDescent="0.2">
      <c r="A1377" s="65">
        <v>1368</v>
      </c>
      <c r="B1377" s="60"/>
      <c r="C1377" s="112" t="s">
        <v>2729</v>
      </c>
      <c r="D1377" s="112"/>
      <c r="E1377" s="112"/>
      <c r="F1377" s="135" t="s">
        <v>76</v>
      </c>
      <c r="G1377" s="135"/>
      <c r="H1377" s="115">
        <f>98-14-14-14</f>
        <v>56</v>
      </c>
      <c r="I1377" s="116"/>
    </row>
    <row r="1378" spans="1:9" s="17" customFormat="1" ht="12.75" customHeight="1" x14ac:dyDescent="0.2">
      <c r="A1378" s="65">
        <v>1369</v>
      </c>
      <c r="B1378" s="60"/>
      <c r="C1378" s="112" t="s">
        <v>996</v>
      </c>
      <c r="D1378" s="112"/>
      <c r="E1378" s="112"/>
      <c r="F1378" s="135" t="s">
        <v>76</v>
      </c>
      <c r="G1378" s="135"/>
      <c r="H1378" s="115">
        <v>80.7</v>
      </c>
      <c r="I1378" s="116"/>
    </row>
    <row r="1379" spans="1:9" s="17" customFormat="1" ht="12.75" customHeight="1" x14ac:dyDescent="0.2">
      <c r="A1379" s="65">
        <v>1370</v>
      </c>
      <c r="B1379" s="60"/>
      <c r="C1379" s="128" t="s">
        <v>1126</v>
      </c>
      <c r="D1379" s="126"/>
      <c r="E1379" s="127"/>
      <c r="F1379" s="125" t="s">
        <v>57</v>
      </c>
      <c r="G1379" s="125"/>
      <c r="H1379" s="115">
        <v>152.5</v>
      </c>
      <c r="I1379" s="116"/>
    </row>
    <row r="1380" spans="1:9" s="17" customFormat="1" ht="12.75" customHeight="1" x14ac:dyDescent="0.2">
      <c r="A1380" s="65">
        <v>1371</v>
      </c>
      <c r="B1380" s="60"/>
      <c r="C1380" s="128" t="s">
        <v>1335</v>
      </c>
      <c r="D1380" s="126"/>
      <c r="E1380" s="127"/>
      <c r="F1380" s="125" t="s">
        <v>57</v>
      </c>
      <c r="G1380" s="125"/>
      <c r="H1380" s="115">
        <f>34.9-7.5-3.3</f>
        <v>24.099999999999998</v>
      </c>
      <c r="I1380" s="116"/>
    </row>
    <row r="1381" spans="1:9" s="17" customFormat="1" ht="11.25" customHeight="1" x14ac:dyDescent="0.2">
      <c r="A1381" s="65">
        <v>1372</v>
      </c>
      <c r="B1381" s="60"/>
      <c r="C1381" s="112" t="s">
        <v>642</v>
      </c>
      <c r="D1381" s="112"/>
      <c r="E1381" s="112"/>
      <c r="F1381" s="135" t="s">
        <v>59</v>
      </c>
      <c r="G1381" s="135"/>
      <c r="H1381" s="115">
        <f>57.5-18.5-19.5</f>
        <v>19.5</v>
      </c>
      <c r="I1381" s="116"/>
    </row>
    <row r="1382" spans="1:9" s="17" customFormat="1" ht="12.75" customHeight="1" x14ac:dyDescent="0.2">
      <c r="A1382" s="65">
        <v>1373</v>
      </c>
      <c r="B1382" s="60"/>
      <c r="C1382" s="128" t="s">
        <v>1118</v>
      </c>
      <c r="D1382" s="126"/>
      <c r="E1382" s="127"/>
      <c r="F1382" s="125" t="s">
        <v>57</v>
      </c>
      <c r="G1382" s="125"/>
      <c r="H1382" s="115">
        <v>19.2</v>
      </c>
      <c r="I1382" s="116"/>
    </row>
    <row r="1383" spans="1:9" s="17" customFormat="1" ht="11.25" customHeight="1" x14ac:dyDescent="0.2">
      <c r="A1383" s="65">
        <v>1374</v>
      </c>
      <c r="B1383" s="60"/>
      <c r="C1383" s="120" t="s">
        <v>4314</v>
      </c>
      <c r="D1383" s="120"/>
      <c r="E1383" s="120"/>
      <c r="F1383" s="135" t="s">
        <v>57</v>
      </c>
      <c r="G1383" s="135"/>
      <c r="H1383" s="140">
        <f>94.7-31.1-6.4-3.2</f>
        <v>54</v>
      </c>
      <c r="I1383" s="141"/>
    </row>
    <row r="1384" spans="1:9" s="17" customFormat="1" ht="11.25" customHeight="1" x14ac:dyDescent="0.2">
      <c r="A1384" s="65">
        <v>1375</v>
      </c>
      <c r="B1384" s="60"/>
      <c r="C1384" s="120" t="s">
        <v>2151</v>
      </c>
      <c r="D1384" s="120"/>
      <c r="E1384" s="120"/>
      <c r="F1384" s="135" t="s">
        <v>57</v>
      </c>
      <c r="G1384" s="135"/>
      <c r="H1384" s="140">
        <f>93.2-1.3-7.4-7.5-2.5-3.5-6-2.6-1.3-5.2-1.3-2.6-5-3-2.5-1.3-1.2-1.3-1.3-1.3-1.3-1.3-1.3-1.3</f>
        <v>29.900000000000013</v>
      </c>
      <c r="I1384" s="141"/>
    </row>
    <row r="1385" spans="1:9" s="17" customFormat="1" ht="11.25" customHeight="1" x14ac:dyDescent="0.2">
      <c r="A1385" s="65">
        <v>1376</v>
      </c>
      <c r="B1385" s="60"/>
      <c r="C1385" s="120" t="s">
        <v>3292</v>
      </c>
      <c r="D1385" s="120"/>
      <c r="E1385" s="120"/>
      <c r="F1385" s="124" t="s">
        <v>162</v>
      </c>
      <c r="G1385" s="124"/>
      <c r="H1385" s="140">
        <f>169.3-12.1-12.1-12.2</f>
        <v>132.90000000000003</v>
      </c>
      <c r="I1385" s="141"/>
    </row>
    <row r="1386" spans="1:9" s="17" customFormat="1" ht="12.75" customHeight="1" x14ac:dyDescent="0.2">
      <c r="A1386" s="65">
        <v>1377</v>
      </c>
      <c r="B1386" s="60"/>
      <c r="C1386" s="112" t="s">
        <v>1407</v>
      </c>
      <c r="D1386" s="112"/>
      <c r="E1386" s="112"/>
      <c r="F1386" s="124" t="s">
        <v>504</v>
      </c>
      <c r="G1386" s="124"/>
      <c r="H1386" s="115">
        <f>523+11.8-11.8-41-40.3-148+3.3-27-13.5</f>
        <v>256.5</v>
      </c>
      <c r="I1386" s="116"/>
    </row>
    <row r="1387" spans="1:9" s="17" customFormat="1" ht="12.75" customHeight="1" x14ac:dyDescent="0.2">
      <c r="A1387" s="65">
        <v>1378</v>
      </c>
      <c r="B1387" s="60"/>
      <c r="C1387" s="112" t="s">
        <v>4215</v>
      </c>
      <c r="D1387" s="112"/>
      <c r="E1387" s="112"/>
      <c r="F1387" s="124" t="s">
        <v>271</v>
      </c>
      <c r="G1387" s="124"/>
      <c r="H1387" s="115">
        <f>166.4-76.8-12.8</f>
        <v>76.800000000000011</v>
      </c>
      <c r="I1387" s="116"/>
    </row>
    <row r="1388" spans="1:9" s="17" customFormat="1" ht="12.75" customHeight="1" x14ac:dyDescent="0.2">
      <c r="A1388" s="65">
        <v>1379</v>
      </c>
      <c r="B1388" s="60"/>
      <c r="C1388" s="120" t="s">
        <v>3219</v>
      </c>
      <c r="D1388" s="120"/>
      <c r="E1388" s="120"/>
      <c r="F1388" s="121" t="s">
        <v>43</v>
      </c>
      <c r="G1388" s="122"/>
      <c r="H1388" s="115">
        <v>6.8</v>
      </c>
      <c r="I1388" s="116"/>
    </row>
    <row r="1389" spans="1:9" s="17" customFormat="1" ht="12.75" customHeight="1" x14ac:dyDescent="0.2">
      <c r="A1389" s="65">
        <v>1380</v>
      </c>
      <c r="B1389" s="60"/>
      <c r="C1389" s="120" t="s">
        <v>2730</v>
      </c>
      <c r="D1389" s="120"/>
      <c r="E1389" s="120"/>
      <c r="F1389" s="121" t="s">
        <v>43</v>
      </c>
      <c r="G1389" s="122"/>
      <c r="H1389" s="115">
        <f>82+7.4-7.6-7.5-14.9+1-3.8-1+29.5-51.8-7.2-3.8</f>
        <v>22.300000000000026</v>
      </c>
      <c r="I1389" s="116"/>
    </row>
    <row r="1390" spans="1:9" s="17" customFormat="1" ht="12.75" customHeight="1" x14ac:dyDescent="0.2">
      <c r="A1390" s="65">
        <v>1381</v>
      </c>
      <c r="B1390" s="60"/>
      <c r="C1390" s="120" t="s">
        <v>1176</v>
      </c>
      <c r="D1390" s="120"/>
      <c r="E1390" s="120"/>
      <c r="F1390" s="121" t="s">
        <v>43</v>
      </c>
      <c r="G1390" s="122"/>
      <c r="H1390" s="115">
        <v>5.4</v>
      </c>
      <c r="I1390" s="116"/>
    </row>
    <row r="1391" spans="1:9" s="17" customFormat="1" ht="27" customHeight="1" x14ac:dyDescent="0.2">
      <c r="A1391" s="65">
        <v>1382</v>
      </c>
      <c r="B1391" s="60"/>
      <c r="C1391" s="128" t="s">
        <v>1382</v>
      </c>
      <c r="D1391" s="126"/>
      <c r="E1391" s="127"/>
      <c r="F1391" s="121" t="s">
        <v>200</v>
      </c>
      <c r="G1391" s="122"/>
      <c r="H1391" s="115">
        <v>50.7</v>
      </c>
      <c r="I1391" s="116"/>
    </row>
    <row r="1392" spans="1:9" s="17" customFormat="1" ht="12.75" customHeight="1" x14ac:dyDescent="0.2">
      <c r="A1392" s="65">
        <v>1383</v>
      </c>
      <c r="B1392" s="60"/>
      <c r="C1392" s="128" t="s">
        <v>1383</v>
      </c>
      <c r="D1392" s="126"/>
      <c r="E1392" s="127"/>
      <c r="F1392" s="121" t="s">
        <v>200</v>
      </c>
      <c r="G1392" s="122"/>
      <c r="H1392" s="115">
        <v>35.700000000000003</v>
      </c>
      <c r="I1392" s="116"/>
    </row>
    <row r="1393" spans="1:9" s="17" customFormat="1" ht="12.75" customHeight="1" x14ac:dyDescent="0.2">
      <c r="A1393" s="65">
        <v>1384</v>
      </c>
      <c r="B1393" s="60"/>
      <c r="C1393" s="128" t="s">
        <v>3025</v>
      </c>
      <c r="D1393" s="126"/>
      <c r="E1393" s="127"/>
      <c r="F1393" s="121" t="s">
        <v>200</v>
      </c>
      <c r="G1393" s="122"/>
      <c r="H1393" s="115">
        <f>10-2.5</f>
        <v>7.5</v>
      </c>
      <c r="I1393" s="116"/>
    </row>
    <row r="1394" spans="1:9" s="17" customFormat="1" ht="12.75" customHeight="1" x14ac:dyDescent="0.2">
      <c r="A1394" s="65">
        <v>1385</v>
      </c>
      <c r="B1394" s="60"/>
      <c r="C1394" s="112" t="s">
        <v>2455</v>
      </c>
      <c r="D1394" s="112"/>
      <c r="E1394" s="112"/>
      <c r="F1394" s="124" t="s">
        <v>56</v>
      </c>
      <c r="G1394" s="124"/>
      <c r="H1394" s="115">
        <v>15.4</v>
      </c>
      <c r="I1394" s="116"/>
    </row>
    <row r="1395" spans="1:9" s="17" customFormat="1" ht="27" customHeight="1" x14ac:dyDescent="0.2">
      <c r="A1395" s="65">
        <v>1386</v>
      </c>
      <c r="B1395" s="60"/>
      <c r="C1395" s="128" t="s">
        <v>2563</v>
      </c>
      <c r="D1395" s="126"/>
      <c r="E1395" s="127"/>
      <c r="F1395" s="121" t="s">
        <v>200</v>
      </c>
      <c r="G1395" s="122"/>
      <c r="H1395" s="115">
        <f>60.5-8.2</f>
        <v>52.3</v>
      </c>
      <c r="I1395" s="116"/>
    </row>
    <row r="1396" spans="1:9" s="17" customFormat="1" ht="12.75" customHeight="1" x14ac:dyDescent="0.2">
      <c r="A1396" s="65">
        <v>1387</v>
      </c>
      <c r="B1396" s="60"/>
      <c r="C1396" s="117" t="s">
        <v>4612</v>
      </c>
      <c r="D1396" s="118"/>
      <c r="E1396" s="119"/>
      <c r="F1396" s="125" t="s">
        <v>62</v>
      </c>
      <c r="G1396" s="125"/>
      <c r="H1396" s="115">
        <f>316.3-15.8-16-15.8-31.7-31.9-32-16-16-32-16-16-7.8-7.6-16-16-8+2.3-7.9</f>
        <v>16.099999999999994</v>
      </c>
      <c r="I1396" s="116"/>
    </row>
    <row r="1397" spans="1:9" s="17" customFormat="1" ht="12.75" customHeight="1" x14ac:dyDescent="0.2">
      <c r="A1397" s="65">
        <v>1388</v>
      </c>
      <c r="B1397" s="60"/>
      <c r="C1397" s="117" t="s">
        <v>1208</v>
      </c>
      <c r="D1397" s="118"/>
      <c r="E1397" s="119"/>
      <c r="F1397" s="125" t="s">
        <v>62</v>
      </c>
      <c r="G1397" s="125"/>
      <c r="H1397" s="115">
        <f>227.5-15.2-31</f>
        <v>181.3</v>
      </c>
      <c r="I1397" s="116"/>
    </row>
    <row r="1398" spans="1:9" s="17" customFormat="1" ht="12.75" customHeight="1" x14ac:dyDescent="0.2">
      <c r="A1398" s="65">
        <v>1389</v>
      </c>
      <c r="B1398" s="60"/>
      <c r="C1398" s="117" t="s">
        <v>1437</v>
      </c>
      <c r="D1398" s="118"/>
      <c r="E1398" s="119"/>
      <c r="F1398" s="113" t="s">
        <v>62</v>
      </c>
      <c r="G1398" s="114"/>
      <c r="H1398" s="115">
        <v>24.4</v>
      </c>
      <c r="I1398" s="116"/>
    </row>
    <row r="1399" spans="1:9" s="17" customFormat="1" ht="12.75" customHeight="1" x14ac:dyDescent="0.2">
      <c r="A1399" s="65">
        <v>1390</v>
      </c>
      <c r="B1399" s="60"/>
      <c r="C1399" s="117" t="s">
        <v>1436</v>
      </c>
      <c r="D1399" s="118"/>
      <c r="E1399" s="119"/>
      <c r="F1399" s="125" t="s">
        <v>59</v>
      </c>
      <c r="G1399" s="125"/>
      <c r="H1399" s="115">
        <f>186-15.6</f>
        <v>170.4</v>
      </c>
      <c r="I1399" s="116"/>
    </row>
    <row r="1400" spans="1:9" s="17" customFormat="1" ht="12.75" customHeight="1" x14ac:dyDescent="0.2">
      <c r="A1400" s="65">
        <v>1391</v>
      </c>
      <c r="B1400" s="60"/>
      <c r="C1400" s="117" t="s">
        <v>2627</v>
      </c>
      <c r="D1400" s="118"/>
      <c r="E1400" s="119"/>
      <c r="F1400" s="125" t="s">
        <v>59</v>
      </c>
      <c r="G1400" s="125"/>
      <c r="H1400" s="115">
        <f>71-48+21.9+21.7-5.5-23+12.3+11.6+3.1-3.1-11.6</f>
        <v>50.399999999999991</v>
      </c>
      <c r="I1400" s="116"/>
    </row>
    <row r="1401" spans="1:9" s="17" customFormat="1" ht="12.75" customHeight="1" x14ac:dyDescent="0.2">
      <c r="A1401" s="65">
        <v>1392</v>
      </c>
      <c r="B1401" s="60"/>
      <c r="C1401" s="117" t="s">
        <v>5003</v>
      </c>
      <c r="D1401" s="118"/>
      <c r="E1401" s="119"/>
      <c r="F1401" s="125" t="s">
        <v>59</v>
      </c>
      <c r="G1401" s="125"/>
      <c r="H1401" s="115">
        <f>47.4-1.2-1-1.4-1.1-1-4-1.4-1.1</f>
        <v>35.199999999999996</v>
      </c>
      <c r="I1401" s="116"/>
    </row>
    <row r="1402" spans="1:9" s="17" customFormat="1" ht="12.75" customHeight="1" x14ac:dyDescent="0.2">
      <c r="A1402" s="65">
        <v>1393</v>
      </c>
      <c r="B1402" s="60"/>
      <c r="C1402" s="130" t="s">
        <v>2722</v>
      </c>
      <c r="D1402" s="131"/>
      <c r="E1402" s="132"/>
      <c r="F1402" s="121" t="s">
        <v>835</v>
      </c>
      <c r="G1402" s="122"/>
      <c r="H1402" s="115">
        <f>81.4-8.1-8.2-8-16.2+15.2-8-8.4-8-8</f>
        <v>23.70000000000001</v>
      </c>
      <c r="I1402" s="116"/>
    </row>
    <row r="1403" spans="1:9" s="17" customFormat="1" ht="12.75" customHeight="1" x14ac:dyDescent="0.2">
      <c r="A1403" s="65">
        <v>1394</v>
      </c>
      <c r="B1403" s="60"/>
      <c r="C1403" s="117" t="s">
        <v>2670</v>
      </c>
      <c r="D1403" s="118"/>
      <c r="E1403" s="119"/>
      <c r="F1403" s="124" t="s">
        <v>135</v>
      </c>
      <c r="G1403" s="124"/>
      <c r="H1403" s="115">
        <v>8.5</v>
      </c>
      <c r="I1403" s="116"/>
    </row>
    <row r="1404" spans="1:9" s="17" customFormat="1" ht="12.75" customHeight="1" x14ac:dyDescent="0.2">
      <c r="A1404" s="65">
        <v>1395</v>
      </c>
      <c r="B1404" s="60"/>
      <c r="C1404" s="112" t="s">
        <v>2202</v>
      </c>
      <c r="D1404" s="112"/>
      <c r="E1404" s="112"/>
      <c r="F1404" s="124" t="s">
        <v>31</v>
      </c>
      <c r="G1404" s="124"/>
      <c r="H1404" s="115">
        <v>150</v>
      </c>
      <c r="I1404" s="116"/>
    </row>
    <row r="1405" spans="1:9" s="17" customFormat="1" ht="12.75" customHeight="1" x14ac:dyDescent="0.2">
      <c r="A1405" s="65">
        <v>1396</v>
      </c>
      <c r="B1405" s="60"/>
      <c r="C1405" s="117" t="s">
        <v>2671</v>
      </c>
      <c r="D1405" s="118"/>
      <c r="E1405" s="119"/>
      <c r="F1405" s="124" t="s">
        <v>25</v>
      </c>
      <c r="G1405" s="124"/>
      <c r="H1405" s="115">
        <v>7.6</v>
      </c>
      <c r="I1405" s="116"/>
    </row>
    <row r="1406" spans="1:9" s="17" customFormat="1" ht="12.75" customHeight="1" x14ac:dyDescent="0.2">
      <c r="A1406" s="65">
        <v>1397</v>
      </c>
      <c r="B1406" s="60"/>
      <c r="C1406" s="112" t="s">
        <v>3422</v>
      </c>
      <c r="D1406" s="112"/>
      <c r="E1406" s="112"/>
      <c r="F1406" s="135" t="s">
        <v>62</v>
      </c>
      <c r="G1406" s="135"/>
      <c r="H1406" s="115">
        <f>378-207+18.7-18.7-18.7</f>
        <v>152.30000000000001</v>
      </c>
      <c r="I1406" s="116"/>
    </row>
    <row r="1407" spans="1:9" s="17" customFormat="1" ht="12.75" customHeight="1" x14ac:dyDescent="0.2">
      <c r="A1407" s="65">
        <v>1398</v>
      </c>
      <c r="B1407" s="60"/>
      <c r="C1407" s="128" t="s">
        <v>2959</v>
      </c>
      <c r="D1407" s="126"/>
      <c r="E1407" s="127"/>
      <c r="F1407" s="125" t="s">
        <v>57</v>
      </c>
      <c r="G1407" s="125"/>
      <c r="H1407" s="115">
        <f>25-2.9-2.5-2.2</f>
        <v>17.400000000000002</v>
      </c>
      <c r="I1407" s="116"/>
    </row>
    <row r="1408" spans="1:9" s="17" customFormat="1" ht="12.75" customHeight="1" x14ac:dyDescent="0.2">
      <c r="A1408" s="65">
        <v>1399</v>
      </c>
      <c r="B1408" s="60"/>
      <c r="C1408" s="130" t="s">
        <v>889</v>
      </c>
      <c r="D1408" s="131"/>
      <c r="E1408" s="132"/>
      <c r="F1408" s="121" t="s">
        <v>80</v>
      </c>
      <c r="G1408" s="122"/>
      <c r="H1408" s="115">
        <v>87.5</v>
      </c>
      <c r="I1408" s="116"/>
    </row>
    <row r="1409" spans="1:9" s="17" customFormat="1" ht="12.75" customHeight="1" x14ac:dyDescent="0.2">
      <c r="A1409" s="65">
        <v>1400</v>
      </c>
      <c r="B1409" s="60"/>
      <c r="C1409" s="112" t="s">
        <v>3805</v>
      </c>
      <c r="D1409" s="112"/>
      <c r="E1409" s="112"/>
      <c r="F1409" s="135" t="s">
        <v>62</v>
      </c>
      <c r="G1409" s="135"/>
      <c r="H1409" s="115">
        <f>33-3-6-3-3-3-3-3</f>
        <v>9</v>
      </c>
      <c r="I1409" s="116"/>
    </row>
    <row r="1410" spans="1:9" s="17" customFormat="1" ht="12.75" customHeight="1" x14ac:dyDescent="0.2">
      <c r="A1410" s="65">
        <v>1401</v>
      </c>
      <c r="B1410" s="60"/>
      <c r="C1410" s="128" t="s">
        <v>3182</v>
      </c>
      <c r="D1410" s="126"/>
      <c r="E1410" s="127"/>
      <c r="F1410" s="125" t="s">
        <v>57</v>
      </c>
      <c r="G1410" s="125"/>
      <c r="H1410" s="115">
        <f>284.5-12</f>
        <v>272.5</v>
      </c>
      <c r="I1410" s="116"/>
    </row>
    <row r="1411" spans="1:9" s="17" customFormat="1" ht="12.75" customHeight="1" x14ac:dyDescent="0.2">
      <c r="A1411" s="65">
        <v>1402</v>
      </c>
      <c r="B1411" s="60"/>
      <c r="C1411" s="128" t="s">
        <v>3701</v>
      </c>
      <c r="D1411" s="126"/>
      <c r="E1411" s="127"/>
      <c r="F1411" s="125" t="s">
        <v>57</v>
      </c>
      <c r="G1411" s="125"/>
      <c r="H1411" s="115">
        <f>219-36.5-36.5</f>
        <v>146</v>
      </c>
      <c r="I1411" s="116"/>
    </row>
    <row r="1412" spans="1:9" s="17" customFormat="1" ht="12.75" customHeight="1" x14ac:dyDescent="0.2">
      <c r="A1412" s="65">
        <v>1403</v>
      </c>
      <c r="B1412" s="60"/>
      <c r="C1412" s="128" t="s">
        <v>1119</v>
      </c>
      <c r="D1412" s="126"/>
      <c r="E1412" s="127"/>
      <c r="F1412" s="125" t="s">
        <v>57</v>
      </c>
      <c r="G1412" s="125"/>
      <c r="H1412" s="115">
        <v>283.8</v>
      </c>
      <c r="I1412" s="116"/>
    </row>
    <row r="1413" spans="1:9" s="17" customFormat="1" ht="11.25" x14ac:dyDescent="0.2">
      <c r="A1413" s="65">
        <v>1404</v>
      </c>
      <c r="B1413" s="60"/>
      <c r="C1413" s="120" t="s">
        <v>3700</v>
      </c>
      <c r="D1413" s="120"/>
      <c r="E1413" s="120"/>
      <c r="F1413" s="135" t="s">
        <v>57</v>
      </c>
      <c r="G1413" s="135"/>
      <c r="H1413" s="140">
        <f>212.2-10.5-10-8.5-10.4-8.7-10-10.4-10-10.4+0.9-7.5-8.4-3-4.2-7.1-17.7</f>
        <v>76.299999999999983</v>
      </c>
      <c r="I1413" s="141"/>
    </row>
    <row r="1414" spans="1:9" s="17" customFormat="1" ht="12.75" customHeight="1" x14ac:dyDescent="0.2">
      <c r="A1414" s="65">
        <v>1405</v>
      </c>
      <c r="B1414" s="60"/>
      <c r="C1414" s="128" t="s">
        <v>1360</v>
      </c>
      <c r="D1414" s="126"/>
      <c r="E1414" s="127"/>
      <c r="F1414" s="125" t="s">
        <v>57</v>
      </c>
      <c r="G1414" s="125"/>
      <c r="H1414" s="115">
        <v>11.5</v>
      </c>
      <c r="I1414" s="116"/>
    </row>
    <row r="1415" spans="1:9" s="17" customFormat="1" ht="12.75" customHeight="1" x14ac:dyDescent="0.2">
      <c r="A1415" s="65">
        <v>1406</v>
      </c>
      <c r="B1415" s="60"/>
      <c r="C1415" s="112" t="s">
        <v>2271</v>
      </c>
      <c r="D1415" s="112"/>
      <c r="E1415" s="112"/>
      <c r="F1415" s="124" t="s">
        <v>56</v>
      </c>
      <c r="G1415" s="124"/>
      <c r="H1415" s="115">
        <v>22.8</v>
      </c>
      <c r="I1415" s="116"/>
    </row>
    <row r="1416" spans="1:9" s="17" customFormat="1" ht="12.75" customHeight="1" x14ac:dyDescent="0.2">
      <c r="A1416" s="65">
        <v>1407</v>
      </c>
      <c r="B1416" s="60"/>
      <c r="C1416" s="112" t="s">
        <v>3433</v>
      </c>
      <c r="D1416" s="112"/>
      <c r="E1416" s="112"/>
      <c r="F1416" s="124" t="s">
        <v>2668</v>
      </c>
      <c r="G1416" s="124"/>
      <c r="H1416" s="115">
        <f>24-13.2</f>
        <v>10.8</v>
      </c>
      <c r="I1416" s="116"/>
    </row>
    <row r="1417" spans="1:9" s="17" customFormat="1" ht="12.75" customHeight="1" x14ac:dyDescent="0.2">
      <c r="A1417" s="65">
        <v>1408</v>
      </c>
      <c r="B1417" s="60"/>
      <c r="C1417" s="128" t="s">
        <v>850</v>
      </c>
      <c r="D1417" s="126"/>
      <c r="E1417" s="127"/>
      <c r="F1417" s="121" t="s">
        <v>200</v>
      </c>
      <c r="G1417" s="122"/>
      <c r="H1417" s="115">
        <v>13</v>
      </c>
      <c r="I1417" s="116"/>
    </row>
    <row r="1418" spans="1:9" s="17" customFormat="1" ht="12.75" customHeight="1" x14ac:dyDescent="0.2">
      <c r="A1418" s="65">
        <v>1409</v>
      </c>
      <c r="B1418" s="60"/>
      <c r="C1418" s="120" t="s">
        <v>5073</v>
      </c>
      <c r="D1418" s="120"/>
      <c r="E1418" s="120"/>
      <c r="F1418" s="121" t="s">
        <v>43</v>
      </c>
      <c r="G1418" s="122"/>
      <c r="H1418" s="115">
        <f>12.2+16.9-12.2</f>
        <v>16.899999999999999</v>
      </c>
      <c r="I1418" s="116"/>
    </row>
    <row r="1419" spans="1:9" s="17" customFormat="1" ht="12.75" customHeight="1" x14ac:dyDescent="0.2">
      <c r="A1419" s="65">
        <v>1410</v>
      </c>
      <c r="B1419" s="60"/>
      <c r="C1419" s="120" t="s">
        <v>5304</v>
      </c>
      <c r="D1419" s="120"/>
      <c r="E1419" s="120"/>
      <c r="F1419" s="124" t="s">
        <v>85</v>
      </c>
      <c r="G1419" s="124"/>
      <c r="H1419" s="115">
        <f>49.4-24.6-8.7</f>
        <v>16.099999999999998</v>
      </c>
      <c r="I1419" s="116"/>
    </row>
    <row r="1420" spans="1:9" s="17" customFormat="1" ht="12.75" customHeight="1" x14ac:dyDescent="0.2">
      <c r="A1420" s="65">
        <v>1411</v>
      </c>
      <c r="B1420" s="60"/>
      <c r="C1420" s="120" t="s">
        <v>1254</v>
      </c>
      <c r="D1420" s="120"/>
      <c r="E1420" s="120"/>
      <c r="F1420" s="124" t="s">
        <v>85</v>
      </c>
      <c r="G1420" s="124"/>
      <c r="H1420" s="115">
        <v>23.3</v>
      </c>
      <c r="I1420" s="116"/>
    </row>
    <row r="1421" spans="1:9" s="17" customFormat="1" ht="12.75" customHeight="1" x14ac:dyDescent="0.2">
      <c r="A1421" s="65">
        <v>1412</v>
      </c>
      <c r="B1421" s="60"/>
      <c r="C1421" s="120" t="s">
        <v>983</v>
      </c>
      <c r="D1421" s="120"/>
      <c r="E1421" s="120"/>
      <c r="F1421" s="124" t="s">
        <v>85</v>
      </c>
      <c r="G1421" s="124"/>
      <c r="H1421" s="115">
        <v>7.4</v>
      </c>
      <c r="I1421" s="116"/>
    </row>
    <row r="1422" spans="1:9" s="17" customFormat="1" ht="11.25" x14ac:dyDescent="0.2">
      <c r="A1422" s="65">
        <v>1413</v>
      </c>
      <c r="B1422" s="60"/>
      <c r="C1422" s="112" t="s">
        <v>3847</v>
      </c>
      <c r="D1422" s="112"/>
      <c r="E1422" s="112"/>
      <c r="F1422" s="135" t="s">
        <v>62</v>
      </c>
      <c r="G1422" s="135"/>
      <c r="H1422" s="115">
        <f>887.4-30.6-30.6-15.3-4.7-10.6-30.6</f>
        <v>764.99999999999989</v>
      </c>
      <c r="I1422" s="116"/>
    </row>
    <row r="1423" spans="1:9" s="17" customFormat="1" ht="11.25" x14ac:dyDescent="0.2">
      <c r="A1423" s="65">
        <v>1414</v>
      </c>
      <c r="B1423" s="60"/>
      <c r="C1423" s="112" t="s">
        <v>4439</v>
      </c>
      <c r="D1423" s="112"/>
      <c r="E1423" s="112"/>
      <c r="F1423" s="135" t="s">
        <v>62</v>
      </c>
      <c r="G1423" s="135"/>
      <c r="H1423" s="115">
        <f>26.7-1.8-7</f>
        <v>17.899999999999999</v>
      </c>
      <c r="I1423" s="116"/>
    </row>
    <row r="1424" spans="1:9" s="17" customFormat="1" ht="12.75" customHeight="1" x14ac:dyDescent="0.2">
      <c r="A1424" s="65">
        <v>1415</v>
      </c>
      <c r="B1424" s="60"/>
      <c r="C1424" s="112" t="s">
        <v>1499</v>
      </c>
      <c r="D1424" s="112"/>
      <c r="E1424" s="112"/>
      <c r="F1424" s="135" t="s">
        <v>62</v>
      </c>
      <c r="G1424" s="135"/>
      <c r="H1424" s="115">
        <f>44+18.6-6.2+14.9-14.9-10-6.2-6.2</f>
        <v>33.999999999999993</v>
      </c>
      <c r="I1424" s="116"/>
    </row>
    <row r="1425" spans="1:9" s="17" customFormat="1" ht="12.75" customHeight="1" x14ac:dyDescent="0.2">
      <c r="A1425" s="65">
        <v>1416</v>
      </c>
      <c r="B1425" s="60"/>
      <c r="C1425" s="128" t="s">
        <v>3848</v>
      </c>
      <c r="D1425" s="126"/>
      <c r="E1425" s="127"/>
      <c r="F1425" s="125" t="s">
        <v>57</v>
      </c>
      <c r="G1425" s="125"/>
      <c r="H1425" s="115">
        <v>156</v>
      </c>
      <c r="I1425" s="116"/>
    </row>
    <row r="1426" spans="1:9" s="17" customFormat="1" ht="12.75" customHeight="1" x14ac:dyDescent="0.2">
      <c r="A1426" s="65">
        <v>1417</v>
      </c>
      <c r="B1426" s="60"/>
      <c r="C1426" s="128" t="s">
        <v>3165</v>
      </c>
      <c r="D1426" s="126"/>
      <c r="E1426" s="127"/>
      <c r="F1426" s="125" t="s">
        <v>57</v>
      </c>
      <c r="G1426" s="125"/>
      <c r="H1426" s="115">
        <f>95.8-48.5+48-9.7-9.6-9.6+14.6-9.6+0.1-9.6-14.6</f>
        <v>47.3</v>
      </c>
      <c r="I1426" s="116"/>
    </row>
    <row r="1427" spans="1:9" s="17" customFormat="1" ht="12.75" customHeight="1" x14ac:dyDescent="0.2">
      <c r="A1427" s="65">
        <v>1418</v>
      </c>
      <c r="B1427" s="60"/>
      <c r="C1427" s="120" t="s">
        <v>314</v>
      </c>
      <c r="D1427" s="120"/>
      <c r="E1427" s="120"/>
      <c r="F1427" s="125" t="s">
        <v>76</v>
      </c>
      <c r="G1427" s="125"/>
      <c r="H1427" s="115"/>
      <c r="I1427" s="116"/>
    </row>
    <row r="1428" spans="1:9" s="17" customFormat="1" ht="28.5" customHeight="1" x14ac:dyDescent="0.2">
      <c r="A1428" s="65">
        <v>1419</v>
      </c>
      <c r="B1428" s="60" t="s">
        <v>4669</v>
      </c>
      <c r="C1428" s="112" t="s">
        <v>4818</v>
      </c>
      <c r="D1428" s="112"/>
      <c r="E1428" s="112"/>
      <c r="F1428" s="124" t="s">
        <v>56</v>
      </c>
      <c r="G1428" s="124"/>
      <c r="H1428" s="115">
        <f>24.6+93.8</f>
        <v>118.4</v>
      </c>
      <c r="I1428" s="116"/>
    </row>
    <row r="1429" spans="1:9" s="17" customFormat="1" x14ac:dyDescent="0.2">
      <c r="A1429" s="65">
        <v>1420</v>
      </c>
      <c r="B1429" s="60"/>
      <c r="C1429" s="112" t="s">
        <v>5070</v>
      </c>
      <c r="D1429" s="112"/>
      <c r="E1429" s="112"/>
      <c r="F1429" s="124" t="s">
        <v>56</v>
      </c>
      <c r="G1429" s="124"/>
      <c r="H1429" s="115">
        <f>197-10.8-8.4-16.8-8.4-14.8-29.3-18.2-3-20.8</f>
        <v>66.499999999999957</v>
      </c>
      <c r="I1429" s="116"/>
    </row>
    <row r="1430" spans="1:9" s="17" customFormat="1" ht="12.75" customHeight="1" x14ac:dyDescent="0.2">
      <c r="A1430" s="65">
        <v>1421</v>
      </c>
      <c r="B1430" s="60"/>
      <c r="C1430" s="112" t="s">
        <v>1050</v>
      </c>
      <c r="D1430" s="112"/>
      <c r="E1430" s="112"/>
      <c r="F1430" s="124" t="s">
        <v>200</v>
      </c>
      <c r="G1430" s="124"/>
      <c r="H1430" s="115">
        <v>9.5</v>
      </c>
      <c r="I1430" s="116"/>
    </row>
    <row r="1431" spans="1:9" s="17" customFormat="1" ht="12.75" customHeight="1" x14ac:dyDescent="0.2">
      <c r="A1431" s="65">
        <v>1422</v>
      </c>
      <c r="B1431" s="60"/>
      <c r="C1431" s="112" t="s">
        <v>1322</v>
      </c>
      <c r="D1431" s="112"/>
      <c r="E1431" s="112"/>
      <c r="F1431" s="124" t="s">
        <v>109</v>
      </c>
      <c r="G1431" s="124"/>
      <c r="H1431" s="115">
        <v>113.8</v>
      </c>
      <c r="I1431" s="116"/>
    </row>
    <row r="1432" spans="1:9" s="17" customFormat="1" ht="12.75" customHeight="1" x14ac:dyDescent="0.2">
      <c r="A1432" s="65">
        <v>1423</v>
      </c>
      <c r="B1432" s="60"/>
      <c r="C1432" s="128" t="s">
        <v>1049</v>
      </c>
      <c r="D1432" s="126"/>
      <c r="E1432" s="127"/>
      <c r="F1432" s="121" t="s">
        <v>107</v>
      </c>
      <c r="G1432" s="122"/>
      <c r="H1432" s="115">
        <f>39.5-5.4-8.1-5.4</f>
        <v>20.6</v>
      </c>
      <c r="I1432" s="116"/>
    </row>
    <row r="1433" spans="1:9" s="17" customFormat="1" ht="12.75" customHeight="1" x14ac:dyDescent="0.2">
      <c r="A1433" s="65">
        <v>1424</v>
      </c>
      <c r="B1433" s="60"/>
      <c r="C1433" s="130" t="s">
        <v>2577</v>
      </c>
      <c r="D1433" s="131"/>
      <c r="E1433" s="132"/>
      <c r="F1433" s="121" t="s">
        <v>85</v>
      </c>
      <c r="G1433" s="122"/>
      <c r="H1433" s="115">
        <f>42+11.4+8.5-8.5</f>
        <v>53.4</v>
      </c>
      <c r="I1433" s="116"/>
    </row>
    <row r="1434" spans="1:9" s="17" customFormat="1" ht="12.75" customHeight="1" x14ac:dyDescent="0.2">
      <c r="A1434" s="65">
        <v>1425</v>
      </c>
      <c r="B1434" s="60"/>
      <c r="C1434" s="120" t="s">
        <v>561</v>
      </c>
      <c r="D1434" s="120"/>
      <c r="E1434" s="120"/>
      <c r="F1434" s="124" t="s">
        <v>85</v>
      </c>
      <c r="G1434" s="124"/>
      <c r="H1434" s="115">
        <v>4.4000000000000004</v>
      </c>
      <c r="I1434" s="116"/>
    </row>
    <row r="1435" spans="1:9" s="17" customFormat="1" ht="12.75" customHeight="1" x14ac:dyDescent="0.2">
      <c r="A1435" s="65">
        <v>1426</v>
      </c>
      <c r="B1435" s="60"/>
      <c r="C1435" s="120" t="s">
        <v>999</v>
      </c>
      <c r="D1435" s="120"/>
      <c r="E1435" s="120"/>
      <c r="F1435" s="124" t="s">
        <v>85</v>
      </c>
      <c r="G1435" s="124"/>
      <c r="H1435" s="115">
        <v>37.9</v>
      </c>
      <c r="I1435" s="116"/>
    </row>
    <row r="1436" spans="1:9" s="17" customFormat="1" ht="12.75" customHeight="1" x14ac:dyDescent="0.2">
      <c r="A1436" s="65">
        <v>1427</v>
      </c>
      <c r="B1436" s="60"/>
      <c r="C1436" s="120" t="s">
        <v>884</v>
      </c>
      <c r="D1436" s="120"/>
      <c r="E1436" s="120"/>
      <c r="F1436" s="121" t="s">
        <v>43</v>
      </c>
      <c r="G1436" s="122"/>
      <c r="H1436" s="115">
        <v>19.2</v>
      </c>
      <c r="I1436" s="116"/>
    </row>
    <row r="1437" spans="1:9" s="17" customFormat="1" ht="12.75" customHeight="1" x14ac:dyDescent="0.2">
      <c r="A1437" s="65">
        <v>1428</v>
      </c>
      <c r="B1437" s="60"/>
      <c r="C1437" s="120" t="s">
        <v>4434</v>
      </c>
      <c r="D1437" s="120"/>
      <c r="E1437" s="120"/>
      <c r="F1437" s="121" t="s">
        <v>43</v>
      </c>
      <c r="G1437" s="122"/>
      <c r="H1437" s="115">
        <v>45.3</v>
      </c>
      <c r="I1437" s="116"/>
    </row>
    <row r="1438" spans="1:9" s="17" customFormat="1" ht="12.75" customHeight="1" x14ac:dyDescent="0.2">
      <c r="A1438" s="65">
        <v>1429</v>
      </c>
      <c r="B1438" s="60"/>
      <c r="C1438" s="112" t="s">
        <v>2669</v>
      </c>
      <c r="D1438" s="112"/>
      <c r="E1438" s="112"/>
      <c r="F1438" s="124" t="s">
        <v>2668</v>
      </c>
      <c r="G1438" s="124"/>
      <c r="H1438" s="115">
        <v>19.100000000000001</v>
      </c>
      <c r="I1438" s="116"/>
    </row>
    <row r="1439" spans="1:9" s="17" customFormat="1" ht="12.75" customHeight="1" x14ac:dyDescent="0.2">
      <c r="A1439" s="65">
        <v>1430</v>
      </c>
      <c r="B1439" s="60">
        <v>6</v>
      </c>
      <c r="C1439" s="128" t="s">
        <v>4521</v>
      </c>
      <c r="D1439" s="126"/>
      <c r="E1439" s="127"/>
      <c r="F1439" s="125" t="s">
        <v>62</v>
      </c>
      <c r="G1439" s="125"/>
      <c r="H1439" s="115">
        <f>630-210</f>
        <v>420</v>
      </c>
      <c r="I1439" s="116"/>
    </row>
    <row r="1440" spans="1:9" s="17" customFormat="1" ht="12.75" customHeight="1" x14ac:dyDescent="0.2">
      <c r="A1440" s="65">
        <v>1431</v>
      </c>
      <c r="B1440" s="60"/>
      <c r="C1440" s="128" t="s">
        <v>1551</v>
      </c>
      <c r="D1440" s="126"/>
      <c r="E1440" s="127"/>
      <c r="F1440" s="125" t="s">
        <v>62</v>
      </c>
      <c r="G1440" s="125"/>
      <c r="H1440" s="115">
        <v>91.7</v>
      </c>
      <c r="I1440" s="116"/>
    </row>
    <row r="1441" spans="1:9" s="17" customFormat="1" ht="12.75" customHeight="1" x14ac:dyDescent="0.2">
      <c r="A1441" s="65">
        <v>1432</v>
      </c>
      <c r="B1441" s="60"/>
      <c r="C1441" s="128" t="s">
        <v>1113</v>
      </c>
      <c r="D1441" s="126"/>
      <c r="E1441" s="127"/>
      <c r="F1441" s="125" t="s">
        <v>62</v>
      </c>
      <c r="G1441" s="125"/>
      <c r="H1441" s="115">
        <f>324.5+109-215.5+47-109-47+47.6-36.5-47.6+169-45.5-54+30.8-30.8-69.5</f>
        <v>72.5</v>
      </c>
      <c r="I1441" s="116"/>
    </row>
    <row r="1442" spans="1:9" s="17" customFormat="1" ht="29.25" customHeight="1" x14ac:dyDescent="0.2">
      <c r="A1442" s="65">
        <v>1433</v>
      </c>
      <c r="B1442" s="60"/>
      <c r="C1442" s="128" t="s">
        <v>4618</v>
      </c>
      <c r="D1442" s="126"/>
      <c r="E1442" s="127"/>
      <c r="F1442" s="125" t="s">
        <v>76</v>
      </c>
      <c r="G1442" s="125"/>
      <c r="H1442" s="115">
        <f>64.2+323-258.3+0.3-6.5-5-53.5</f>
        <v>64.199999999999989</v>
      </c>
      <c r="I1442" s="116"/>
    </row>
    <row r="1443" spans="1:9" s="17" customFormat="1" ht="27" customHeight="1" x14ac:dyDescent="0.2">
      <c r="A1443" s="65">
        <v>1434</v>
      </c>
      <c r="B1443" s="60">
        <v>6</v>
      </c>
      <c r="C1443" s="128" t="s">
        <v>3849</v>
      </c>
      <c r="D1443" s="126"/>
      <c r="E1443" s="127"/>
      <c r="F1443" s="125" t="s">
        <v>76</v>
      </c>
      <c r="G1443" s="125"/>
      <c r="H1443" s="115">
        <f>440-64-247.6</f>
        <v>128.4</v>
      </c>
      <c r="I1443" s="116"/>
    </row>
    <row r="1444" spans="1:9" s="17" customFormat="1" ht="30.75" customHeight="1" x14ac:dyDescent="0.2">
      <c r="A1444" s="65">
        <v>1435</v>
      </c>
      <c r="B1444" s="60">
        <v>6</v>
      </c>
      <c r="C1444" s="128" t="s">
        <v>3850</v>
      </c>
      <c r="D1444" s="126"/>
      <c r="E1444" s="127"/>
      <c r="F1444" s="125" t="s">
        <v>76</v>
      </c>
      <c r="G1444" s="125"/>
      <c r="H1444" s="115">
        <f>1156-510</f>
        <v>646</v>
      </c>
      <c r="I1444" s="116"/>
    </row>
    <row r="1445" spans="1:9" s="17" customFormat="1" ht="29.25" customHeight="1" x14ac:dyDescent="0.2">
      <c r="A1445" s="65">
        <v>1436</v>
      </c>
      <c r="B1445" s="60" t="s">
        <v>4619</v>
      </c>
      <c r="C1445" s="128" t="s">
        <v>4620</v>
      </c>
      <c r="D1445" s="126"/>
      <c r="E1445" s="127"/>
      <c r="F1445" s="125" t="s">
        <v>76</v>
      </c>
      <c r="G1445" s="125"/>
      <c r="H1445" s="115">
        <f>247.6-124.4-61.7</f>
        <v>61.499999999999986</v>
      </c>
      <c r="I1445" s="116"/>
    </row>
    <row r="1446" spans="1:9" s="17" customFormat="1" ht="24" customHeight="1" x14ac:dyDescent="0.2">
      <c r="A1446" s="65">
        <v>1437</v>
      </c>
      <c r="B1446" s="60" t="s">
        <v>4619</v>
      </c>
      <c r="C1446" s="128" t="s">
        <v>4621</v>
      </c>
      <c r="D1446" s="126"/>
      <c r="E1446" s="127"/>
      <c r="F1446" s="113" t="s">
        <v>76</v>
      </c>
      <c r="G1446" s="114"/>
      <c r="H1446" s="115">
        <f>53.5+42</f>
        <v>95.5</v>
      </c>
      <c r="I1446" s="116"/>
    </row>
    <row r="1447" spans="1:9" s="17" customFormat="1" ht="12.75" customHeight="1" x14ac:dyDescent="0.2">
      <c r="A1447" s="65">
        <v>1438</v>
      </c>
      <c r="B1447" s="60"/>
      <c r="C1447" s="128" t="s">
        <v>1998</v>
      </c>
      <c r="D1447" s="126"/>
      <c r="E1447" s="127"/>
      <c r="F1447" s="125" t="s">
        <v>76</v>
      </c>
      <c r="G1447" s="125"/>
      <c r="H1447" s="115">
        <f>191.7-144.3</f>
        <v>47.399999999999977</v>
      </c>
      <c r="I1447" s="116"/>
    </row>
    <row r="1448" spans="1:9" s="17" customFormat="1" ht="12.75" customHeight="1" x14ac:dyDescent="0.2">
      <c r="A1448" s="65">
        <v>1439</v>
      </c>
      <c r="B1448" s="60"/>
      <c r="C1448" s="128" t="s">
        <v>1355</v>
      </c>
      <c r="D1448" s="126"/>
      <c r="E1448" s="127"/>
      <c r="F1448" s="125" t="s">
        <v>76</v>
      </c>
      <c r="G1448" s="125"/>
      <c r="H1448" s="115">
        <f>255.6-61.2-61.2+131.8-13.5-50.3-131.8+31+51.2-31</f>
        <v>120.59999999999997</v>
      </c>
      <c r="I1448" s="116"/>
    </row>
    <row r="1449" spans="1:9" s="17" customFormat="1" ht="12.75" customHeight="1" x14ac:dyDescent="0.2">
      <c r="A1449" s="65">
        <v>1440</v>
      </c>
      <c r="B1449" s="60" t="s">
        <v>5095</v>
      </c>
      <c r="C1449" s="128" t="s">
        <v>5097</v>
      </c>
      <c r="D1449" s="126"/>
      <c r="E1449" s="127"/>
      <c r="F1449" s="125" t="s">
        <v>62</v>
      </c>
      <c r="G1449" s="125"/>
      <c r="H1449" s="115">
        <v>41.9</v>
      </c>
      <c r="I1449" s="116"/>
    </row>
    <row r="1450" spans="1:9" s="17" customFormat="1" ht="27" customHeight="1" x14ac:dyDescent="0.2">
      <c r="A1450" s="65">
        <v>1441</v>
      </c>
      <c r="B1450" s="60"/>
      <c r="C1450" s="130" t="s">
        <v>3851</v>
      </c>
      <c r="D1450" s="131"/>
      <c r="E1450" s="132"/>
      <c r="F1450" s="125" t="s">
        <v>59</v>
      </c>
      <c r="G1450" s="125"/>
      <c r="H1450" s="115">
        <f>96.1-16.1+119.8+49.3-16.1-49.3+63.3+13.7-13.7-16.1+34.3-16.1+16.1-34.3-31.4-16.1-4.8-10.8-16.1+73.3-13-3-11.5</f>
        <v>197.5</v>
      </c>
      <c r="I1450" s="116"/>
    </row>
    <row r="1451" spans="1:9" s="17" customFormat="1" ht="12.75" customHeight="1" x14ac:dyDescent="0.2">
      <c r="A1451" s="65">
        <v>1442</v>
      </c>
      <c r="B1451" s="60"/>
      <c r="C1451" s="120" t="s">
        <v>3263</v>
      </c>
      <c r="D1451" s="120"/>
      <c r="E1451" s="120"/>
      <c r="F1451" s="125" t="s">
        <v>57</v>
      </c>
      <c r="G1451" s="125"/>
      <c r="H1451" s="115">
        <v>51</v>
      </c>
      <c r="I1451" s="116"/>
    </row>
    <row r="1452" spans="1:9" s="17" customFormat="1" ht="12.75" customHeight="1" x14ac:dyDescent="0.2">
      <c r="A1452" s="65">
        <v>1443</v>
      </c>
      <c r="B1452" s="60"/>
      <c r="C1452" s="130" t="s">
        <v>4628</v>
      </c>
      <c r="D1452" s="131"/>
      <c r="E1452" s="132"/>
      <c r="F1452" s="121" t="s">
        <v>835</v>
      </c>
      <c r="G1452" s="122"/>
      <c r="H1452" s="115">
        <f>385-41.4-20.3-3.5-20-16.8-20.3-20.3-3.5-3.5-13-20.5-20.5</f>
        <v>181.39999999999998</v>
      </c>
      <c r="I1452" s="116"/>
    </row>
    <row r="1453" spans="1:9" s="17" customFormat="1" ht="13.5" customHeight="1" x14ac:dyDescent="0.2">
      <c r="A1453" s="65">
        <v>1444</v>
      </c>
      <c r="B1453" s="60"/>
      <c r="C1453" s="112" t="s">
        <v>4554</v>
      </c>
      <c r="D1453" s="112"/>
      <c r="E1453" s="112"/>
      <c r="F1453" s="124" t="s">
        <v>55</v>
      </c>
      <c r="G1453" s="124"/>
      <c r="H1453" s="115">
        <v>252</v>
      </c>
      <c r="I1453" s="116"/>
    </row>
    <row r="1454" spans="1:9" s="17" customFormat="1" ht="12.75" customHeight="1" x14ac:dyDescent="0.2">
      <c r="A1454" s="65">
        <v>1445</v>
      </c>
      <c r="B1454" s="60"/>
      <c r="C1454" s="112" t="s">
        <v>923</v>
      </c>
      <c r="D1454" s="112"/>
      <c r="E1454" s="112"/>
      <c r="F1454" s="124" t="s">
        <v>33</v>
      </c>
      <c r="G1454" s="124"/>
      <c r="H1454" s="115">
        <f>191-24-23.7-47.7-24-0.2-23.7</f>
        <v>47.7</v>
      </c>
      <c r="I1454" s="116"/>
    </row>
    <row r="1455" spans="1:9" s="17" customFormat="1" ht="12.75" customHeight="1" x14ac:dyDescent="0.2">
      <c r="A1455" s="65">
        <v>1446</v>
      </c>
      <c r="B1455" s="60"/>
      <c r="C1455" s="120" t="s">
        <v>3359</v>
      </c>
      <c r="D1455" s="120"/>
      <c r="E1455" s="120"/>
      <c r="F1455" s="124" t="s">
        <v>33</v>
      </c>
      <c r="G1455" s="124"/>
      <c r="H1455" s="115">
        <f>186.7-3.7</f>
        <v>183</v>
      </c>
      <c r="I1455" s="116"/>
    </row>
    <row r="1456" spans="1:9" s="17" customFormat="1" ht="12.75" customHeight="1" x14ac:dyDescent="0.2">
      <c r="A1456" s="65">
        <v>1447</v>
      </c>
      <c r="B1456" s="60"/>
      <c r="C1456" s="112" t="s">
        <v>2787</v>
      </c>
      <c r="D1456" s="112"/>
      <c r="E1456" s="112"/>
      <c r="F1456" s="121" t="s">
        <v>56</v>
      </c>
      <c r="G1456" s="122"/>
      <c r="H1456" s="115">
        <f>72.7-15</f>
        <v>57.7</v>
      </c>
      <c r="I1456" s="116"/>
    </row>
    <row r="1457" spans="1:9" s="17" customFormat="1" ht="12.75" customHeight="1" x14ac:dyDescent="0.2">
      <c r="A1457" s="65">
        <v>1448</v>
      </c>
      <c r="B1457" s="60"/>
      <c r="C1457" s="112" t="s">
        <v>2751</v>
      </c>
      <c r="D1457" s="112"/>
      <c r="E1457" s="112"/>
      <c r="F1457" s="121" t="s">
        <v>56</v>
      </c>
      <c r="G1457" s="122"/>
      <c r="H1457" s="115">
        <v>49</v>
      </c>
      <c r="I1457" s="116"/>
    </row>
    <row r="1458" spans="1:9" s="17" customFormat="1" ht="12.75" customHeight="1" x14ac:dyDescent="0.2">
      <c r="A1458" s="65">
        <v>1449</v>
      </c>
      <c r="B1458" s="60" t="s">
        <v>4669</v>
      </c>
      <c r="C1458" s="112" t="s">
        <v>4670</v>
      </c>
      <c r="D1458" s="112"/>
      <c r="E1458" s="112"/>
      <c r="F1458" s="124" t="s">
        <v>56</v>
      </c>
      <c r="G1458" s="124"/>
      <c r="H1458" s="115">
        <v>14</v>
      </c>
      <c r="I1458" s="116"/>
    </row>
    <row r="1459" spans="1:9" s="17" customFormat="1" ht="12.75" customHeight="1" x14ac:dyDescent="0.2">
      <c r="A1459" s="65">
        <v>1450</v>
      </c>
      <c r="B1459" s="60"/>
      <c r="C1459" s="112" t="s">
        <v>3982</v>
      </c>
      <c r="D1459" s="112"/>
      <c r="E1459" s="112"/>
      <c r="F1459" s="124" t="s">
        <v>56</v>
      </c>
      <c r="G1459" s="124"/>
      <c r="H1459" s="115">
        <f>70.2-8.8-8.8-9.4+21-21+15.5-11-15.5-10.7-10.7</f>
        <v>10.800000000000018</v>
      </c>
      <c r="I1459" s="116"/>
    </row>
    <row r="1460" spans="1:9" s="17" customFormat="1" ht="12.75" customHeight="1" x14ac:dyDescent="0.2">
      <c r="A1460" s="65">
        <v>1451</v>
      </c>
      <c r="B1460" s="60"/>
      <c r="C1460" s="112" t="s">
        <v>2865</v>
      </c>
      <c r="D1460" s="112"/>
      <c r="E1460" s="112"/>
      <c r="F1460" s="124" t="s">
        <v>56</v>
      </c>
      <c r="G1460" s="124"/>
      <c r="H1460" s="115">
        <f>35.3-12.5-9.8+13.4</f>
        <v>26.4</v>
      </c>
      <c r="I1460" s="116"/>
    </row>
    <row r="1461" spans="1:9" s="17" customFormat="1" ht="12.75" customHeight="1" x14ac:dyDescent="0.2">
      <c r="A1461" s="65">
        <v>1452</v>
      </c>
      <c r="B1461" s="60"/>
      <c r="C1461" s="112" t="s">
        <v>562</v>
      </c>
      <c r="D1461" s="112"/>
      <c r="E1461" s="112"/>
      <c r="F1461" s="124" t="s">
        <v>25</v>
      </c>
      <c r="G1461" s="124"/>
      <c r="H1461" s="115">
        <v>4.2</v>
      </c>
      <c r="I1461" s="116"/>
    </row>
    <row r="1462" spans="1:9" s="17" customFormat="1" ht="12.75" customHeight="1" x14ac:dyDescent="0.2">
      <c r="A1462" s="65">
        <v>1453</v>
      </c>
      <c r="B1462" s="60"/>
      <c r="C1462" s="112" t="s">
        <v>2611</v>
      </c>
      <c r="D1462" s="112"/>
      <c r="E1462" s="112"/>
      <c r="F1462" s="124" t="s">
        <v>2610</v>
      </c>
      <c r="G1462" s="124"/>
      <c r="H1462" s="115">
        <v>22</v>
      </c>
      <c r="I1462" s="116"/>
    </row>
    <row r="1463" spans="1:9" s="17" customFormat="1" ht="12.75" customHeight="1" x14ac:dyDescent="0.2">
      <c r="A1463" s="65">
        <v>1454</v>
      </c>
      <c r="B1463" s="60"/>
      <c r="C1463" s="120" t="s">
        <v>3356</v>
      </c>
      <c r="D1463" s="120"/>
      <c r="E1463" s="120"/>
      <c r="F1463" s="121" t="s">
        <v>43</v>
      </c>
      <c r="G1463" s="122"/>
      <c r="H1463" s="115">
        <f>21.1-9.9</f>
        <v>11.200000000000001</v>
      </c>
      <c r="I1463" s="116"/>
    </row>
    <row r="1464" spans="1:9" s="17" customFormat="1" ht="12.75" customHeight="1" x14ac:dyDescent="0.2">
      <c r="A1464" s="65">
        <v>1455</v>
      </c>
      <c r="B1464" s="60"/>
      <c r="C1464" s="117" t="s">
        <v>1770</v>
      </c>
      <c r="D1464" s="118"/>
      <c r="E1464" s="119"/>
      <c r="F1464" s="124" t="s">
        <v>135</v>
      </c>
      <c r="G1464" s="124"/>
      <c r="H1464" s="115">
        <f>65.8-12.8</f>
        <v>53</v>
      </c>
      <c r="I1464" s="116"/>
    </row>
    <row r="1465" spans="1:9" s="17" customFormat="1" ht="12.75" customHeight="1" x14ac:dyDescent="0.2">
      <c r="A1465" s="65">
        <v>1456</v>
      </c>
      <c r="B1465" s="60"/>
      <c r="C1465" s="130" t="s">
        <v>4916</v>
      </c>
      <c r="D1465" s="131"/>
      <c r="E1465" s="132"/>
      <c r="F1465" s="121" t="s">
        <v>96</v>
      </c>
      <c r="G1465" s="122"/>
      <c r="H1465" s="115">
        <f>321-26.8-5-21.4-26.8-26.8-26.8-26.8-3.9</f>
        <v>156.69999999999996</v>
      </c>
      <c r="I1465" s="116"/>
    </row>
    <row r="1466" spans="1:9" s="17" customFormat="1" ht="12.75" customHeight="1" x14ac:dyDescent="0.2">
      <c r="A1466" s="65">
        <v>1457</v>
      </c>
      <c r="B1466" s="60"/>
      <c r="C1466" s="120" t="s">
        <v>489</v>
      </c>
      <c r="D1466" s="120"/>
      <c r="E1466" s="120"/>
      <c r="F1466" s="135" t="s">
        <v>76</v>
      </c>
      <c r="G1466" s="135"/>
      <c r="H1466" s="140"/>
      <c r="I1466" s="141"/>
    </row>
    <row r="1467" spans="1:9" s="17" customFormat="1" ht="11.25" x14ac:dyDescent="0.2">
      <c r="A1467" s="65">
        <v>1458</v>
      </c>
      <c r="B1467" s="60"/>
      <c r="C1467" s="112" t="s">
        <v>3906</v>
      </c>
      <c r="D1467" s="112"/>
      <c r="E1467" s="112"/>
      <c r="F1467" s="125" t="s">
        <v>59</v>
      </c>
      <c r="G1467" s="125"/>
      <c r="H1467" s="115">
        <f>130-15.5-30.5-8.9-15.5-30.5</f>
        <v>29.099999999999994</v>
      </c>
      <c r="I1467" s="116"/>
    </row>
    <row r="1468" spans="1:9" s="17" customFormat="1" ht="12.75" customHeight="1" x14ac:dyDescent="0.2">
      <c r="A1468" s="65">
        <v>1459</v>
      </c>
      <c r="B1468" s="60"/>
      <c r="C1468" s="128" t="s">
        <v>2612</v>
      </c>
      <c r="D1468" s="126"/>
      <c r="E1468" s="127"/>
      <c r="F1468" s="133" t="s">
        <v>603</v>
      </c>
      <c r="G1468" s="134"/>
      <c r="H1468" s="140">
        <f>82-41</f>
        <v>41</v>
      </c>
      <c r="I1468" s="141"/>
    </row>
    <row r="1469" spans="1:9" s="17" customFormat="1" ht="12.75" customHeight="1" x14ac:dyDescent="0.2">
      <c r="A1469" s="65">
        <v>1460</v>
      </c>
      <c r="B1469" s="60"/>
      <c r="C1469" s="120" t="s">
        <v>1224</v>
      </c>
      <c r="D1469" s="120"/>
      <c r="E1469" s="120"/>
      <c r="F1469" s="124" t="s">
        <v>457</v>
      </c>
      <c r="G1469" s="135"/>
      <c r="H1469" s="140">
        <v>90.6</v>
      </c>
      <c r="I1469" s="141"/>
    </row>
    <row r="1470" spans="1:9" s="17" customFormat="1" ht="12.75" customHeight="1" x14ac:dyDescent="0.2">
      <c r="A1470" s="65">
        <v>1461</v>
      </c>
      <c r="B1470" s="60"/>
      <c r="C1470" s="120" t="s">
        <v>4448</v>
      </c>
      <c r="D1470" s="120"/>
      <c r="E1470" s="120"/>
      <c r="F1470" s="121" t="s">
        <v>4447</v>
      </c>
      <c r="G1470" s="122"/>
      <c r="H1470" s="115">
        <v>195.7</v>
      </c>
      <c r="I1470" s="116"/>
    </row>
    <row r="1471" spans="1:9" s="17" customFormat="1" ht="12.75" customHeight="1" x14ac:dyDescent="0.2">
      <c r="A1471" s="65">
        <v>1462</v>
      </c>
      <c r="B1471" s="60"/>
      <c r="C1471" s="112" t="s">
        <v>2690</v>
      </c>
      <c r="D1471" s="112"/>
      <c r="E1471" s="112"/>
      <c r="F1471" s="124" t="s">
        <v>33</v>
      </c>
      <c r="G1471" s="124"/>
      <c r="H1471" s="115">
        <v>118.5</v>
      </c>
      <c r="I1471" s="116"/>
    </row>
    <row r="1472" spans="1:9" s="17" customFormat="1" ht="12.75" customHeight="1" x14ac:dyDescent="0.2">
      <c r="A1472" s="65">
        <v>1463</v>
      </c>
      <c r="B1472" s="60"/>
      <c r="C1472" s="112" t="s">
        <v>1114</v>
      </c>
      <c r="D1472" s="112"/>
      <c r="E1472" s="112"/>
      <c r="F1472" s="124" t="s">
        <v>56</v>
      </c>
      <c r="G1472" s="124"/>
      <c r="H1472" s="115"/>
      <c r="I1472" s="116"/>
    </row>
    <row r="1473" spans="1:9" s="17" customFormat="1" ht="12.75" customHeight="1" x14ac:dyDescent="0.2">
      <c r="A1473" s="65">
        <v>1464</v>
      </c>
      <c r="B1473" s="60"/>
      <c r="C1473" s="112" t="s">
        <v>1263</v>
      </c>
      <c r="D1473" s="112"/>
      <c r="E1473" s="112"/>
      <c r="F1473" s="124" t="s">
        <v>200</v>
      </c>
      <c r="G1473" s="124"/>
      <c r="H1473" s="115">
        <f>41.3-24+57.9-36.6-19.3</f>
        <v>19.299999999999986</v>
      </c>
      <c r="I1473" s="116"/>
    </row>
    <row r="1474" spans="1:9" s="17" customFormat="1" ht="12.75" customHeight="1" x14ac:dyDescent="0.2">
      <c r="A1474" s="65">
        <v>1465</v>
      </c>
      <c r="B1474" s="60"/>
      <c r="C1474" s="112" t="s">
        <v>1264</v>
      </c>
      <c r="D1474" s="112"/>
      <c r="E1474" s="112"/>
      <c r="F1474" s="124" t="s">
        <v>200</v>
      </c>
      <c r="G1474" s="124"/>
      <c r="H1474" s="115">
        <f>65.8-35.8+16.7-16.7</f>
        <v>30.000000000000004</v>
      </c>
      <c r="I1474" s="116"/>
    </row>
    <row r="1475" spans="1:9" s="17" customFormat="1" ht="12.75" customHeight="1" x14ac:dyDescent="0.2">
      <c r="A1475" s="65">
        <v>1466</v>
      </c>
      <c r="B1475" s="60"/>
      <c r="C1475" s="112" t="s">
        <v>1795</v>
      </c>
      <c r="D1475" s="112"/>
      <c r="E1475" s="112"/>
      <c r="F1475" s="124" t="s">
        <v>200</v>
      </c>
      <c r="G1475" s="124"/>
      <c r="H1475" s="115">
        <v>20.6</v>
      </c>
      <c r="I1475" s="116"/>
    </row>
    <row r="1476" spans="1:9" s="17" customFormat="1" ht="27" customHeight="1" x14ac:dyDescent="0.2">
      <c r="A1476" s="65">
        <v>1467</v>
      </c>
      <c r="B1476" s="60"/>
      <c r="C1476" s="128" t="s">
        <v>2960</v>
      </c>
      <c r="D1476" s="126"/>
      <c r="E1476" s="127"/>
      <c r="F1476" s="121" t="s">
        <v>43</v>
      </c>
      <c r="G1476" s="122"/>
      <c r="H1476" s="115">
        <v>108.5</v>
      </c>
      <c r="I1476" s="116"/>
    </row>
    <row r="1477" spans="1:9" s="17" customFormat="1" ht="12.75" customHeight="1" x14ac:dyDescent="0.2">
      <c r="A1477" s="65">
        <v>1468</v>
      </c>
      <c r="B1477" s="60"/>
      <c r="C1477" s="112" t="s">
        <v>1225</v>
      </c>
      <c r="D1477" s="112"/>
      <c r="E1477" s="112"/>
      <c r="F1477" s="124" t="s">
        <v>85</v>
      </c>
      <c r="G1477" s="124"/>
      <c r="H1477" s="115">
        <v>57.7</v>
      </c>
      <c r="I1477" s="116"/>
    </row>
    <row r="1478" spans="1:9" s="17" customFormat="1" ht="12.75" customHeight="1" x14ac:dyDescent="0.2">
      <c r="A1478" s="65">
        <v>1469</v>
      </c>
      <c r="B1478" s="60"/>
      <c r="C1478" s="112" t="s">
        <v>3877</v>
      </c>
      <c r="D1478" s="112"/>
      <c r="E1478" s="112"/>
      <c r="F1478" s="124" t="s">
        <v>85</v>
      </c>
      <c r="G1478" s="124"/>
      <c r="H1478" s="115">
        <f>43.7-12.5</f>
        <v>31.200000000000003</v>
      </c>
      <c r="I1478" s="116"/>
    </row>
    <row r="1479" spans="1:9" s="17" customFormat="1" ht="12.75" customHeight="1" x14ac:dyDescent="0.2">
      <c r="A1479" s="65">
        <v>1470</v>
      </c>
      <c r="B1479" s="60"/>
      <c r="C1479" s="112" t="s">
        <v>2256</v>
      </c>
      <c r="D1479" s="112"/>
      <c r="E1479" s="112"/>
      <c r="F1479" s="124" t="s">
        <v>85</v>
      </c>
      <c r="G1479" s="124"/>
      <c r="H1479" s="115">
        <f>12-6</f>
        <v>6</v>
      </c>
      <c r="I1479" s="116"/>
    </row>
    <row r="1480" spans="1:9" s="17" customFormat="1" ht="12.75" customHeight="1" x14ac:dyDescent="0.2">
      <c r="A1480" s="65">
        <v>1471</v>
      </c>
      <c r="B1480" s="60">
        <v>6</v>
      </c>
      <c r="C1480" s="120" t="s">
        <v>4804</v>
      </c>
      <c r="D1480" s="120"/>
      <c r="E1480" s="120"/>
      <c r="F1480" s="125" t="s">
        <v>62</v>
      </c>
      <c r="G1480" s="125"/>
      <c r="H1480" s="115">
        <f>560-320</f>
        <v>240</v>
      </c>
      <c r="I1480" s="116"/>
    </row>
    <row r="1481" spans="1:9" s="17" customFormat="1" ht="12.75" customHeight="1" x14ac:dyDescent="0.2">
      <c r="A1481" s="65">
        <v>1472</v>
      </c>
      <c r="B1481" s="60">
        <v>6</v>
      </c>
      <c r="C1481" s="120" t="s">
        <v>3852</v>
      </c>
      <c r="D1481" s="120"/>
      <c r="E1481" s="120"/>
      <c r="F1481" s="125" t="s">
        <v>62</v>
      </c>
      <c r="G1481" s="125"/>
      <c r="H1481" s="115">
        <f>166-9</f>
        <v>157</v>
      </c>
      <c r="I1481" s="116"/>
    </row>
    <row r="1482" spans="1:9" s="17" customFormat="1" ht="11.25" x14ac:dyDescent="0.2">
      <c r="A1482" s="65">
        <v>1473</v>
      </c>
      <c r="B1482" s="60"/>
      <c r="C1482" s="120" t="s">
        <v>3561</v>
      </c>
      <c r="D1482" s="120"/>
      <c r="E1482" s="120"/>
      <c r="F1482" s="125" t="s">
        <v>29</v>
      </c>
      <c r="G1482" s="125"/>
      <c r="H1482" s="115">
        <f>128+77.5+81.7-7.5-38.2-39.3-74.2</f>
        <v>127.99999999999999</v>
      </c>
      <c r="I1482" s="116"/>
    </row>
    <row r="1483" spans="1:9" s="17" customFormat="1" ht="12.75" customHeight="1" x14ac:dyDescent="0.2">
      <c r="A1483" s="65">
        <v>1474</v>
      </c>
      <c r="B1483" s="60"/>
      <c r="C1483" s="120" t="s">
        <v>803</v>
      </c>
      <c r="D1483" s="120"/>
      <c r="E1483" s="120"/>
      <c r="F1483" s="125" t="s">
        <v>140</v>
      </c>
      <c r="G1483" s="125"/>
      <c r="H1483" s="115">
        <v>86.5</v>
      </c>
      <c r="I1483" s="116"/>
    </row>
    <row r="1484" spans="1:9" s="17" customFormat="1" ht="26.25" customHeight="1" x14ac:dyDescent="0.2">
      <c r="A1484" s="65">
        <v>1475</v>
      </c>
      <c r="B1484" s="60"/>
      <c r="C1484" s="112" t="s">
        <v>2642</v>
      </c>
      <c r="D1484" s="112"/>
      <c r="E1484" s="112"/>
      <c r="F1484" s="125" t="s">
        <v>59</v>
      </c>
      <c r="G1484" s="125"/>
      <c r="H1484" s="115">
        <f>119.6+99.5-59.8</f>
        <v>159.30000000000001</v>
      </c>
      <c r="I1484" s="116"/>
    </row>
    <row r="1485" spans="1:9" s="17" customFormat="1" ht="12.75" customHeight="1" x14ac:dyDescent="0.2">
      <c r="A1485" s="65">
        <v>1476</v>
      </c>
      <c r="B1485" s="60"/>
      <c r="C1485" s="117" t="s">
        <v>328</v>
      </c>
      <c r="D1485" s="118"/>
      <c r="E1485" s="119"/>
      <c r="F1485" s="125" t="s">
        <v>76</v>
      </c>
      <c r="G1485" s="125"/>
      <c r="H1485" s="115"/>
      <c r="I1485" s="116"/>
    </row>
    <row r="1486" spans="1:9" s="17" customFormat="1" ht="12.75" customHeight="1" x14ac:dyDescent="0.2">
      <c r="A1486" s="65">
        <v>1477</v>
      </c>
      <c r="B1486" s="60"/>
      <c r="C1486" s="112" t="s">
        <v>450</v>
      </c>
      <c r="D1486" s="112"/>
      <c r="E1486" s="112"/>
      <c r="F1486" s="125" t="s">
        <v>62</v>
      </c>
      <c r="G1486" s="125"/>
      <c r="H1486" s="115"/>
      <c r="I1486" s="116"/>
    </row>
    <row r="1487" spans="1:9" s="17" customFormat="1" ht="12.75" customHeight="1" x14ac:dyDescent="0.2">
      <c r="A1487" s="65">
        <v>1478</v>
      </c>
      <c r="B1487" s="60"/>
      <c r="C1487" s="130" t="s">
        <v>1215</v>
      </c>
      <c r="D1487" s="131"/>
      <c r="E1487" s="132"/>
      <c r="F1487" s="121" t="s">
        <v>267</v>
      </c>
      <c r="G1487" s="122"/>
      <c r="H1487" s="115">
        <v>56.8</v>
      </c>
      <c r="I1487" s="116"/>
    </row>
    <row r="1488" spans="1:9" s="17" customFormat="1" ht="12.75" customHeight="1" x14ac:dyDescent="0.2">
      <c r="A1488" s="65">
        <v>1479</v>
      </c>
      <c r="B1488" s="60"/>
      <c r="C1488" s="117" t="s">
        <v>2292</v>
      </c>
      <c r="D1488" s="118"/>
      <c r="E1488" s="119"/>
      <c r="F1488" s="121" t="s">
        <v>2291</v>
      </c>
      <c r="G1488" s="122"/>
      <c r="H1488" s="115">
        <v>116.8</v>
      </c>
      <c r="I1488" s="116"/>
    </row>
    <row r="1489" spans="1:9" s="17" customFormat="1" ht="12.75" customHeight="1" x14ac:dyDescent="0.2">
      <c r="A1489" s="65">
        <v>1480</v>
      </c>
      <c r="B1489" s="60"/>
      <c r="C1489" s="117" t="s">
        <v>2443</v>
      </c>
      <c r="D1489" s="118"/>
      <c r="E1489" s="119"/>
      <c r="F1489" s="121" t="s">
        <v>618</v>
      </c>
      <c r="G1489" s="122"/>
      <c r="H1489" s="115">
        <v>56</v>
      </c>
      <c r="I1489" s="116"/>
    </row>
    <row r="1490" spans="1:9" s="17" customFormat="1" ht="12.75" customHeight="1" x14ac:dyDescent="0.2">
      <c r="A1490" s="65">
        <v>1481</v>
      </c>
      <c r="B1490" s="60" t="s">
        <v>3656</v>
      </c>
      <c r="C1490" s="120" t="s">
        <v>4324</v>
      </c>
      <c r="D1490" s="120"/>
      <c r="E1490" s="120"/>
      <c r="F1490" s="125" t="s">
        <v>57</v>
      </c>
      <c r="G1490" s="125"/>
      <c r="H1490" s="115">
        <v>21</v>
      </c>
      <c r="I1490" s="116"/>
    </row>
    <row r="1491" spans="1:9" s="17" customFormat="1" ht="12.75" customHeight="1" x14ac:dyDescent="0.2">
      <c r="A1491" s="65">
        <v>1482</v>
      </c>
      <c r="B1491" s="60"/>
      <c r="C1491" s="120" t="s">
        <v>3264</v>
      </c>
      <c r="D1491" s="120"/>
      <c r="E1491" s="120"/>
      <c r="F1491" s="124" t="s">
        <v>33</v>
      </c>
      <c r="G1491" s="124"/>
      <c r="H1491" s="115">
        <f>52-6.9-2.5-3.5-1.2-1.2-2.4-3.6-3.5</f>
        <v>27.199999999999996</v>
      </c>
      <c r="I1491" s="116"/>
    </row>
    <row r="1492" spans="1:9" s="17" customFormat="1" ht="12.75" customHeight="1" x14ac:dyDescent="0.2">
      <c r="A1492" s="65">
        <v>1483</v>
      </c>
      <c r="B1492" s="60">
        <v>7</v>
      </c>
      <c r="C1492" s="120" t="s">
        <v>2104</v>
      </c>
      <c r="D1492" s="120"/>
      <c r="E1492" s="120"/>
      <c r="F1492" s="124" t="s">
        <v>33</v>
      </c>
      <c r="G1492" s="124"/>
      <c r="H1492" s="115">
        <v>315</v>
      </c>
      <c r="I1492" s="116"/>
    </row>
    <row r="1493" spans="1:9" s="17" customFormat="1" ht="24" customHeight="1" x14ac:dyDescent="0.2">
      <c r="A1493" s="65">
        <v>1484</v>
      </c>
      <c r="B1493" s="60"/>
      <c r="C1493" s="128" t="s">
        <v>2836</v>
      </c>
      <c r="D1493" s="126"/>
      <c r="E1493" s="127"/>
      <c r="F1493" s="124" t="s">
        <v>56</v>
      </c>
      <c r="G1493" s="124"/>
      <c r="H1493" s="115">
        <v>51</v>
      </c>
      <c r="I1493" s="116"/>
    </row>
    <row r="1494" spans="1:9" s="17" customFormat="1" ht="12.75" customHeight="1" x14ac:dyDescent="0.2">
      <c r="A1494" s="65">
        <v>1485</v>
      </c>
      <c r="B1494" s="60"/>
      <c r="C1494" s="128" t="s">
        <v>4345</v>
      </c>
      <c r="D1494" s="126"/>
      <c r="E1494" s="127"/>
      <c r="F1494" s="124" t="s">
        <v>56</v>
      </c>
      <c r="G1494" s="124"/>
      <c r="H1494" s="115">
        <f>76-17-25.5</f>
        <v>33.5</v>
      </c>
      <c r="I1494" s="116"/>
    </row>
    <row r="1495" spans="1:9" s="17" customFormat="1" ht="12.75" customHeight="1" x14ac:dyDescent="0.2">
      <c r="A1495" s="65">
        <v>1486</v>
      </c>
      <c r="B1495" s="60"/>
      <c r="C1495" s="128" t="s">
        <v>2062</v>
      </c>
      <c r="D1495" s="126"/>
      <c r="E1495" s="127"/>
      <c r="F1495" s="124" t="s">
        <v>56</v>
      </c>
      <c r="G1495" s="124"/>
      <c r="H1495" s="115">
        <v>39.200000000000003</v>
      </c>
      <c r="I1495" s="116"/>
    </row>
    <row r="1496" spans="1:9" s="17" customFormat="1" ht="12.75" customHeight="1" x14ac:dyDescent="0.2">
      <c r="A1496" s="65">
        <v>1487</v>
      </c>
      <c r="B1496" s="60"/>
      <c r="C1496" s="128" t="s">
        <v>2160</v>
      </c>
      <c r="D1496" s="126"/>
      <c r="E1496" s="127"/>
      <c r="F1496" s="124" t="s">
        <v>56</v>
      </c>
      <c r="G1496" s="124"/>
      <c r="H1496" s="115">
        <f>93.6-15.6-15.6-15.6-15.6</f>
        <v>31.199999999999996</v>
      </c>
      <c r="I1496" s="116"/>
    </row>
    <row r="1497" spans="1:9" s="17" customFormat="1" ht="12.75" customHeight="1" x14ac:dyDescent="0.2">
      <c r="A1497" s="65">
        <v>1488</v>
      </c>
      <c r="B1497" s="60"/>
      <c r="C1497" s="128" t="s">
        <v>2159</v>
      </c>
      <c r="D1497" s="126"/>
      <c r="E1497" s="127"/>
      <c r="F1497" s="124" t="s">
        <v>56</v>
      </c>
      <c r="G1497" s="124"/>
      <c r="H1497" s="115">
        <f>79.5-25.9-27</f>
        <v>26.6</v>
      </c>
      <c r="I1497" s="116"/>
    </row>
    <row r="1498" spans="1:9" s="17" customFormat="1" ht="12.75" customHeight="1" x14ac:dyDescent="0.2">
      <c r="A1498" s="65">
        <v>1489</v>
      </c>
      <c r="B1498" s="60"/>
      <c r="C1498" s="120" t="s">
        <v>825</v>
      </c>
      <c r="D1498" s="120"/>
      <c r="E1498" s="120"/>
      <c r="F1498" s="124" t="s">
        <v>88</v>
      </c>
      <c r="G1498" s="124"/>
      <c r="H1498" s="140">
        <v>40</v>
      </c>
      <c r="I1498" s="141"/>
    </row>
    <row r="1499" spans="1:9" s="17" customFormat="1" ht="12.75" customHeight="1" x14ac:dyDescent="0.2">
      <c r="A1499" s="65">
        <v>1490</v>
      </c>
      <c r="B1499" s="60"/>
      <c r="C1499" s="112" t="s">
        <v>815</v>
      </c>
      <c r="D1499" s="112"/>
      <c r="E1499" s="112"/>
      <c r="F1499" s="124" t="s">
        <v>107</v>
      </c>
      <c r="G1499" s="124"/>
      <c r="H1499" s="115">
        <f>31.8-4.2</f>
        <v>27.6</v>
      </c>
      <c r="I1499" s="116"/>
    </row>
    <row r="1500" spans="1:9" s="17" customFormat="1" ht="12.75" customHeight="1" x14ac:dyDescent="0.2">
      <c r="A1500" s="65">
        <v>1491</v>
      </c>
      <c r="B1500" s="60"/>
      <c r="C1500" s="112" t="s">
        <v>2665</v>
      </c>
      <c r="D1500" s="112"/>
      <c r="E1500" s="112"/>
      <c r="F1500" s="124" t="s">
        <v>85</v>
      </c>
      <c r="G1500" s="124"/>
      <c r="H1500" s="115">
        <f>83.3-6.9-34.7</f>
        <v>41.699999999999989</v>
      </c>
      <c r="I1500" s="116"/>
    </row>
    <row r="1501" spans="1:9" s="17" customFormat="1" x14ac:dyDescent="0.2">
      <c r="A1501" s="65">
        <v>1492</v>
      </c>
      <c r="B1501" s="60"/>
      <c r="C1501" s="112" t="s">
        <v>2664</v>
      </c>
      <c r="D1501" s="112"/>
      <c r="E1501" s="112"/>
      <c r="F1501" s="124" t="s">
        <v>85</v>
      </c>
      <c r="G1501" s="124"/>
      <c r="H1501" s="115">
        <f>36.5-10</f>
        <v>26.5</v>
      </c>
      <c r="I1501" s="116"/>
    </row>
    <row r="1502" spans="1:9" s="17" customFormat="1" ht="12.75" customHeight="1" x14ac:dyDescent="0.2">
      <c r="A1502" s="65">
        <v>1493</v>
      </c>
      <c r="B1502" s="60"/>
      <c r="C1502" s="112" t="s">
        <v>563</v>
      </c>
      <c r="D1502" s="112"/>
      <c r="E1502" s="112"/>
      <c r="F1502" s="124" t="s">
        <v>85</v>
      </c>
      <c r="G1502" s="124"/>
      <c r="H1502" s="115">
        <v>17.5</v>
      </c>
      <c r="I1502" s="116"/>
    </row>
    <row r="1503" spans="1:9" s="17" customFormat="1" ht="12.75" customHeight="1" x14ac:dyDescent="0.2">
      <c r="A1503" s="65">
        <v>1494</v>
      </c>
      <c r="B1503" s="60"/>
      <c r="C1503" s="112" t="s">
        <v>4380</v>
      </c>
      <c r="D1503" s="112"/>
      <c r="E1503" s="112"/>
      <c r="F1503" s="124" t="s">
        <v>85</v>
      </c>
      <c r="G1503" s="124"/>
      <c r="H1503" s="115">
        <v>23.5</v>
      </c>
      <c r="I1503" s="116"/>
    </row>
    <row r="1504" spans="1:9" s="17" customFormat="1" ht="11.25" x14ac:dyDescent="0.2">
      <c r="A1504" s="65">
        <v>1495</v>
      </c>
      <c r="B1504" s="60"/>
      <c r="C1504" s="112" t="s">
        <v>4530</v>
      </c>
      <c r="D1504" s="112"/>
      <c r="E1504" s="112"/>
      <c r="F1504" s="125" t="s">
        <v>62</v>
      </c>
      <c r="G1504" s="125"/>
      <c r="H1504" s="115">
        <f>780-72.5-46.3-46.8-46-22-39-120.5</f>
        <v>386.90000000000009</v>
      </c>
      <c r="I1504" s="116"/>
    </row>
    <row r="1505" spans="1:9" s="17" customFormat="1" ht="11.25" x14ac:dyDescent="0.2">
      <c r="A1505" s="65">
        <v>1496</v>
      </c>
      <c r="B1505" s="60"/>
      <c r="C1505" s="120" t="s">
        <v>4578</v>
      </c>
      <c r="D1505" s="120"/>
      <c r="E1505" s="120"/>
      <c r="F1505" s="125" t="s">
        <v>62</v>
      </c>
      <c r="G1505" s="125"/>
      <c r="H1505" s="115">
        <f>106.2-21-20.8-21.2</f>
        <v>43.2</v>
      </c>
      <c r="I1505" s="116"/>
    </row>
    <row r="1506" spans="1:9" s="17" customFormat="1" ht="29.25" customHeight="1" x14ac:dyDescent="0.2">
      <c r="A1506" s="65">
        <v>1497</v>
      </c>
      <c r="B1506" s="60"/>
      <c r="C1506" s="120" t="s">
        <v>4878</v>
      </c>
      <c r="D1506" s="120"/>
      <c r="E1506" s="120"/>
      <c r="F1506" s="125" t="s">
        <v>76</v>
      </c>
      <c r="G1506" s="125"/>
      <c r="H1506" s="115">
        <f>310.5+8.8-20+21.6-8.8-21.6-22.4-6-23.1-6.8-11.6+12.2-6.1-23.6-6.1-24.3-10.4-14.3-5.3-19.4-5.3</f>
        <v>117.99999999999999</v>
      </c>
      <c r="I1506" s="116"/>
    </row>
    <row r="1507" spans="1:9" s="17" customFormat="1" ht="29.25" customHeight="1" x14ac:dyDescent="0.2">
      <c r="A1507" s="65">
        <v>1498</v>
      </c>
      <c r="B1507" s="60"/>
      <c r="C1507" s="120" t="s">
        <v>4522</v>
      </c>
      <c r="D1507" s="120"/>
      <c r="E1507" s="120"/>
      <c r="F1507" s="125" t="s">
        <v>59</v>
      </c>
      <c r="G1507" s="125"/>
      <c r="H1507" s="115">
        <f>446.3-46-146-146-3.8+118.5+191.4-95.7+465.5+10.9-10.9-104.5+13.4-95.7-6.7-6.7-182-90.5</f>
        <v>311.49999999999989</v>
      </c>
      <c r="I1507" s="116"/>
    </row>
    <row r="1508" spans="1:9" s="17" customFormat="1" ht="12.75" customHeight="1" x14ac:dyDescent="0.2">
      <c r="A1508" s="65">
        <v>1499</v>
      </c>
      <c r="B1508" s="60"/>
      <c r="C1508" s="120" t="s">
        <v>520</v>
      </c>
      <c r="D1508" s="120"/>
      <c r="E1508" s="120"/>
      <c r="F1508" s="125" t="s">
        <v>76</v>
      </c>
      <c r="G1508" s="125"/>
      <c r="H1508" s="115"/>
      <c r="I1508" s="116"/>
    </row>
    <row r="1509" spans="1:9" s="17" customFormat="1" ht="12.75" customHeight="1" x14ac:dyDescent="0.2">
      <c r="A1509" s="65">
        <v>1500</v>
      </c>
      <c r="B1509" s="60"/>
      <c r="C1509" s="120" t="s">
        <v>1223</v>
      </c>
      <c r="D1509" s="120"/>
      <c r="E1509" s="120"/>
      <c r="F1509" s="124" t="s">
        <v>457</v>
      </c>
      <c r="G1509" s="135"/>
      <c r="H1509" s="140">
        <v>44.4</v>
      </c>
      <c r="I1509" s="141"/>
    </row>
    <row r="1510" spans="1:9" s="17" customFormat="1" ht="12.75" customHeight="1" x14ac:dyDescent="0.2">
      <c r="A1510" s="65">
        <v>1501</v>
      </c>
      <c r="B1510" s="60"/>
      <c r="C1510" s="130" t="s">
        <v>3397</v>
      </c>
      <c r="D1510" s="131"/>
      <c r="E1510" s="132"/>
      <c r="F1510" s="121" t="s">
        <v>207</v>
      </c>
      <c r="G1510" s="122"/>
      <c r="H1510" s="115">
        <f>81-11-8.5</f>
        <v>61.5</v>
      </c>
      <c r="I1510" s="116"/>
    </row>
    <row r="1511" spans="1:9" s="17" customFormat="1" ht="13.5" customHeight="1" x14ac:dyDescent="0.2">
      <c r="A1511" s="65">
        <v>1502</v>
      </c>
      <c r="B1511" s="60">
        <v>6</v>
      </c>
      <c r="C1511" s="112" t="s">
        <v>4553</v>
      </c>
      <c r="D1511" s="112"/>
      <c r="E1511" s="112"/>
      <c r="F1511" s="124" t="s">
        <v>55</v>
      </c>
      <c r="G1511" s="124"/>
      <c r="H1511" s="115">
        <f>212.5-92</f>
        <v>120.5</v>
      </c>
      <c r="I1511" s="116"/>
    </row>
    <row r="1512" spans="1:9" s="17" customFormat="1" ht="12.75" customHeight="1" x14ac:dyDescent="0.2">
      <c r="A1512" s="65">
        <v>1503</v>
      </c>
      <c r="B1512" s="60"/>
      <c r="C1512" s="120" t="s">
        <v>2580</v>
      </c>
      <c r="D1512" s="120"/>
      <c r="E1512" s="120"/>
      <c r="F1512" s="124" t="s">
        <v>33</v>
      </c>
      <c r="G1512" s="124"/>
      <c r="H1512" s="115">
        <f>190.8-14.5</f>
        <v>176.3</v>
      </c>
      <c r="I1512" s="116"/>
    </row>
    <row r="1513" spans="1:9" s="17" customFormat="1" ht="13.5" customHeight="1" x14ac:dyDescent="0.2">
      <c r="A1513" s="65">
        <v>1504</v>
      </c>
      <c r="B1513" s="60">
        <v>6</v>
      </c>
      <c r="C1513" s="112" t="s">
        <v>3853</v>
      </c>
      <c r="D1513" s="112"/>
      <c r="E1513" s="112"/>
      <c r="F1513" s="124" t="s">
        <v>56</v>
      </c>
      <c r="G1513" s="124"/>
      <c r="H1513" s="115">
        <v>430</v>
      </c>
      <c r="I1513" s="116"/>
    </row>
    <row r="1514" spans="1:9" s="17" customFormat="1" ht="12.75" customHeight="1" x14ac:dyDescent="0.2">
      <c r="A1514" s="65">
        <v>1505</v>
      </c>
      <c r="B1514" s="60"/>
      <c r="C1514" s="128" t="s">
        <v>2755</v>
      </c>
      <c r="D1514" s="126"/>
      <c r="E1514" s="127"/>
      <c r="F1514" s="124" t="s">
        <v>56</v>
      </c>
      <c r="G1514" s="124"/>
      <c r="H1514" s="115">
        <f>316-68.9-68.2-68.6+68.4+211.1</f>
        <v>389.79999999999995</v>
      </c>
      <c r="I1514" s="116"/>
    </row>
    <row r="1515" spans="1:9" s="17" customFormat="1" ht="12.75" customHeight="1" x14ac:dyDescent="0.2">
      <c r="A1515" s="65">
        <v>1506</v>
      </c>
      <c r="B1515" s="60"/>
      <c r="C1515" s="128" t="s">
        <v>2357</v>
      </c>
      <c r="D1515" s="126"/>
      <c r="E1515" s="127"/>
      <c r="F1515" s="124" t="s">
        <v>56</v>
      </c>
      <c r="G1515" s="124"/>
      <c r="H1515" s="115">
        <f>77.6+66.2</f>
        <v>143.80000000000001</v>
      </c>
      <c r="I1515" s="116"/>
    </row>
    <row r="1516" spans="1:9" s="17" customFormat="1" x14ac:dyDescent="0.2">
      <c r="A1516" s="65">
        <v>1507</v>
      </c>
      <c r="B1516" s="60"/>
      <c r="C1516" s="128" t="s">
        <v>4774</v>
      </c>
      <c r="D1516" s="126"/>
      <c r="E1516" s="127"/>
      <c r="F1516" s="124" t="s">
        <v>56</v>
      </c>
      <c r="G1516" s="124"/>
      <c r="H1516" s="115">
        <f>30.8+202-13-41-18.8-18.8-16.2-13-12-10.5-28.8-11.6-0.1</f>
        <v>48.999999999999986</v>
      </c>
      <c r="I1516" s="116"/>
    </row>
    <row r="1517" spans="1:9" s="17" customFormat="1" x14ac:dyDescent="0.2">
      <c r="A1517" s="65">
        <v>1508</v>
      </c>
      <c r="B1517" s="60"/>
      <c r="C1517" s="128" t="s">
        <v>3308</v>
      </c>
      <c r="D1517" s="126"/>
      <c r="E1517" s="127"/>
      <c r="F1517" s="124" t="s">
        <v>56</v>
      </c>
      <c r="G1517" s="124"/>
      <c r="H1517" s="115">
        <v>18</v>
      </c>
      <c r="I1517" s="116"/>
    </row>
    <row r="1518" spans="1:9" s="17" customFormat="1" ht="12.75" customHeight="1" x14ac:dyDescent="0.2">
      <c r="A1518" s="65">
        <v>1509</v>
      </c>
      <c r="B1518" s="60"/>
      <c r="C1518" s="120" t="s">
        <v>1081</v>
      </c>
      <c r="D1518" s="120"/>
      <c r="E1518" s="120"/>
      <c r="F1518" s="124" t="s">
        <v>88</v>
      </c>
      <c r="G1518" s="124"/>
      <c r="H1518" s="115">
        <v>95</v>
      </c>
      <c r="I1518" s="116"/>
    </row>
    <row r="1519" spans="1:9" s="17" customFormat="1" ht="12.75" customHeight="1" x14ac:dyDescent="0.2">
      <c r="A1519" s="65">
        <v>1510</v>
      </c>
      <c r="B1519" s="60"/>
      <c r="C1519" s="112" t="s">
        <v>1936</v>
      </c>
      <c r="D1519" s="112"/>
      <c r="E1519" s="112"/>
      <c r="F1519" s="124" t="s">
        <v>200</v>
      </c>
      <c r="G1519" s="124"/>
      <c r="H1519" s="115">
        <f>32-9+27.4-27.4</f>
        <v>23</v>
      </c>
      <c r="I1519" s="116"/>
    </row>
    <row r="1520" spans="1:9" s="17" customFormat="1" ht="12.75" customHeight="1" x14ac:dyDescent="0.2">
      <c r="A1520" s="65">
        <v>1511</v>
      </c>
      <c r="B1520" s="60"/>
      <c r="C1520" s="117" t="s">
        <v>2290</v>
      </c>
      <c r="D1520" s="118"/>
      <c r="E1520" s="119"/>
      <c r="F1520" s="121" t="s">
        <v>2291</v>
      </c>
      <c r="G1520" s="122"/>
      <c r="H1520" s="115">
        <v>43.3</v>
      </c>
      <c r="I1520" s="116"/>
    </row>
    <row r="1521" spans="1:9" s="17" customFormat="1" ht="12.75" customHeight="1" x14ac:dyDescent="0.2">
      <c r="A1521" s="65">
        <v>1512</v>
      </c>
      <c r="B1521" s="60"/>
      <c r="C1521" s="112" t="s">
        <v>256</v>
      </c>
      <c r="D1521" s="112"/>
      <c r="E1521" s="112"/>
      <c r="F1521" s="125" t="s">
        <v>57</v>
      </c>
      <c r="G1521" s="125"/>
      <c r="H1521" s="115">
        <v>46</v>
      </c>
      <c r="I1521" s="116"/>
    </row>
    <row r="1522" spans="1:9" s="17" customFormat="1" ht="12.75" customHeight="1" x14ac:dyDescent="0.2">
      <c r="A1522" s="65">
        <v>1513</v>
      </c>
      <c r="B1522" s="60"/>
      <c r="C1522" s="112" t="s">
        <v>419</v>
      </c>
      <c r="D1522" s="112"/>
      <c r="E1522" s="112"/>
      <c r="F1522" s="124" t="s">
        <v>200</v>
      </c>
      <c r="G1522" s="124"/>
      <c r="H1522" s="115">
        <v>10.3</v>
      </c>
      <c r="I1522" s="116"/>
    </row>
    <row r="1523" spans="1:9" s="17" customFormat="1" ht="12.75" customHeight="1" x14ac:dyDescent="0.2">
      <c r="A1523" s="65">
        <v>1514</v>
      </c>
      <c r="B1523" s="60"/>
      <c r="C1523" s="112" t="s">
        <v>845</v>
      </c>
      <c r="D1523" s="112"/>
      <c r="E1523" s="112"/>
      <c r="F1523" s="124" t="s">
        <v>200</v>
      </c>
      <c r="G1523" s="124"/>
      <c r="H1523" s="115">
        <v>14.9</v>
      </c>
      <c r="I1523" s="116"/>
    </row>
    <row r="1524" spans="1:9" s="17" customFormat="1" ht="12.75" customHeight="1" x14ac:dyDescent="0.2">
      <c r="A1524" s="65">
        <v>1515</v>
      </c>
      <c r="B1524" s="60">
        <v>6</v>
      </c>
      <c r="C1524" s="144" t="s">
        <v>3855</v>
      </c>
      <c r="D1524" s="144"/>
      <c r="E1524" s="144"/>
      <c r="F1524" s="113" t="s">
        <v>140</v>
      </c>
      <c r="G1524" s="114"/>
      <c r="H1524" s="115">
        <f>950-480-230</f>
        <v>240</v>
      </c>
      <c r="I1524" s="116"/>
    </row>
    <row r="1525" spans="1:9" s="17" customFormat="1" ht="12.75" customHeight="1" x14ac:dyDescent="0.2">
      <c r="A1525" s="65">
        <v>1516</v>
      </c>
      <c r="B1525" s="60">
        <v>6</v>
      </c>
      <c r="C1525" s="144" t="s">
        <v>3854</v>
      </c>
      <c r="D1525" s="144"/>
      <c r="E1525" s="144"/>
      <c r="F1525" s="113" t="s">
        <v>29</v>
      </c>
      <c r="G1525" s="114"/>
      <c r="H1525" s="115">
        <v>410</v>
      </c>
      <c r="I1525" s="116"/>
    </row>
    <row r="1526" spans="1:9" s="17" customFormat="1" ht="12.75" customHeight="1" x14ac:dyDescent="0.2">
      <c r="A1526" s="65">
        <v>1517</v>
      </c>
      <c r="B1526" s="60">
        <v>2</v>
      </c>
      <c r="C1526" s="112" t="s">
        <v>3856</v>
      </c>
      <c r="D1526" s="112"/>
      <c r="E1526" s="112"/>
      <c r="F1526" s="125" t="s">
        <v>59</v>
      </c>
      <c r="G1526" s="125"/>
      <c r="H1526" s="115">
        <v>290</v>
      </c>
      <c r="I1526" s="116"/>
    </row>
    <row r="1527" spans="1:9" s="17" customFormat="1" ht="12.75" customHeight="1" x14ac:dyDescent="0.2">
      <c r="A1527" s="65">
        <v>1518</v>
      </c>
      <c r="B1527" s="60"/>
      <c r="C1527" s="112" t="s">
        <v>1574</v>
      </c>
      <c r="D1527" s="112"/>
      <c r="E1527" s="112"/>
      <c r="F1527" s="125" t="s">
        <v>140</v>
      </c>
      <c r="G1527" s="125"/>
      <c r="H1527" s="115">
        <f>235.6+134+119.3-119.3-65.7-78.7-91.2-28</f>
        <v>106.00000000000006</v>
      </c>
      <c r="I1527" s="116"/>
    </row>
    <row r="1528" spans="1:9" s="17" customFormat="1" ht="12.75" customHeight="1" x14ac:dyDescent="0.2">
      <c r="A1528" s="65">
        <v>1519</v>
      </c>
      <c r="B1528" s="60"/>
      <c r="C1528" s="112" t="s">
        <v>418</v>
      </c>
      <c r="D1528" s="112"/>
      <c r="E1528" s="112"/>
      <c r="F1528" s="125" t="s">
        <v>59</v>
      </c>
      <c r="G1528" s="125"/>
      <c r="H1528" s="115">
        <v>121.8</v>
      </c>
      <c r="I1528" s="116"/>
    </row>
    <row r="1529" spans="1:9" s="17" customFormat="1" ht="12.75" customHeight="1" x14ac:dyDescent="0.2">
      <c r="A1529" s="65">
        <v>1520</v>
      </c>
      <c r="B1529" s="60"/>
      <c r="C1529" s="120" t="s">
        <v>3958</v>
      </c>
      <c r="D1529" s="120"/>
      <c r="E1529" s="120"/>
      <c r="F1529" s="125" t="s">
        <v>59</v>
      </c>
      <c r="G1529" s="125"/>
      <c r="H1529" s="115">
        <f>34.7-8.8-4.4</f>
        <v>21.5</v>
      </c>
      <c r="I1529" s="116"/>
    </row>
    <row r="1530" spans="1:9" s="17" customFormat="1" ht="12.75" customHeight="1" x14ac:dyDescent="0.2">
      <c r="A1530" s="65">
        <v>1521</v>
      </c>
      <c r="B1530" s="60"/>
      <c r="C1530" s="120" t="s">
        <v>3265</v>
      </c>
      <c r="D1530" s="120"/>
      <c r="E1530" s="120"/>
      <c r="F1530" s="125" t="s">
        <v>59</v>
      </c>
      <c r="G1530" s="125"/>
      <c r="H1530" s="115">
        <v>40</v>
      </c>
      <c r="I1530" s="116"/>
    </row>
    <row r="1531" spans="1:9" s="17" customFormat="1" ht="12.75" customHeight="1" x14ac:dyDescent="0.2">
      <c r="A1531" s="65">
        <v>1522</v>
      </c>
      <c r="B1531" s="60"/>
      <c r="C1531" s="120" t="s">
        <v>3266</v>
      </c>
      <c r="D1531" s="120"/>
      <c r="E1531" s="120"/>
      <c r="F1531" s="125" t="s">
        <v>59</v>
      </c>
      <c r="G1531" s="125"/>
      <c r="H1531" s="115">
        <v>44.5</v>
      </c>
      <c r="I1531" s="116"/>
    </row>
    <row r="1532" spans="1:9" s="17" customFormat="1" ht="30" customHeight="1" x14ac:dyDescent="0.2">
      <c r="A1532" s="65">
        <v>1523</v>
      </c>
      <c r="B1532" s="60">
        <v>6</v>
      </c>
      <c r="C1532" s="130" t="s">
        <v>3857</v>
      </c>
      <c r="D1532" s="131"/>
      <c r="E1532" s="132"/>
      <c r="F1532" s="121" t="s">
        <v>207</v>
      </c>
      <c r="G1532" s="122"/>
      <c r="H1532" s="115">
        <f>1100-50-112</f>
        <v>938</v>
      </c>
      <c r="I1532" s="116"/>
    </row>
    <row r="1533" spans="1:9" s="17" customFormat="1" ht="29.25" customHeight="1" x14ac:dyDescent="0.2">
      <c r="A1533" s="65">
        <v>1524</v>
      </c>
      <c r="B1533" s="60">
        <v>6</v>
      </c>
      <c r="C1533" s="120" t="s">
        <v>2861</v>
      </c>
      <c r="D1533" s="120"/>
      <c r="E1533" s="120"/>
      <c r="F1533" s="124" t="s">
        <v>33</v>
      </c>
      <c r="G1533" s="124"/>
      <c r="H1533" s="115">
        <f>346.5-115.5-18</f>
        <v>213</v>
      </c>
      <c r="I1533" s="116"/>
    </row>
    <row r="1534" spans="1:9" s="17" customFormat="1" ht="12.75" customHeight="1" x14ac:dyDescent="0.2">
      <c r="A1534" s="65">
        <v>1525</v>
      </c>
      <c r="B1534" s="60"/>
      <c r="C1534" s="128" t="s">
        <v>547</v>
      </c>
      <c r="D1534" s="126"/>
      <c r="E1534" s="127"/>
      <c r="F1534" s="121" t="s">
        <v>40</v>
      </c>
      <c r="G1534" s="122"/>
      <c r="H1534" s="115">
        <f>90.2-42.5</f>
        <v>47.7</v>
      </c>
      <c r="I1534" s="116"/>
    </row>
    <row r="1535" spans="1:9" s="17" customFormat="1" ht="13.5" customHeight="1" x14ac:dyDescent="0.2">
      <c r="A1535" s="65">
        <v>1526</v>
      </c>
      <c r="B1535" s="60">
        <v>6</v>
      </c>
      <c r="C1535" s="112" t="s">
        <v>916</v>
      </c>
      <c r="D1535" s="112"/>
      <c r="E1535" s="112"/>
      <c r="F1535" s="124" t="s">
        <v>56</v>
      </c>
      <c r="G1535" s="124"/>
      <c r="H1535" s="115">
        <v>650</v>
      </c>
      <c r="I1535" s="116"/>
    </row>
    <row r="1536" spans="1:9" s="17" customFormat="1" ht="12.75" customHeight="1" x14ac:dyDescent="0.2">
      <c r="A1536" s="65">
        <v>1527</v>
      </c>
      <c r="B1536" s="60">
        <v>6</v>
      </c>
      <c r="C1536" s="112" t="s">
        <v>1197</v>
      </c>
      <c r="D1536" s="112"/>
      <c r="E1536" s="112"/>
      <c r="F1536" s="124" t="s">
        <v>56</v>
      </c>
      <c r="G1536" s="124"/>
      <c r="H1536" s="115">
        <f>465.5-122</f>
        <v>343.5</v>
      </c>
      <c r="I1536" s="116"/>
    </row>
    <row r="1537" spans="1:9" s="17" customFormat="1" ht="12.75" customHeight="1" x14ac:dyDescent="0.2">
      <c r="A1537" s="65">
        <v>1528</v>
      </c>
      <c r="B1537" s="60"/>
      <c r="C1537" s="112" t="s">
        <v>2099</v>
      </c>
      <c r="D1537" s="112"/>
      <c r="E1537" s="112"/>
      <c r="F1537" s="124" t="s">
        <v>56</v>
      </c>
      <c r="G1537" s="124"/>
      <c r="H1537" s="115">
        <f>368-102-49.6-25-62.5-54.4+52.6-26.8-47.7+118-52.6</f>
        <v>118</v>
      </c>
      <c r="I1537" s="116"/>
    </row>
    <row r="1538" spans="1:9" s="17" customFormat="1" ht="12.75" customHeight="1" x14ac:dyDescent="0.2">
      <c r="A1538" s="65">
        <v>1529</v>
      </c>
      <c r="B1538" s="60"/>
      <c r="C1538" s="112" t="s">
        <v>617</v>
      </c>
      <c r="D1538" s="112"/>
      <c r="E1538" s="112"/>
      <c r="F1538" s="124" t="s">
        <v>56</v>
      </c>
      <c r="G1538" s="124"/>
      <c r="H1538" s="115">
        <f>65.4+6.6-6.6</f>
        <v>65.400000000000006</v>
      </c>
      <c r="I1538" s="116"/>
    </row>
    <row r="1539" spans="1:9" s="17" customFormat="1" ht="25.5" customHeight="1" x14ac:dyDescent="0.2">
      <c r="A1539" s="65">
        <v>1530</v>
      </c>
      <c r="B1539" s="60"/>
      <c r="C1539" s="112" t="s">
        <v>914</v>
      </c>
      <c r="D1539" s="112"/>
      <c r="E1539" s="112"/>
      <c r="F1539" s="124" t="s">
        <v>56</v>
      </c>
      <c r="G1539" s="124"/>
      <c r="H1539" s="115">
        <v>331.7</v>
      </c>
      <c r="I1539" s="116"/>
    </row>
    <row r="1540" spans="1:9" s="17" customFormat="1" ht="57" customHeight="1" x14ac:dyDescent="0.2">
      <c r="A1540" s="65">
        <v>1531</v>
      </c>
      <c r="B1540" s="60"/>
      <c r="C1540" s="112" t="s">
        <v>915</v>
      </c>
      <c r="D1540" s="112"/>
      <c r="E1540" s="112"/>
      <c r="F1540" s="124" t="s">
        <v>56</v>
      </c>
      <c r="G1540" s="124"/>
      <c r="H1540" s="115">
        <v>444.3</v>
      </c>
      <c r="I1540" s="116"/>
    </row>
    <row r="1541" spans="1:9" s="17" customFormat="1" ht="47.25" customHeight="1" x14ac:dyDescent="0.2">
      <c r="A1541" s="65">
        <v>1532</v>
      </c>
      <c r="B1541" s="60"/>
      <c r="C1541" s="112" t="s">
        <v>1294</v>
      </c>
      <c r="D1541" s="112"/>
      <c r="E1541" s="112"/>
      <c r="F1541" s="124" t="s">
        <v>56</v>
      </c>
      <c r="G1541" s="124"/>
      <c r="H1541" s="115">
        <f>135.6-21</f>
        <v>114.6</v>
      </c>
      <c r="I1541" s="116"/>
    </row>
    <row r="1542" spans="1:9" s="17" customFormat="1" ht="12.75" customHeight="1" x14ac:dyDescent="0.2">
      <c r="A1542" s="65">
        <v>1533</v>
      </c>
      <c r="B1542" s="60">
        <v>6</v>
      </c>
      <c r="C1542" s="144" t="s">
        <v>3858</v>
      </c>
      <c r="D1542" s="144"/>
      <c r="E1542" s="144"/>
      <c r="F1542" s="113" t="s">
        <v>29</v>
      </c>
      <c r="G1542" s="114"/>
      <c r="H1542" s="115">
        <v>700</v>
      </c>
      <c r="I1542" s="116"/>
    </row>
    <row r="1543" spans="1:9" s="17" customFormat="1" ht="12.75" customHeight="1" x14ac:dyDescent="0.2">
      <c r="A1543" s="65">
        <v>1534</v>
      </c>
      <c r="B1543" s="60">
        <v>6</v>
      </c>
      <c r="C1543" s="120" t="s">
        <v>3860</v>
      </c>
      <c r="D1543" s="120"/>
      <c r="E1543" s="120"/>
      <c r="F1543" s="125" t="s">
        <v>76</v>
      </c>
      <c r="G1543" s="125"/>
      <c r="H1543" s="115">
        <f>595-158-158+1</f>
        <v>280</v>
      </c>
      <c r="I1543" s="116"/>
    </row>
    <row r="1544" spans="1:9" s="17" customFormat="1" ht="30.75" customHeight="1" x14ac:dyDescent="0.2">
      <c r="A1544" s="65">
        <v>1535</v>
      </c>
      <c r="B1544" s="60">
        <v>6</v>
      </c>
      <c r="C1544" s="120" t="s">
        <v>3859</v>
      </c>
      <c r="D1544" s="120"/>
      <c r="E1544" s="120"/>
      <c r="F1544" s="125" t="s">
        <v>76</v>
      </c>
      <c r="G1544" s="125"/>
      <c r="H1544" s="115">
        <f>510-67.5-52.5</f>
        <v>390</v>
      </c>
      <c r="I1544" s="116"/>
    </row>
    <row r="1545" spans="1:9" s="17" customFormat="1" ht="12.75" customHeight="1" x14ac:dyDescent="0.2">
      <c r="A1545" s="65">
        <v>1536</v>
      </c>
      <c r="B1545" s="60"/>
      <c r="C1545" s="120" t="s">
        <v>4713</v>
      </c>
      <c r="D1545" s="120"/>
      <c r="E1545" s="120"/>
      <c r="F1545" s="125" t="s">
        <v>62</v>
      </c>
      <c r="G1545" s="125"/>
      <c r="H1545" s="115">
        <f>91.6+36-8.9-9.1-9.2</f>
        <v>100.39999999999999</v>
      </c>
      <c r="I1545" s="116"/>
    </row>
    <row r="1546" spans="1:9" s="17" customFormat="1" ht="12.75" customHeight="1" x14ac:dyDescent="0.2">
      <c r="A1546" s="65">
        <v>1537</v>
      </c>
      <c r="B1546" s="60"/>
      <c r="C1546" s="120" t="s">
        <v>4353</v>
      </c>
      <c r="D1546" s="120"/>
      <c r="E1546" s="120"/>
      <c r="F1546" s="125" t="s">
        <v>76</v>
      </c>
      <c r="G1546" s="125"/>
      <c r="H1546" s="115">
        <f>53.5-12.3</f>
        <v>41.2</v>
      </c>
      <c r="I1546" s="116"/>
    </row>
    <row r="1547" spans="1:9" s="17" customFormat="1" ht="12.75" customHeight="1" x14ac:dyDescent="0.2">
      <c r="A1547" s="65">
        <v>1538</v>
      </c>
      <c r="B1547" s="60"/>
      <c r="C1547" s="120" t="s">
        <v>3238</v>
      </c>
      <c r="D1547" s="120"/>
      <c r="E1547" s="120"/>
      <c r="F1547" s="125" t="s">
        <v>76</v>
      </c>
      <c r="G1547" s="125"/>
      <c r="H1547" s="115">
        <f>188-21-40.2-28.3</f>
        <v>98.5</v>
      </c>
      <c r="I1547" s="116"/>
    </row>
    <row r="1548" spans="1:9" s="17" customFormat="1" ht="12.75" customHeight="1" x14ac:dyDescent="0.2">
      <c r="A1548" s="65">
        <v>1539</v>
      </c>
      <c r="B1548" s="60"/>
      <c r="C1548" s="120" t="s">
        <v>5293</v>
      </c>
      <c r="D1548" s="120"/>
      <c r="E1548" s="120"/>
      <c r="F1548" s="125" t="s">
        <v>57</v>
      </c>
      <c r="G1548" s="125"/>
      <c r="H1548" s="115">
        <f>81.3+58.6+83-58.6+48.6-48.6-0.1-18.2</f>
        <v>146.00000000000003</v>
      </c>
      <c r="I1548" s="116"/>
    </row>
    <row r="1549" spans="1:9" s="17" customFormat="1" ht="12.75" customHeight="1" x14ac:dyDescent="0.2">
      <c r="A1549" s="65">
        <v>1540</v>
      </c>
      <c r="B1549" s="60">
        <v>6</v>
      </c>
      <c r="C1549" s="120" t="s">
        <v>3861</v>
      </c>
      <c r="D1549" s="120"/>
      <c r="E1549" s="120"/>
      <c r="F1549" s="125" t="s">
        <v>57</v>
      </c>
      <c r="G1549" s="125"/>
      <c r="H1549" s="115">
        <v>245</v>
      </c>
      <c r="I1549" s="116"/>
    </row>
    <row r="1550" spans="1:9" s="17" customFormat="1" ht="12.75" customHeight="1" x14ac:dyDescent="0.2">
      <c r="A1550" s="65">
        <v>1541</v>
      </c>
      <c r="B1550" s="60"/>
      <c r="C1550" s="120" t="s">
        <v>5294</v>
      </c>
      <c r="D1550" s="120"/>
      <c r="E1550" s="120"/>
      <c r="F1550" s="125" t="s">
        <v>62</v>
      </c>
      <c r="G1550" s="125"/>
      <c r="H1550" s="115">
        <f>169-28+27-28-28.5-27-28-28.5</f>
        <v>28</v>
      </c>
      <c r="I1550" s="116"/>
    </row>
    <row r="1551" spans="1:9" s="17" customFormat="1" ht="12.75" customHeight="1" x14ac:dyDescent="0.2">
      <c r="A1551" s="65">
        <v>1542</v>
      </c>
      <c r="B1551" s="60"/>
      <c r="C1551" s="120" t="s">
        <v>3418</v>
      </c>
      <c r="D1551" s="120"/>
      <c r="E1551" s="120"/>
      <c r="F1551" s="125" t="s">
        <v>62</v>
      </c>
      <c r="G1551" s="125"/>
      <c r="H1551" s="115">
        <f>281.7-27.3-28.8-28.8-28-28-28-28</f>
        <v>84.799999999999955</v>
      </c>
      <c r="I1551" s="116"/>
    </row>
    <row r="1552" spans="1:9" s="17" customFormat="1" ht="12.75" customHeight="1" x14ac:dyDescent="0.2">
      <c r="A1552" s="65">
        <v>1543</v>
      </c>
      <c r="B1552" s="60"/>
      <c r="C1552" s="120" t="s">
        <v>5352</v>
      </c>
      <c r="D1552" s="120"/>
      <c r="E1552" s="120"/>
      <c r="F1552" s="125" t="s">
        <v>57</v>
      </c>
      <c r="G1552" s="125"/>
      <c r="H1552" s="115">
        <f>46.5-6.3-6.7-7.1</f>
        <v>26.4</v>
      </c>
      <c r="I1552" s="116"/>
    </row>
    <row r="1553" spans="1:9" s="17" customFormat="1" ht="32.25" customHeight="1" x14ac:dyDescent="0.2">
      <c r="A1553" s="65">
        <v>1544</v>
      </c>
      <c r="B1553" s="60">
        <v>6</v>
      </c>
      <c r="C1553" s="120" t="s">
        <v>3862</v>
      </c>
      <c r="D1553" s="120"/>
      <c r="E1553" s="120"/>
      <c r="F1553" s="124" t="s">
        <v>31</v>
      </c>
      <c r="G1553" s="124"/>
      <c r="H1553" s="115">
        <f>465-106+1</f>
        <v>360</v>
      </c>
      <c r="I1553" s="116"/>
    </row>
    <row r="1554" spans="1:9" s="17" customFormat="1" x14ac:dyDescent="0.2">
      <c r="A1554" s="65">
        <v>1545</v>
      </c>
      <c r="B1554" s="60"/>
      <c r="C1554" s="120" t="s">
        <v>2535</v>
      </c>
      <c r="D1554" s="120"/>
      <c r="E1554" s="120"/>
      <c r="F1554" s="121" t="s">
        <v>31</v>
      </c>
      <c r="G1554" s="122"/>
      <c r="H1554" s="115">
        <f>148.5-11.6+85-19.6-12-9.5-9.5-9.5-9.5-14.6-64-15.8-10.3</f>
        <v>47.600000000000023</v>
      </c>
      <c r="I1554" s="116"/>
    </row>
    <row r="1555" spans="1:9" s="17" customFormat="1" ht="12.75" customHeight="1" x14ac:dyDescent="0.2">
      <c r="A1555" s="65">
        <v>1546</v>
      </c>
      <c r="B1555" s="60"/>
      <c r="C1555" s="120" t="s">
        <v>1672</v>
      </c>
      <c r="D1555" s="120"/>
      <c r="E1555" s="120"/>
      <c r="F1555" s="124" t="s">
        <v>271</v>
      </c>
      <c r="G1555" s="124"/>
      <c r="H1555" s="115">
        <v>698</v>
      </c>
      <c r="I1555" s="116"/>
    </row>
    <row r="1556" spans="1:9" s="17" customFormat="1" ht="12.75" customHeight="1" x14ac:dyDescent="0.2">
      <c r="A1556" s="65">
        <v>1547</v>
      </c>
      <c r="B1556" s="60"/>
      <c r="C1556" s="112" t="s">
        <v>2078</v>
      </c>
      <c r="D1556" s="112"/>
      <c r="E1556" s="112"/>
      <c r="F1556" s="124" t="s">
        <v>12</v>
      </c>
      <c r="G1556" s="124"/>
      <c r="H1556" s="115">
        <v>82.2</v>
      </c>
      <c r="I1556" s="116"/>
    </row>
    <row r="1557" spans="1:9" s="17" customFormat="1" ht="12.75" customHeight="1" x14ac:dyDescent="0.2">
      <c r="A1557" s="65">
        <v>1548</v>
      </c>
      <c r="B1557" s="60">
        <v>6</v>
      </c>
      <c r="C1557" s="112" t="s">
        <v>2576</v>
      </c>
      <c r="D1557" s="112"/>
      <c r="E1557" s="112"/>
      <c r="F1557" s="124" t="s">
        <v>56</v>
      </c>
      <c r="G1557" s="124"/>
      <c r="H1557" s="115">
        <v>700</v>
      </c>
      <c r="I1557" s="116"/>
    </row>
    <row r="1558" spans="1:9" s="17" customFormat="1" ht="12.75" customHeight="1" x14ac:dyDescent="0.2">
      <c r="A1558" s="65">
        <v>1549</v>
      </c>
      <c r="B1558" s="60"/>
      <c r="C1558" s="112" t="s">
        <v>3372</v>
      </c>
      <c r="D1558" s="112"/>
      <c r="E1558" s="112"/>
      <c r="F1558" s="124" t="s">
        <v>56</v>
      </c>
      <c r="G1558" s="124"/>
      <c r="H1558" s="115">
        <f>91.3+29.1+53.7-53.7+27</f>
        <v>147.40000000000003</v>
      </c>
      <c r="I1558" s="116"/>
    </row>
    <row r="1559" spans="1:9" s="17" customFormat="1" ht="12.75" customHeight="1" x14ac:dyDescent="0.2">
      <c r="A1559" s="65">
        <v>1550</v>
      </c>
      <c r="B1559" s="60"/>
      <c r="C1559" s="112" t="s">
        <v>940</v>
      </c>
      <c r="D1559" s="112"/>
      <c r="E1559" s="112"/>
      <c r="F1559" s="124" t="s">
        <v>56</v>
      </c>
      <c r="G1559" s="124"/>
      <c r="H1559" s="115">
        <f>222.8-40.7-34.2</f>
        <v>147.90000000000003</v>
      </c>
      <c r="I1559" s="116"/>
    </row>
    <row r="1560" spans="1:9" s="17" customFormat="1" ht="12.75" customHeight="1" x14ac:dyDescent="0.2">
      <c r="A1560" s="65">
        <v>1551</v>
      </c>
      <c r="B1560" s="60"/>
      <c r="C1560" s="112" t="s">
        <v>3167</v>
      </c>
      <c r="D1560" s="112"/>
      <c r="E1560" s="112"/>
      <c r="F1560" s="124" t="s">
        <v>56</v>
      </c>
      <c r="G1560" s="124"/>
      <c r="H1560" s="115">
        <f>257.2-45+55.8+15.8-46.1-48.1-15.8+36-58.5-55.8-59.5-18</f>
        <v>18.000000000000014</v>
      </c>
      <c r="I1560" s="116"/>
    </row>
    <row r="1561" spans="1:9" s="17" customFormat="1" ht="12.75" customHeight="1" x14ac:dyDescent="0.2">
      <c r="A1561" s="65">
        <v>1552</v>
      </c>
      <c r="B1561" s="60"/>
      <c r="C1561" s="112" t="s">
        <v>953</v>
      </c>
      <c r="D1561" s="112"/>
      <c r="E1561" s="112"/>
      <c r="F1561" s="124" t="s">
        <v>200</v>
      </c>
      <c r="G1561" s="124"/>
      <c r="H1561" s="115">
        <f>34.9+130.1+68.9-34.9-31.8</f>
        <v>167.2</v>
      </c>
      <c r="I1561" s="116"/>
    </row>
    <row r="1562" spans="1:9" s="17" customFormat="1" ht="12.75" customHeight="1" x14ac:dyDescent="0.2">
      <c r="A1562" s="65">
        <v>1553</v>
      </c>
      <c r="B1562" s="60"/>
      <c r="C1562" s="112" t="s">
        <v>1550</v>
      </c>
      <c r="D1562" s="112"/>
      <c r="E1562" s="112"/>
      <c r="F1562" s="124" t="s">
        <v>239</v>
      </c>
      <c r="G1562" s="124"/>
      <c r="H1562" s="115">
        <f>46.6-15.1</f>
        <v>31.5</v>
      </c>
      <c r="I1562" s="116"/>
    </row>
    <row r="1563" spans="1:9" s="17" customFormat="1" ht="12.75" customHeight="1" x14ac:dyDescent="0.2">
      <c r="A1563" s="65">
        <v>1554</v>
      </c>
      <c r="B1563" s="60"/>
      <c r="C1563" s="112" t="s">
        <v>3175</v>
      </c>
      <c r="D1563" s="112"/>
      <c r="E1563" s="112"/>
      <c r="F1563" s="124" t="s">
        <v>16</v>
      </c>
      <c r="G1563" s="124"/>
      <c r="H1563" s="115">
        <f>39.7-6.7</f>
        <v>33</v>
      </c>
      <c r="I1563" s="116"/>
    </row>
    <row r="1564" spans="1:9" s="17" customFormat="1" ht="12.75" customHeight="1" x14ac:dyDescent="0.2">
      <c r="A1564" s="65">
        <v>1555</v>
      </c>
      <c r="B1564" s="60"/>
      <c r="C1564" s="112" t="s">
        <v>1458</v>
      </c>
      <c r="D1564" s="112"/>
      <c r="E1564" s="112"/>
      <c r="F1564" s="124" t="s">
        <v>85</v>
      </c>
      <c r="G1564" s="124"/>
      <c r="H1564" s="115">
        <f>157.1-57.3-0.3</f>
        <v>99.5</v>
      </c>
      <c r="I1564" s="116"/>
    </row>
    <row r="1565" spans="1:9" s="17" customFormat="1" ht="12.75" customHeight="1" x14ac:dyDescent="0.2">
      <c r="A1565" s="65">
        <v>1556</v>
      </c>
      <c r="B1565" s="60"/>
      <c r="C1565" s="112" t="s">
        <v>235</v>
      </c>
      <c r="D1565" s="112"/>
      <c r="E1565" s="112"/>
      <c r="F1565" s="124" t="s">
        <v>16</v>
      </c>
      <c r="G1565" s="124"/>
      <c r="H1565" s="115">
        <v>18</v>
      </c>
      <c r="I1565" s="116"/>
    </row>
    <row r="1566" spans="1:9" s="17" customFormat="1" ht="27.75" customHeight="1" x14ac:dyDescent="0.2">
      <c r="A1566" s="65">
        <v>1557</v>
      </c>
      <c r="B1566" s="60">
        <v>6</v>
      </c>
      <c r="C1566" s="112" t="s">
        <v>4056</v>
      </c>
      <c r="D1566" s="112"/>
      <c r="E1566" s="112"/>
      <c r="F1566" s="125" t="s">
        <v>76</v>
      </c>
      <c r="G1566" s="125"/>
      <c r="H1566" s="115">
        <f>1430-153-345-17</f>
        <v>915</v>
      </c>
      <c r="I1566" s="116"/>
    </row>
    <row r="1567" spans="1:9" s="17" customFormat="1" ht="12.75" customHeight="1" x14ac:dyDescent="0.2">
      <c r="A1567" s="65">
        <v>1558</v>
      </c>
      <c r="B1567" s="60">
        <v>6</v>
      </c>
      <c r="C1567" s="112" t="s">
        <v>3863</v>
      </c>
      <c r="D1567" s="112"/>
      <c r="E1567" s="112"/>
      <c r="F1567" s="125" t="s">
        <v>62</v>
      </c>
      <c r="G1567" s="125"/>
      <c r="H1567" s="115">
        <f>350-40-135-65</f>
        <v>110</v>
      </c>
      <c r="I1567" s="116"/>
    </row>
    <row r="1568" spans="1:9" s="17" customFormat="1" ht="11.25" x14ac:dyDescent="0.2">
      <c r="A1568" s="65">
        <v>1559</v>
      </c>
      <c r="B1568" s="60"/>
      <c r="C1568" s="128" t="s">
        <v>4485</v>
      </c>
      <c r="D1568" s="126"/>
      <c r="E1568" s="127"/>
      <c r="F1568" s="125" t="s">
        <v>1286</v>
      </c>
      <c r="G1568" s="125"/>
      <c r="H1568" s="115">
        <f>208.8-22-25.7-25.7-23.4-25.7-23.7+69.3-22-12.3-40.6</f>
        <v>57.000000000000036</v>
      </c>
      <c r="I1568" s="116"/>
    </row>
    <row r="1569" spans="1:9" s="17" customFormat="1" ht="12.75" customHeight="1" x14ac:dyDescent="0.2">
      <c r="A1569" s="65">
        <v>1560</v>
      </c>
      <c r="B1569" s="60">
        <v>6</v>
      </c>
      <c r="C1569" s="130" t="s">
        <v>2587</v>
      </c>
      <c r="D1569" s="131"/>
      <c r="E1569" s="132"/>
      <c r="F1569" s="113" t="s">
        <v>59</v>
      </c>
      <c r="G1569" s="114"/>
      <c r="H1569" s="115">
        <f>210-86</f>
        <v>124</v>
      </c>
      <c r="I1569" s="116"/>
    </row>
    <row r="1570" spans="1:9" s="17" customFormat="1" x14ac:dyDescent="0.2">
      <c r="A1570" s="65">
        <v>1561</v>
      </c>
      <c r="B1570" s="60"/>
      <c r="C1570" s="120" t="s">
        <v>2914</v>
      </c>
      <c r="D1570" s="120"/>
      <c r="E1570" s="120"/>
      <c r="F1570" s="124" t="s">
        <v>31</v>
      </c>
      <c r="G1570" s="124"/>
      <c r="H1570" s="115">
        <f>71.6+36.9-12+12-11.8-12.3-24.6</f>
        <v>59.800000000000004</v>
      </c>
      <c r="I1570" s="116"/>
    </row>
    <row r="1571" spans="1:9" s="17" customFormat="1" ht="12.75" customHeight="1" x14ac:dyDescent="0.2">
      <c r="A1571" s="65">
        <v>1562</v>
      </c>
      <c r="B1571" s="60"/>
      <c r="C1571" s="120" t="s">
        <v>2152</v>
      </c>
      <c r="D1571" s="120"/>
      <c r="E1571" s="120"/>
      <c r="F1571" s="124" t="s">
        <v>17</v>
      </c>
      <c r="G1571" s="124"/>
      <c r="H1571" s="115">
        <f>35.4-11.8-11.8</f>
        <v>11.799999999999997</v>
      </c>
      <c r="I1571" s="116"/>
    </row>
    <row r="1572" spans="1:9" s="17" customFormat="1" ht="12.75" customHeight="1" x14ac:dyDescent="0.2">
      <c r="A1572" s="65">
        <v>1563</v>
      </c>
      <c r="B1572" s="60"/>
      <c r="C1572" s="117" t="s">
        <v>1209</v>
      </c>
      <c r="D1572" s="118"/>
      <c r="E1572" s="119"/>
      <c r="F1572" s="121" t="s">
        <v>56</v>
      </c>
      <c r="G1572" s="122"/>
      <c r="H1572" s="115">
        <f>72.4-35.3</f>
        <v>37.100000000000009</v>
      </c>
      <c r="I1572" s="116"/>
    </row>
    <row r="1573" spans="1:9" s="17" customFormat="1" ht="12.75" customHeight="1" x14ac:dyDescent="0.2">
      <c r="A1573" s="65">
        <v>1564</v>
      </c>
      <c r="B1573" s="60"/>
      <c r="C1573" s="117" t="s">
        <v>3312</v>
      </c>
      <c r="D1573" s="118"/>
      <c r="E1573" s="119"/>
      <c r="F1573" s="121" t="s">
        <v>56</v>
      </c>
      <c r="G1573" s="122"/>
      <c r="H1573" s="115">
        <v>77.7</v>
      </c>
      <c r="I1573" s="116"/>
    </row>
    <row r="1574" spans="1:9" s="17" customFormat="1" ht="12.75" customHeight="1" x14ac:dyDescent="0.2">
      <c r="A1574" s="65">
        <v>1565</v>
      </c>
      <c r="B1574" s="60"/>
      <c r="C1574" s="112" t="s">
        <v>1750</v>
      </c>
      <c r="D1574" s="112"/>
      <c r="E1574" s="112"/>
      <c r="F1574" s="125" t="s">
        <v>76</v>
      </c>
      <c r="G1574" s="125"/>
      <c r="H1574" s="115">
        <f>208-145+2-1</f>
        <v>64</v>
      </c>
      <c r="I1574" s="116"/>
    </row>
    <row r="1575" spans="1:9" s="17" customFormat="1" ht="12.75" customHeight="1" x14ac:dyDescent="0.2">
      <c r="A1575" s="65">
        <v>1566</v>
      </c>
      <c r="B1575" s="60"/>
      <c r="C1575" s="112" t="s">
        <v>3254</v>
      </c>
      <c r="D1575" s="112"/>
      <c r="E1575" s="112"/>
      <c r="F1575" s="125" t="s">
        <v>62</v>
      </c>
      <c r="G1575" s="125"/>
      <c r="H1575" s="115">
        <f>52.8-25.1</f>
        <v>27.699999999999996</v>
      </c>
      <c r="I1575" s="116"/>
    </row>
    <row r="1576" spans="1:9" s="17" customFormat="1" ht="12.75" customHeight="1" x14ac:dyDescent="0.2">
      <c r="A1576" s="65">
        <v>1567</v>
      </c>
      <c r="B1576" s="60">
        <v>6</v>
      </c>
      <c r="C1576" s="112" t="s">
        <v>3864</v>
      </c>
      <c r="D1576" s="112"/>
      <c r="E1576" s="112"/>
      <c r="F1576" s="125" t="s">
        <v>140</v>
      </c>
      <c r="G1576" s="125"/>
      <c r="H1576" s="115">
        <v>295</v>
      </c>
      <c r="I1576" s="116"/>
    </row>
    <row r="1577" spans="1:9" s="17" customFormat="1" ht="12.75" customHeight="1" x14ac:dyDescent="0.2">
      <c r="A1577" s="65">
        <v>1568</v>
      </c>
      <c r="B1577" s="60"/>
      <c r="C1577" s="112" t="s">
        <v>4124</v>
      </c>
      <c r="D1577" s="112"/>
      <c r="E1577" s="112"/>
      <c r="F1577" s="124" t="s">
        <v>200</v>
      </c>
      <c r="G1577" s="124"/>
      <c r="H1577" s="115">
        <v>53.9</v>
      </c>
      <c r="I1577" s="116"/>
    </row>
    <row r="1578" spans="1:9" s="17" customFormat="1" ht="12.75" customHeight="1" x14ac:dyDescent="0.2">
      <c r="A1578" s="65">
        <v>1569</v>
      </c>
      <c r="B1578" s="60"/>
      <c r="C1578" s="112" t="s">
        <v>4122</v>
      </c>
      <c r="D1578" s="112"/>
      <c r="E1578" s="112"/>
      <c r="F1578" s="124" t="s">
        <v>200</v>
      </c>
      <c r="G1578" s="124"/>
      <c r="H1578" s="115">
        <v>32.6</v>
      </c>
      <c r="I1578" s="116"/>
    </row>
    <row r="1579" spans="1:9" s="17" customFormat="1" ht="12.75" customHeight="1" x14ac:dyDescent="0.2">
      <c r="A1579" s="65">
        <v>1570</v>
      </c>
      <c r="B1579" s="60"/>
      <c r="C1579" s="112" t="s">
        <v>4306</v>
      </c>
      <c r="D1579" s="112"/>
      <c r="E1579" s="112"/>
      <c r="F1579" s="124" t="s">
        <v>16</v>
      </c>
      <c r="G1579" s="124"/>
      <c r="H1579" s="115">
        <f>120.7-48.3</f>
        <v>72.400000000000006</v>
      </c>
      <c r="I1579" s="116"/>
    </row>
    <row r="1580" spans="1:9" s="17" customFormat="1" ht="12.75" customHeight="1" x14ac:dyDescent="0.2">
      <c r="A1580" s="65">
        <v>1571</v>
      </c>
      <c r="B1580" s="60"/>
      <c r="C1580" s="112" t="s">
        <v>2153</v>
      </c>
      <c r="D1580" s="112"/>
      <c r="E1580" s="112"/>
      <c r="F1580" s="125" t="s">
        <v>59</v>
      </c>
      <c r="G1580" s="125"/>
      <c r="H1580" s="115">
        <f>73-14.6-14.6-14.6-14.6</f>
        <v>14.599999999999996</v>
      </c>
      <c r="I1580" s="116"/>
    </row>
    <row r="1581" spans="1:9" s="17" customFormat="1" ht="12.75" customHeight="1" x14ac:dyDescent="0.2">
      <c r="A1581" s="65">
        <v>1572</v>
      </c>
      <c r="B1581" s="60">
        <v>6</v>
      </c>
      <c r="C1581" s="120" t="s">
        <v>1497</v>
      </c>
      <c r="D1581" s="120"/>
      <c r="E1581" s="120"/>
      <c r="F1581" s="124" t="s">
        <v>12</v>
      </c>
      <c r="G1581" s="124"/>
      <c r="H1581" s="115">
        <f>320-195+5</f>
        <v>130</v>
      </c>
      <c r="I1581" s="116"/>
    </row>
    <row r="1582" spans="1:9" s="17" customFormat="1" ht="28.5" customHeight="1" x14ac:dyDescent="0.2">
      <c r="A1582" s="65">
        <v>1573</v>
      </c>
      <c r="B1582" s="60">
        <v>6</v>
      </c>
      <c r="C1582" s="144" t="s">
        <v>3865</v>
      </c>
      <c r="D1582" s="144"/>
      <c r="E1582" s="144"/>
      <c r="F1582" s="113" t="s">
        <v>29</v>
      </c>
      <c r="G1582" s="114"/>
      <c r="H1582" s="115">
        <f>1120-30</f>
        <v>1090</v>
      </c>
      <c r="I1582" s="116"/>
    </row>
    <row r="1583" spans="1:9" s="17" customFormat="1" ht="12.75" customHeight="1" x14ac:dyDescent="0.2">
      <c r="A1583" s="65">
        <v>1574</v>
      </c>
      <c r="B1583" s="60">
        <v>6</v>
      </c>
      <c r="C1583" s="144" t="s">
        <v>3868</v>
      </c>
      <c r="D1583" s="144"/>
      <c r="E1583" s="144"/>
      <c r="F1583" s="113" t="s">
        <v>29</v>
      </c>
      <c r="G1583" s="114"/>
      <c r="H1583" s="115">
        <v>239</v>
      </c>
      <c r="I1583" s="116"/>
    </row>
    <row r="1584" spans="1:9" s="17" customFormat="1" ht="12.75" customHeight="1" x14ac:dyDescent="0.2">
      <c r="A1584" s="65">
        <v>1575</v>
      </c>
      <c r="B1584" s="60">
        <v>6</v>
      </c>
      <c r="C1584" s="144" t="s">
        <v>3869</v>
      </c>
      <c r="D1584" s="144"/>
      <c r="E1584" s="144"/>
      <c r="F1584" s="113" t="s">
        <v>29</v>
      </c>
      <c r="G1584" s="114"/>
      <c r="H1584" s="115">
        <v>165</v>
      </c>
      <c r="I1584" s="116"/>
    </row>
    <row r="1585" spans="1:9" s="17" customFormat="1" ht="12.75" customHeight="1" x14ac:dyDescent="0.2">
      <c r="A1585" s="65">
        <v>1576</v>
      </c>
      <c r="B1585" s="60">
        <v>6</v>
      </c>
      <c r="C1585" s="112" t="s">
        <v>3866</v>
      </c>
      <c r="D1585" s="112"/>
      <c r="E1585" s="112"/>
      <c r="F1585" s="125" t="s">
        <v>140</v>
      </c>
      <c r="G1585" s="125"/>
      <c r="H1585" s="115">
        <v>370</v>
      </c>
      <c r="I1585" s="116"/>
    </row>
    <row r="1586" spans="1:9" s="17" customFormat="1" ht="12.75" customHeight="1" x14ac:dyDescent="0.2">
      <c r="A1586" s="65">
        <v>1577</v>
      </c>
      <c r="B1586" s="60">
        <v>6</v>
      </c>
      <c r="C1586" s="130" t="s">
        <v>1638</v>
      </c>
      <c r="D1586" s="131"/>
      <c r="E1586" s="132"/>
      <c r="F1586" s="113" t="s">
        <v>57</v>
      </c>
      <c r="G1586" s="114"/>
      <c r="H1586" s="115">
        <f>186.5-25.5</f>
        <v>161</v>
      </c>
      <c r="I1586" s="116"/>
    </row>
    <row r="1587" spans="1:9" s="17" customFormat="1" ht="12.75" customHeight="1" x14ac:dyDescent="0.2">
      <c r="A1587" s="65">
        <v>1578</v>
      </c>
      <c r="B1587" s="60">
        <v>2</v>
      </c>
      <c r="C1587" s="130" t="s">
        <v>3867</v>
      </c>
      <c r="D1587" s="131"/>
      <c r="E1587" s="132"/>
      <c r="F1587" s="113" t="s">
        <v>57</v>
      </c>
      <c r="G1587" s="114"/>
      <c r="H1587" s="115">
        <v>292</v>
      </c>
      <c r="I1587" s="116"/>
    </row>
    <row r="1588" spans="1:9" s="17" customFormat="1" ht="12.75" customHeight="1" x14ac:dyDescent="0.2">
      <c r="A1588" s="65">
        <v>1579</v>
      </c>
      <c r="B1588" s="60"/>
      <c r="C1588" s="144" t="s">
        <v>4986</v>
      </c>
      <c r="D1588" s="144"/>
      <c r="E1588" s="144"/>
      <c r="F1588" s="125" t="s">
        <v>62</v>
      </c>
      <c r="G1588" s="125"/>
      <c r="H1588" s="115">
        <f>373-46.7-46.7+0.6-46.7</f>
        <v>233.50000000000006</v>
      </c>
      <c r="I1588" s="116"/>
    </row>
    <row r="1589" spans="1:9" s="17" customFormat="1" ht="11.25" x14ac:dyDescent="0.2">
      <c r="A1589" s="65">
        <v>1580</v>
      </c>
      <c r="B1589" s="60"/>
      <c r="C1589" s="128" t="s">
        <v>4714</v>
      </c>
      <c r="D1589" s="126"/>
      <c r="E1589" s="127"/>
      <c r="F1589" s="125" t="s">
        <v>62</v>
      </c>
      <c r="G1589" s="125"/>
      <c r="H1589" s="115">
        <f>412.3+9.7-12.8-14.5-13-13.5-9.7-15-14.1-9.2-12.2-8.9-9-6.7-8.4-6.8-7.8-23.6-6.8-13.7-14.2-11.4-14.2-8.5-20.6-13.4-11.3-13.2-9.5-11.4-12.9-13.4-11.3-11.3</f>
        <v>39.700000000000045</v>
      </c>
      <c r="I1589" s="116"/>
    </row>
    <row r="1590" spans="1:9" s="17" customFormat="1" ht="27.75" customHeight="1" x14ac:dyDescent="0.2">
      <c r="A1590" s="65">
        <v>1581</v>
      </c>
      <c r="B1590" s="60"/>
      <c r="C1590" s="128" t="s">
        <v>4876</v>
      </c>
      <c r="D1590" s="126"/>
      <c r="E1590" s="127"/>
      <c r="F1590" s="125" t="s">
        <v>76</v>
      </c>
      <c r="G1590" s="125"/>
      <c r="H1590" s="115">
        <f>274.5-16-14.8-9-11.7-13.2-11.8-11.8-13.2</f>
        <v>173</v>
      </c>
      <c r="I1590" s="116"/>
    </row>
    <row r="1591" spans="1:9" s="17" customFormat="1" ht="12.75" customHeight="1" x14ac:dyDescent="0.2">
      <c r="A1591" s="65">
        <v>1582</v>
      </c>
      <c r="B1591" s="60"/>
      <c r="C1591" s="112" t="s">
        <v>938</v>
      </c>
      <c r="D1591" s="112"/>
      <c r="E1591" s="112"/>
      <c r="F1591" s="125" t="s">
        <v>59</v>
      </c>
      <c r="G1591" s="125"/>
      <c r="H1591" s="115">
        <f>93.6-15.6-15.6</f>
        <v>62.4</v>
      </c>
      <c r="I1591" s="116"/>
    </row>
    <row r="1592" spans="1:9" s="17" customFormat="1" ht="12.75" customHeight="1" x14ac:dyDescent="0.2">
      <c r="A1592" s="65">
        <v>1583</v>
      </c>
      <c r="B1592" s="60"/>
      <c r="C1592" s="112" t="s">
        <v>1270</v>
      </c>
      <c r="D1592" s="112"/>
      <c r="E1592" s="112"/>
      <c r="F1592" s="125" t="s">
        <v>59</v>
      </c>
      <c r="G1592" s="125"/>
      <c r="H1592" s="115">
        <f>43.8-14.6</f>
        <v>29.199999999999996</v>
      </c>
      <c r="I1592" s="116"/>
    </row>
    <row r="1593" spans="1:9" s="17" customFormat="1" ht="12.75" customHeight="1" x14ac:dyDescent="0.2">
      <c r="A1593" s="65">
        <v>1584</v>
      </c>
      <c r="B1593" s="60"/>
      <c r="C1593" s="112" t="s">
        <v>2401</v>
      </c>
      <c r="D1593" s="112"/>
      <c r="E1593" s="112"/>
      <c r="F1593" s="124" t="s">
        <v>56</v>
      </c>
      <c r="G1593" s="124"/>
      <c r="H1593" s="115">
        <f>692-80-184-65-282+2.6</f>
        <v>83.6</v>
      </c>
      <c r="I1593" s="116"/>
    </row>
    <row r="1594" spans="1:9" s="17" customFormat="1" ht="12.75" customHeight="1" x14ac:dyDescent="0.2">
      <c r="A1594" s="65">
        <v>1585</v>
      </c>
      <c r="B1594" s="60"/>
      <c r="C1594" s="112" t="s">
        <v>735</v>
      </c>
      <c r="D1594" s="112"/>
      <c r="E1594" s="112"/>
      <c r="F1594" s="124" t="s">
        <v>56</v>
      </c>
      <c r="G1594" s="124"/>
      <c r="H1594" s="115">
        <v>39</v>
      </c>
      <c r="I1594" s="116"/>
    </row>
    <row r="1595" spans="1:9" s="17" customFormat="1" ht="25.5" customHeight="1" x14ac:dyDescent="0.2">
      <c r="A1595" s="65">
        <v>1586</v>
      </c>
      <c r="B1595" s="60"/>
      <c r="C1595" s="112" t="s">
        <v>4438</v>
      </c>
      <c r="D1595" s="112"/>
      <c r="E1595" s="112"/>
      <c r="F1595" s="124" t="s">
        <v>56</v>
      </c>
      <c r="G1595" s="124"/>
      <c r="H1595" s="115">
        <f>208.7-61.5-22-18.3+0.1</f>
        <v>106.99999999999999</v>
      </c>
      <c r="I1595" s="116"/>
    </row>
    <row r="1596" spans="1:9" s="17" customFormat="1" ht="12.75" customHeight="1" x14ac:dyDescent="0.2">
      <c r="A1596" s="65">
        <v>1587</v>
      </c>
      <c r="B1596" s="60"/>
      <c r="C1596" s="112" t="s">
        <v>554</v>
      </c>
      <c r="D1596" s="112"/>
      <c r="E1596" s="112"/>
      <c r="F1596" s="124" t="s">
        <v>56</v>
      </c>
      <c r="G1596" s="124"/>
      <c r="H1596" s="115">
        <f>69-22.9</f>
        <v>46.1</v>
      </c>
      <c r="I1596" s="116"/>
    </row>
    <row r="1597" spans="1:9" s="17" customFormat="1" ht="12.75" customHeight="1" x14ac:dyDescent="0.2">
      <c r="A1597" s="65">
        <v>1588</v>
      </c>
      <c r="B1597" s="60">
        <v>6</v>
      </c>
      <c r="C1597" s="144" t="s">
        <v>3870</v>
      </c>
      <c r="D1597" s="144"/>
      <c r="E1597" s="144"/>
      <c r="F1597" s="113" t="s">
        <v>29</v>
      </c>
      <c r="G1597" s="114"/>
      <c r="H1597" s="115">
        <f>760-50-215-72</f>
        <v>423</v>
      </c>
      <c r="I1597" s="116"/>
    </row>
    <row r="1598" spans="1:9" s="17" customFormat="1" ht="12.75" customHeight="1" x14ac:dyDescent="0.2">
      <c r="A1598" s="65">
        <v>1589</v>
      </c>
      <c r="B1598" s="60"/>
      <c r="C1598" s="144" t="s">
        <v>1705</v>
      </c>
      <c r="D1598" s="144"/>
      <c r="E1598" s="144"/>
      <c r="F1598" s="113" t="s">
        <v>140</v>
      </c>
      <c r="G1598" s="114"/>
      <c r="H1598" s="115">
        <v>14.1</v>
      </c>
      <c r="I1598" s="116"/>
    </row>
    <row r="1599" spans="1:9" s="17" customFormat="1" ht="12.75" customHeight="1" x14ac:dyDescent="0.2">
      <c r="A1599" s="65">
        <v>1590</v>
      </c>
      <c r="B1599" s="60">
        <v>6</v>
      </c>
      <c r="C1599" s="144" t="s">
        <v>4069</v>
      </c>
      <c r="D1599" s="144"/>
      <c r="E1599" s="144"/>
      <c r="F1599" s="113" t="s">
        <v>29</v>
      </c>
      <c r="G1599" s="114"/>
      <c r="H1599" s="115">
        <f>590-285-122</f>
        <v>183</v>
      </c>
      <c r="I1599" s="116"/>
    </row>
    <row r="1600" spans="1:9" s="17" customFormat="1" ht="11.25" x14ac:dyDescent="0.2">
      <c r="A1600" s="65">
        <v>1591</v>
      </c>
      <c r="B1600" s="60"/>
      <c r="C1600" s="128" t="s">
        <v>3502</v>
      </c>
      <c r="D1600" s="126"/>
      <c r="E1600" s="127"/>
      <c r="F1600" s="125" t="s">
        <v>1286</v>
      </c>
      <c r="G1600" s="125"/>
      <c r="H1600" s="115">
        <f>466.8-27.5-48.6-33.5-32-34.2-32-40.6-40.7-41.3</f>
        <v>136.39999999999998</v>
      </c>
      <c r="I1600" s="116"/>
    </row>
    <row r="1601" spans="1:9" s="17" customFormat="1" ht="12.75" customHeight="1" x14ac:dyDescent="0.2">
      <c r="A1601" s="65">
        <v>1592</v>
      </c>
      <c r="B1601" s="60"/>
      <c r="C1601" s="128" t="s">
        <v>1940</v>
      </c>
      <c r="D1601" s="126"/>
      <c r="E1601" s="127"/>
      <c r="F1601" s="125" t="s">
        <v>75</v>
      </c>
      <c r="G1601" s="125"/>
      <c r="H1601" s="115">
        <f>1445.8-63.7-63.7-50-63.5-63.7-64.5+13-13-64.6-22.4+18.9-42.2-18.9-64.3-64-50.7+45.7-192-64.3-64.3-65-45.7-64.3-127+0.4-64-64</f>
        <v>63.999999999999858</v>
      </c>
      <c r="I1601" s="116"/>
    </row>
    <row r="1602" spans="1:9" s="17" customFormat="1" ht="11.25" x14ac:dyDescent="0.2">
      <c r="A1602" s="65">
        <v>1593</v>
      </c>
      <c r="B1602" s="60"/>
      <c r="C1602" s="128" t="s">
        <v>4920</v>
      </c>
      <c r="D1602" s="126"/>
      <c r="E1602" s="127"/>
      <c r="F1602" s="125" t="s">
        <v>1286</v>
      </c>
      <c r="G1602" s="125"/>
      <c r="H1602" s="115">
        <f>152-39.8-34.4-39.2</f>
        <v>38.600000000000009</v>
      </c>
      <c r="I1602" s="116"/>
    </row>
    <row r="1603" spans="1:9" s="17" customFormat="1" ht="11.25" x14ac:dyDescent="0.2">
      <c r="A1603" s="65">
        <v>1594</v>
      </c>
      <c r="B1603" s="60"/>
      <c r="C1603" s="128" t="s">
        <v>3970</v>
      </c>
      <c r="D1603" s="126"/>
      <c r="E1603" s="127"/>
      <c r="F1603" s="125" t="s">
        <v>1286</v>
      </c>
      <c r="G1603" s="125"/>
      <c r="H1603" s="115">
        <v>74.3</v>
      </c>
      <c r="I1603" s="116"/>
    </row>
    <row r="1604" spans="1:9" s="17" customFormat="1" ht="12.75" customHeight="1" x14ac:dyDescent="0.2">
      <c r="A1604" s="65">
        <v>1595</v>
      </c>
      <c r="B1604" s="60"/>
      <c r="C1604" s="117" t="s">
        <v>2404</v>
      </c>
      <c r="D1604" s="118"/>
      <c r="E1604" s="119"/>
      <c r="F1604" s="125" t="s">
        <v>140</v>
      </c>
      <c r="G1604" s="125"/>
      <c r="H1604" s="115">
        <v>15.7</v>
      </c>
      <c r="I1604" s="116"/>
    </row>
    <row r="1605" spans="1:9" s="17" customFormat="1" ht="12.75" customHeight="1" x14ac:dyDescent="0.2">
      <c r="A1605" s="65">
        <v>1596</v>
      </c>
      <c r="B1605" s="60"/>
      <c r="C1605" s="128" t="s">
        <v>601</v>
      </c>
      <c r="D1605" s="126"/>
      <c r="E1605" s="127"/>
      <c r="F1605" s="125" t="s">
        <v>199</v>
      </c>
      <c r="G1605" s="125"/>
      <c r="H1605" s="115"/>
      <c r="I1605" s="116"/>
    </row>
    <row r="1606" spans="1:9" s="17" customFormat="1" ht="12.75" customHeight="1" x14ac:dyDescent="0.2">
      <c r="A1606" s="65">
        <v>1597</v>
      </c>
      <c r="B1606" s="60">
        <v>6</v>
      </c>
      <c r="C1606" s="112" t="s">
        <v>2720</v>
      </c>
      <c r="D1606" s="112"/>
      <c r="E1606" s="112"/>
      <c r="F1606" s="124" t="s">
        <v>12</v>
      </c>
      <c r="G1606" s="124"/>
      <c r="H1606" s="115">
        <f>271-155</f>
        <v>116</v>
      </c>
      <c r="I1606" s="116"/>
    </row>
    <row r="1607" spans="1:9" s="17" customFormat="1" ht="30" customHeight="1" x14ac:dyDescent="0.2">
      <c r="A1607" s="65">
        <v>1598</v>
      </c>
      <c r="B1607" s="60">
        <v>6</v>
      </c>
      <c r="C1607" s="112" t="s">
        <v>3871</v>
      </c>
      <c r="D1607" s="112"/>
      <c r="E1607" s="112"/>
      <c r="F1607" s="124" t="s">
        <v>56</v>
      </c>
      <c r="G1607" s="124"/>
      <c r="H1607" s="115">
        <v>670</v>
      </c>
      <c r="I1607" s="116"/>
    </row>
    <row r="1608" spans="1:9" s="17" customFormat="1" ht="12.75" customHeight="1" x14ac:dyDescent="0.2">
      <c r="A1608" s="65">
        <v>1599</v>
      </c>
      <c r="B1608" s="60"/>
      <c r="C1608" s="112" t="s">
        <v>2105</v>
      </c>
      <c r="D1608" s="112"/>
      <c r="E1608" s="112"/>
      <c r="F1608" s="124" t="s">
        <v>56</v>
      </c>
      <c r="G1608" s="124"/>
      <c r="H1608" s="115">
        <f>184.3-120.3</f>
        <v>64.000000000000014</v>
      </c>
      <c r="I1608" s="116"/>
    </row>
    <row r="1609" spans="1:9" s="17" customFormat="1" ht="12.75" customHeight="1" x14ac:dyDescent="0.2">
      <c r="A1609" s="65">
        <v>1600</v>
      </c>
      <c r="B1609" s="60"/>
      <c r="C1609" s="112" t="s">
        <v>1228</v>
      </c>
      <c r="D1609" s="112"/>
      <c r="E1609" s="112"/>
      <c r="F1609" s="124" t="s">
        <v>56</v>
      </c>
      <c r="G1609" s="124"/>
      <c r="H1609" s="115">
        <v>85</v>
      </c>
      <c r="I1609" s="116"/>
    </row>
    <row r="1610" spans="1:9" s="17" customFormat="1" ht="12.75" customHeight="1" x14ac:dyDescent="0.2">
      <c r="A1610" s="65">
        <v>1601</v>
      </c>
      <c r="B1610" s="60"/>
      <c r="C1610" s="112" t="s">
        <v>2205</v>
      </c>
      <c r="D1610" s="112"/>
      <c r="E1610" s="112"/>
      <c r="F1610" s="124" t="s">
        <v>56</v>
      </c>
      <c r="G1610" s="124"/>
      <c r="H1610" s="115">
        <v>52.3</v>
      </c>
      <c r="I1610" s="116"/>
    </row>
    <row r="1611" spans="1:9" s="17" customFormat="1" ht="12.75" customHeight="1" x14ac:dyDescent="0.2">
      <c r="A1611" s="65">
        <v>1602</v>
      </c>
      <c r="B1611" s="60"/>
      <c r="C1611" s="117" t="s">
        <v>821</v>
      </c>
      <c r="D1611" s="118"/>
      <c r="E1611" s="119"/>
      <c r="F1611" s="121" t="s">
        <v>56</v>
      </c>
      <c r="G1611" s="122"/>
      <c r="H1611" s="115">
        <f>10.5+11.6</f>
        <v>22.1</v>
      </c>
      <c r="I1611" s="116"/>
    </row>
    <row r="1612" spans="1:9" s="17" customFormat="1" ht="12.75" customHeight="1" x14ac:dyDescent="0.2">
      <c r="A1612" s="65">
        <v>1603</v>
      </c>
      <c r="B1612" s="60">
        <v>6</v>
      </c>
      <c r="C1612" s="144" t="s">
        <v>4211</v>
      </c>
      <c r="D1612" s="144"/>
      <c r="E1612" s="144"/>
      <c r="F1612" s="113" t="s">
        <v>29</v>
      </c>
      <c r="G1612" s="114"/>
      <c r="H1612" s="115">
        <f>650-105-164-175</f>
        <v>206</v>
      </c>
      <c r="I1612" s="116"/>
    </row>
    <row r="1613" spans="1:9" s="17" customFormat="1" ht="12.75" customHeight="1" x14ac:dyDescent="0.2">
      <c r="A1613" s="65">
        <v>1604</v>
      </c>
      <c r="B1613" s="60"/>
      <c r="C1613" s="120" t="s">
        <v>310</v>
      </c>
      <c r="D1613" s="120"/>
      <c r="E1613" s="120"/>
      <c r="F1613" s="124" t="s">
        <v>40</v>
      </c>
      <c r="G1613" s="124"/>
      <c r="H1613" s="115">
        <v>105.5</v>
      </c>
      <c r="I1613" s="116"/>
    </row>
    <row r="1614" spans="1:9" s="17" customFormat="1" ht="12.75" customHeight="1" x14ac:dyDescent="0.2">
      <c r="A1614" s="65">
        <v>1605</v>
      </c>
      <c r="B1614" s="60">
        <v>2</v>
      </c>
      <c r="C1614" s="130" t="s">
        <v>1774</v>
      </c>
      <c r="D1614" s="131"/>
      <c r="E1614" s="132"/>
      <c r="F1614" s="113" t="s">
        <v>29</v>
      </c>
      <c r="G1614" s="114"/>
      <c r="H1614" s="115">
        <f>558-294-80-54</f>
        <v>130</v>
      </c>
      <c r="I1614" s="116"/>
    </row>
    <row r="1615" spans="1:9" s="17" customFormat="1" ht="12.75" customHeight="1" x14ac:dyDescent="0.2">
      <c r="A1615" s="65">
        <v>1606</v>
      </c>
      <c r="B1615" s="60">
        <v>2</v>
      </c>
      <c r="C1615" s="144" t="s">
        <v>818</v>
      </c>
      <c r="D1615" s="144"/>
      <c r="E1615" s="144"/>
      <c r="F1615" s="113" t="s">
        <v>140</v>
      </c>
      <c r="G1615" s="114"/>
      <c r="H1615" s="115">
        <v>424</v>
      </c>
      <c r="I1615" s="116"/>
    </row>
    <row r="1616" spans="1:9" s="17" customFormat="1" ht="12.75" customHeight="1" x14ac:dyDescent="0.2">
      <c r="A1616" s="65">
        <v>1607</v>
      </c>
      <c r="B1616" s="60">
        <v>2</v>
      </c>
      <c r="C1616" s="144" t="s">
        <v>819</v>
      </c>
      <c r="D1616" s="144"/>
      <c r="E1616" s="144"/>
      <c r="F1616" s="113" t="s">
        <v>140</v>
      </c>
      <c r="G1616" s="114"/>
      <c r="H1616" s="115">
        <v>428</v>
      </c>
      <c r="I1616" s="116"/>
    </row>
    <row r="1617" spans="1:9" s="17" customFormat="1" ht="12.75" customHeight="1" x14ac:dyDescent="0.2">
      <c r="A1617" s="65">
        <v>1608</v>
      </c>
      <c r="B1617" s="60">
        <v>6</v>
      </c>
      <c r="C1617" s="144" t="s">
        <v>1046</v>
      </c>
      <c r="D1617" s="144"/>
      <c r="E1617" s="144"/>
      <c r="F1617" s="113" t="s">
        <v>140</v>
      </c>
      <c r="G1617" s="114"/>
      <c r="H1617" s="115">
        <f>414-137.5-139</f>
        <v>137.5</v>
      </c>
      <c r="I1617" s="116"/>
    </row>
    <row r="1618" spans="1:9" s="17" customFormat="1" ht="12.75" customHeight="1" x14ac:dyDescent="0.2">
      <c r="A1618" s="65">
        <v>1609</v>
      </c>
      <c r="B1618" s="60"/>
      <c r="C1618" s="144" t="s">
        <v>1060</v>
      </c>
      <c r="D1618" s="144"/>
      <c r="E1618" s="144"/>
      <c r="F1618" s="113" t="s">
        <v>140</v>
      </c>
      <c r="G1618" s="114"/>
      <c r="H1618" s="115">
        <f>485-264.3</f>
        <v>220.7</v>
      </c>
      <c r="I1618" s="116"/>
    </row>
    <row r="1619" spans="1:9" s="17" customFormat="1" ht="12.75" customHeight="1" x14ac:dyDescent="0.2">
      <c r="A1619" s="65">
        <v>1610</v>
      </c>
      <c r="B1619" s="60"/>
      <c r="C1619" s="144" t="s">
        <v>1279</v>
      </c>
      <c r="D1619" s="144"/>
      <c r="E1619" s="144"/>
      <c r="F1619" s="113" t="s">
        <v>140</v>
      </c>
      <c r="G1619" s="114"/>
      <c r="H1619" s="115">
        <f>93-46.5</f>
        <v>46.5</v>
      </c>
      <c r="I1619" s="116"/>
    </row>
    <row r="1620" spans="1:9" s="17" customFormat="1" ht="12.75" customHeight="1" x14ac:dyDescent="0.2">
      <c r="A1620" s="65">
        <v>1611</v>
      </c>
      <c r="B1620" s="60"/>
      <c r="C1620" s="144" t="s">
        <v>3983</v>
      </c>
      <c r="D1620" s="144"/>
      <c r="E1620" s="144"/>
      <c r="F1620" s="113" t="s">
        <v>140</v>
      </c>
      <c r="G1620" s="114"/>
      <c r="H1620" s="115">
        <f>127.3-40.2</f>
        <v>87.1</v>
      </c>
      <c r="I1620" s="116"/>
    </row>
    <row r="1621" spans="1:9" s="17" customFormat="1" ht="12.75" customHeight="1" x14ac:dyDescent="0.2">
      <c r="A1621" s="65">
        <v>1612</v>
      </c>
      <c r="B1621" s="60"/>
      <c r="C1621" s="144" t="s">
        <v>1246</v>
      </c>
      <c r="D1621" s="144"/>
      <c r="E1621" s="144"/>
      <c r="F1621" s="113" t="s">
        <v>184</v>
      </c>
      <c r="G1621" s="114"/>
      <c r="H1621" s="115">
        <v>185</v>
      </c>
      <c r="I1621" s="116"/>
    </row>
    <row r="1622" spans="1:9" s="17" customFormat="1" ht="12.75" customHeight="1" x14ac:dyDescent="0.2">
      <c r="A1622" s="65">
        <v>1613</v>
      </c>
      <c r="B1622" s="60"/>
      <c r="C1622" s="117" t="s">
        <v>866</v>
      </c>
      <c r="D1622" s="118"/>
      <c r="E1622" s="119"/>
      <c r="F1622" s="125" t="s">
        <v>140</v>
      </c>
      <c r="G1622" s="125"/>
      <c r="H1622" s="115">
        <f>53.2+135.1-67.8-53.2+76.9</f>
        <v>144.20000000000002</v>
      </c>
      <c r="I1622" s="116"/>
    </row>
    <row r="1623" spans="1:9" s="17" customFormat="1" ht="12.75" customHeight="1" x14ac:dyDescent="0.2">
      <c r="A1623" s="65">
        <v>1614</v>
      </c>
      <c r="B1623" s="60"/>
      <c r="C1623" s="117" t="s">
        <v>3041</v>
      </c>
      <c r="D1623" s="118"/>
      <c r="E1623" s="119"/>
      <c r="F1623" s="125" t="s">
        <v>140</v>
      </c>
      <c r="G1623" s="125"/>
      <c r="H1623" s="115">
        <v>17.399999999999999</v>
      </c>
      <c r="I1623" s="116"/>
    </row>
    <row r="1624" spans="1:9" s="17" customFormat="1" ht="12.75" customHeight="1" x14ac:dyDescent="0.2">
      <c r="A1624" s="65">
        <v>1615</v>
      </c>
      <c r="B1624" s="60"/>
      <c r="C1624" s="117" t="s">
        <v>484</v>
      </c>
      <c r="D1624" s="118"/>
      <c r="E1624" s="119"/>
      <c r="F1624" s="125" t="s">
        <v>59</v>
      </c>
      <c r="G1624" s="125"/>
      <c r="H1624" s="115">
        <f>348.8-43.2-43.3-43.6-43.8-43.5</f>
        <v>131.40000000000003</v>
      </c>
      <c r="I1624" s="116"/>
    </row>
    <row r="1625" spans="1:9" s="17" customFormat="1" ht="12.75" customHeight="1" x14ac:dyDescent="0.2">
      <c r="A1625" s="65">
        <v>1616</v>
      </c>
      <c r="B1625" s="60"/>
      <c r="C1625" s="117" t="s">
        <v>1766</v>
      </c>
      <c r="D1625" s="118"/>
      <c r="E1625" s="119"/>
      <c r="F1625" s="125" t="s">
        <v>59</v>
      </c>
      <c r="G1625" s="125"/>
      <c r="H1625" s="115">
        <f>83.6-21.2</f>
        <v>62.399999999999991</v>
      </c>
      <c r="I1625" s="116"/>
    </row>
    <row r="1626" spans="1:9" s="17" customFormat="1" ht="12.75" customHeight="1" x14ac:dyDescent="0.2">
      <c r="A1626" s="65">
        <v>1617</v>
      </c>
      <c r="B1626" s="60"/>
      <c r="C1626" s="144" t="s">
        <v>3840</v>
      </c>
      <c r="D1626" s="144"/>
      <c r="E1626" s="144"/>
      <c r="F1626" s="113" t="s">
        <v>140</v>
      </c>
      <c r="G1626" s="114"/>
      <c r="H1626" s="115">
        <f>77.3-19.1</f>
        <v>58.199999999999996</v>
      </c>
      <c r="I1626" s="116"/>
    </row>
    <row r="1627" spans="1:9" s="17" customFormat="1" ht="12.75" customHeight="1" x14ac:dyDescent="0.2">
      <c r="A1627" s="65">
        <v>1618</v>
      </c>
      <c r="B1627" s="60"/>
      <c r="C1627" s="117" t="s">
        <v>1874</v>
      </c>
      <c r="D1627" s="118"/>
      <c r="E1627" s="119"/>
      <c r="F1627" s="121" t="s">
        <v>56</v>
      </c>
      <c r="G1627" s="122"/>
      <c r="H1627" s="115">
        <f>32.5+67.7-32.5</f>
        <v>67.7</v>
      </c>
      <c r="I1627" s="116"/>
    </row>
    <row r="1628" spans="1:9" s="17" customFormat="1" ht="12.75" customHeight="1" x14ac:dyDescent="0.2">
      <c r="A1628" s="65">
        <v>1619</v>
      </c>
      <c r="B1628" s="60"/>
      <c r="C1628" s="117" t="s">
        <v>796</v>
      </c>
      <c r="D1628" s="118"/>
      <c r="E1628" s="119"/>
      <c r="F1628" s="121" t="s">
        <v>56</v>
      </c>
      <c r="G1628" s="122"/>
      <c r="H1628" s="115">
        <v>88.4</v>
      </c>
      <c r="I1628" s="116"/>
    </row>
    <row r="1629" spans="1:9" s="17" customFormat="1" ht="12.75" customHeight="1" x14ac:dyDescent="0.2">
      <c r="A1629" s="65">
        <v>1620</v>
      </c>
      <c r="B1629" s="60"/>
      <c r="C1629" s="144" t="s">
        <v>1626</v>
      </c>
      <c r="D1629" s="144"/>
      <c r="E1629" s="144"/>
      <c r="F1629" s="113" t="s">
        <v>140</v>
      </c>
      <c r="G1629" s="114"/>
      <c r="H1629" s="115">
        <v>80.7</v>
      </c>
      <c r="I1629" s="116"/>
    </row>
    <row r="1630" spans="1:9" s="17" customFormat="1" ht="12.75" customHeight="1" x14ac:dyDescent="0.2">
      <c r="A1630" s="65">
        <v>1621</v>
      </c>
      <c r="B1630" s="60"/>
      <c r="C1630" s="144" t="s">
        <v>1706</v>
      </c>
      <c r="D1630" s="144"/>
      <c r="E1630" s="144"/>
      <c r="F1630" s="113" t="s">
        <v>140</v>
      </c>
      <c r="G1630" s="114"/>
      <c r="H1630" s="115">
        <v>21.3</v>
      </c>
      <c r="I1630" s="116"/>
    </row>
    <row r="1631" spans="1:9" s="17" customFormat="1" ht="12.75" customHeight="1" x14ac:dyDescent="0.2">
      <c r="A1631" s="65">
        <v>1622</v>
      </c>
      <c r="B1631" s="60"/>
      <c r="C1631" s="117" t="s">
        <v>1347</v>
      </c>
      <c r="D1631" s="118"/>
      <c r="E1631" s="119"/>
      <c r="F1631" s="113" t="s">
        <v>140</v>
      </c>
      <c r="G1631" s="114"/>
      <c r="H1631" s="115">
        <v>49</v>
      </c>
      <c r="I1631" s="116"/>
    </row>
    <row r="1632" spans="1:9" s="17" customFormat="1" ht="12.75" customHeight="1" x14ac:dyDescent="0.2">
      <c r="A1632" s="65">
        <v>1623</v>
      </c>
      <c r="B1632" s="60">
        <v>6</v>
      </c>
      <c r="C1632" s="130" t="s">
        <v>867</v>
      </c>
      <c r="D1632" s="131"/>
      <c r="E1632" s="132"/>
      <c r="F1632" s="113" t="s">
        <v>140</v>
      </c>
      <c r="G1632" s="114"/>
      <c r="H1632" s="115">
        <v>103</v>
      </c>
      <c r="I1632" s="116"/>
    </row>
    <row r="1633" spans="1:9" s="17" customFormat="1" ht="12.75" customHeight="1" x14ac:dyDescent="0.2">
      <c r="A1633" s="65">
        <v>1624</v>
      </c>
      <c r="B1633" s="60"/>
      <c r="C1633" s="117" t="s">
        <v>451</v>
      </c>
      <c r="D1633" s="118"/>
      <c r="E1633" s="119"/>
      <c r="F1633" s="113" t="s">
        <v>62</v>
      </c>
      <c r="G1633" s="114"/>
      <c r="H1633" s="115"/>
      <c r="I1633" s="116"/>
    </row>
    <row r="1634" spans="1:9" s="17" customFormat="1" ht="12.75" customHeight="1" x14ac:dyDescent="0.2">
      <c r="A1634" s="65">
        <v>1625</v>
      </c>
      <c r="B1634" s="60"/>
      <c r="C1634" s="117" t="s">
        <v>1346</v>
      </c>
      <c r="D1634" s="118"/>
      <c r="E1634" s="119"/>
      <c r="F1634" s="113" t="s">
        <v>140</v>
      </c>
      <c r="G1634" s="114"/>
      <c r="H1634" s="115">
        <v>62.3</v>
      </c>
      <c r="I1634" s="116"/>
    </row>
    <row r="1635" spans="1:9" s="17" customFormat="1" ht="13.5" customHeight="1" x14ac:dyDescent="0.2">
      <c r="A1635" s="65">
        <v>1626</v>
      </c>
      <c r="B1635" s="60">
        <v>2</v>
      </c>
      <c r="C1635" s="117" t="s">
        <v>5391</v>
      </c>
      <c r="D1635" s="118"/>
      <c r="E1635" s="119"/>
      <c r="F1635" s="113" t="s">
        <v>29</v>
      </c>
      <c r="G1635" s="114"/>
      <c r="H1635" s="115">
        <f>420-171</f>
        <v>249</v>
      </c>
      <c r="I1635" s="116"/>
    </row>
    <row r="1636" spans="1:9" s="17" customFormat="1" ht="13.5" customHeight="1" x14ac:dyDescent="0.2">
      <c r="A1636" s="65">
        <v>1627</v>
      </c>
      <c r="B1636" s="60">
        <v>2</v>
      </c>
      <c r="C1636" s="117" t="s">
        <v>1797</v>
      </c>
      <c r="D1636" s="118"/>
      <c r="E1636" s="119"/>
      <c r="F1636" s="113" t="s">
        <v>29</v>
      </c>
      <c r="G1636" s="114"/>
      <c r="H1636" s="115">
        <f>1955-1451+1</f>
        <v>505</v>
      </c>
      <c r="I1636" s="116"/>
    </row>
    <row r="1637" spans="1:9" s="17" customFormat="1" ht="11.25" x14ac:dyDescent="0.2">
      <c r="A1637" s="65">
        <v>1628</v>
      </c>
      <c r="B1637" s="60">
        <v>2</v>
      </c>
      <c r="C1637" s="117" t="s">
        <v>3872</v>
      </c>
      <c r="D1637" s="118"/>
      <c r="E1637" s="119"/>
      <c r="F1637" s="113" t="s">
        <v>29</v>
      </c>
      <c r="G1637" s="114"/>
      <c r="H1637" s="115">
        <f>257+358-257</f>
        <v>358</v>
      </c>
      <c r="I1637" s="116"/>
    </row>
    <row r="1638" spans="1:9" s="17" customFormat="1" ht="12.75" customHeight="1" x14ac:dyDescent="0.2">
      <c r="A1638" s="65">
        <v>1629</v>
      </c>
      <c r="B1638" s="60">
        <v>2</v>
      </c>
      <c r="C1638" s="130" t="s">
        <v>2626</v>
      </c>
      <c r="D1638" s="131"/>
      <c r="E1638" s="132"/>
      <c r="F1638" s="113" t="s">
        <v>140</v>
      </c>
      <c r="G1638" s="114"/>
      <c r="H1638" s="115">
        <v>277</v>
      </c>
      <c r="I1638" s="116"/>
    </row>
    <row r="1639" spans="1:9" s="17" customFormat="1" ht="13.5" customHeight="1" x14ac:dyDescent="0.2">
      <c r="A1639" s="65">
        <v>1630</v>
      </c>
      <c r="B1639" s="60">
        <v>6</v>
      </c>
      <c r="C1639" s="117" t="s">
        <v>5223</v>
      </c>
      <c r="D1639" s="118"/>
      <c r="E1639" s="119"/>
      <c r="F1639" s="113" t="s">
        <v>29</v>
      </c>
      <c r="G1639" s="114"/>
      <c r="H1639" s="115">
        <f>495-48-64-78-67-103</f>
        <v>135</v>
      </c>
      <c r="I1639" s="116"/>
    </row>
    <row r="1640" spans="1:9" s="17" customFormat="1" ht="13.5" customHeight="1" x14ac:dyDescent="0.2">
      <c r="A1640" s="65">
        <v>1631</v>
      </c>
      <c r="B1640" s="60">
        <v>6</v>
      </c>
      <c r="C1640" s="117" t="s">
        <v>5176</v>
      </c>
      <c r="D1640" s="118"/>
      <c r="E1640" s="119"/>
      <c r="F1640" s="113" t="s">
        <v>184</v>
      </c>
      <c r="G1640" s="114"/>
      <c r="H1640" s="115">
        <f>415-15-23-131</f>
        <v>246</v>
      </c>
      <c r="I1640" s="116"/>
    </row>
    <row r="1641" spans="1:9" s="17" customFormat="1" ht="13.5" customHeight="1" x14ac:dyDescent="0.2">
      <c r="A1641" s="65">
        <v>1632</v>
      </c>
      <c r="B1641" s="60">
        <v>6</v>
      </c>
      <c r="C1641" s="117" t="s">
        <v>3415</v>
      </c>
      <c r="D1641" s="118"/>
      <c r="E1641" s="119"/>
      <c r="F1641" s="113" t="s">
        <v>184</v>
      </c>
      <c r="G1641" s="114"/>
      <c r="H1641" s="115">
        <f>200-70</f>
        <v>130</v>
      </c>
      <c r="I1641" s="116"/>
    </row>
    <row r="1642" spans="1:9" s="17" customFormat="1" ht="12.75" customHeight="1" x14ac:dyDescent="0.2">
      <c r="A1642" s="65">
        <v>1633</v>
      </c>
      <c r="B1642" s="60">
        <v>2</v>
      </c>
      <c r="C1642" s="130" t="s">
        <v>3873</v>
      </c>
      <c r="D1642" s="131"/>
      <c r="E1642" s="132"/>
      <c r="F1642" s="113" t="s">
        <v>59</v>
      </c>
      <c r="G1642" s="114"/>
      <c r="H1642" s="115">
        <f>1600-804-92+4</f>
        <v>708</v>
      </c>
      <c r="I1642" s="116"/>
    </row>
    <row r="1643" spans="1:9" s="17" customFormat="1" ht="12.75" customHeight="1" x14ac:dyDescent="0.2">
      <c r="A1643" s="65">
        <v>1634</v>
      </c>
      <c r="B1643" s="60">
        <v>2</v>
      </c>
      <c r="C1643" s="130" t="s">
        <v>3874</v>
      </c>
      <c r="D1643" s="131"/>
      <c r="E1643" s="132"/>
      <c r="F1643" s="113" t="s">
        <v>59</v>
      </c>
      <c r="G1643" s="114"/>
      <c r="H1643" s="115">
        <v>1105</v>
      </c>
      <c r="I1643" s="116"/>
    </row>
    <row r="1644" spans="1:9" s="17" customFormat="1" ht="13.5" customHeight="1" x14ac:dyDescent="0.2">
      <c r="A1644" s="65">
        <v>1635</v>
      </c>
      <c r="B1644" s="60"/>
      <c r="C1644" s="117" t="s">
        <v>3984</v>
      </c>
      <c r="D1644" s="118"/>
      <c r="E1644" s="119"/>
      <c r="F1644" s="113" t="s">
        <v>184</v>
      </c>
      <c r="G1644" s="114"/>
      <c r="H1644" s="115">
        <f>86.5+56-86.5-25</f>
        <v>31</v>
      </c>
      <c r="I1644" s="116"/>
    </row>
    <row r="1645" spans="1:9" s="17" customFormat="1" ht="12.75" customHeight="1" x14ac:dyDescent="0.2">
      <c r="A1645" s="65">
        <v>1636</v>
      </c>
      <c r="B1645" s="60"/>
      <c r="C1645" s="117" t="s">
        <v>3102</v>
      </c>
      <c r="D1645" s="118"/>
      <c r="E1645" s="119"/>
      <c r="F1645" s="113" t="s">
        <v>140</v>
      </c>
      <c r="G1645" s="114"/>
      <c r="H1645" s="115">
        <f>74+187.2+57-131+57-78.8+72.3-129.3+144+34+43.4-77.4-48</f>
        <v>204.39999999999995</v>
      </c>
      <c r="I1645" s="116"/>
    </row>
    <row r="1646" spans="1:9" s="17" customFormat="1" ht="12.75" customHeight="1" x14ac:dyDescent="0.2">
      <c r="A1646" s="65">
        <v>1637</v>
      </c>
      <c r="B1646" s="60"/>
      <c r="C1646" s="117" t="s">
        <v>887</v>
      </c>
      <c r="D1646" s="118"/>
      <c r="E1646" s="119"/>
      <c r="F1646" s="113" t="s">
        <v>29</v>
      </c>
      <c r="G1646" s="114"/>
      <c r="H1646" s="115">
        <f>238-47.3-95.4</f>
        <v>95.299999999999983</v>
      </c>
      <c r="I1646" s="116"/>
    </row>
    <row r="1647" spans="1:9" s="17" customFormat="1" ht="12.75" customHeight="1" x14ac:dyDescent="0.2">
      <c r="A1647" s="65">
        <v>1638</v>
      </c>
      <c r="B1647" s="60"/>
      <c r="C1647" s="117" t="s">
        <v>2558</v>
      </c>
      <c r="D1647" s="118"/>
      <c r="E1647" s="119"/>
      <c r="F1647" s="121" t="s">
        <v>56</v>
      </c>
      <c r="G1647" s="122"/>
      <c r="H1647" s="115">
        <v>228.9</v>
      </c>
      <c r="I1647" s="116"/>
    </row>
    <row r="1648" spans="1:9" s="17" customFormat="1" ht="12.75" customHeight="1" x14ac:dyDescent="0.2">
      <c r="A1648" s="65">
        <v>1639</v>
      </c>
      <c r="B1648" s="60">
        <v>6</v>
      </c>
      <c r="C1648" s="117" t="s">
        <v>3876</v>
      </c>
      <c r="D1648" s="118"/>
      <c r="E1648" s="119"/>
      <c r="F1648" s="121" t="s">
        <v>56</v>
      </c>
      <c r="G1648" s="122"/>
      <c r="H1648" s="115">
        <v>365</v>
      </c>
      <c r="I1648" s="116"/>
    </row>
    <row r="1649" spans="1:9" s="17" customFormat="1" ht="12.75" customHeight="1" x14ac:dyDescent="0.2">
      <c r="A1649" s="65">
        <v>1640</v>
      </c>
      <c r="B1649" s="60"/>
      <c r="C1649" s="117" t="s">
        <v>4365</v>
      </c>
      <c r="D1649" s="118"/>
      <c r="E1649" s="119"/>
      <c r="F1649" s="113" t="s">
        <v>29</v>
      </c>
      <c r="G1649" s="114"/>
      <c r="H1649" s="115">
        <v>22.6</v>
      </c>
      <c r="I1649" s="116"/>
    </row>
    <row r="1650" spans="1:9" s="17" customFormat="1" ht="12.75" customHeight="1" x14ac:dyDescent="0.2">
      <c r="A1650" s="65">
        <v>1641</v>
      </c>
      <c r="B1650" s="60">
        <v>2</v>
      </c>
      <c r="C1650" s="130" t="s">
        <v>1415</v>
      </c>
      <c r="D1650" s="131"/>
      <c r="E1650" s="132"/>
      <c r="F1650" s="113" t="s">
        <v>29</v>
      </c>
      <c r="G1650" s="114"/>
      <c r="H1650" s="115">
        <f>732-82</f>
        <v>650</v>
      </c>
      <c r="I1650" s="116"/>
    </row>
    <row r="1651" spans="1:9" s="17" customFormat="1" ht="12.75" customHeight="1" x14ac:dyDescent="0.2">
      <c r="A1651" s="65">
        <v>1642</v>
      </c>
      <c r="B1651" s="60">
        <v>2</v>
      </c>
      <c r="C1651" s="130" t="s">
        <v>773</v>
      </c>
      <c r="D1651" s="131"/>
      <c r="E1651" s="132"/>
      <c r="F1651" s="113" t="s">
        <v>59</v>
      </c>
      <c r="G1651" s="114"/>
      <c r="H1651" s="115">
        <f>886-443-266</f>
        <v>177</v>
      </c>
      <c r="I1651" s="116"/>
    </row>
    <row r="1652" spans="1:9" s="17" customFormat="1" ht="30.75" customHeight="1" x14ac:dyDescent="0.2">
      <c r="A1652" s="65">
        <v>1643</v>
      </c>
      <c r="B1652" s="60">
        <v>2</v>
      </c>
      <c r="C1652" s="120" t="s">
        <v>3875</v>
      </c>
      <c r="D1652" s="120"/>
      <c r="E1652" s="120"/>
      <c r="F1652" s="113" t="s">
        <v>57</v>
      </c>
      <c r="G1652" s="114"/>
      <c r="H1652" s="115">
        <f>70+445</f>
        <v>515</v>
      </c>
      <c r="I1652" s="116"/>
    </row>
    <row r="1653" spans="1:9" s="17" customFormat="1" ht="12.75" customHeight="1" x14ac:dyDescent="0.2">
      <c r="A1653" s="65">
        <v>1644</v>
      </c>
      <c r="B1653" s="60"/>
      <c r="C1653" s="117" t="s">
        <v>762</v>
      </c>
      <c r="D1653" s="118"/>
      <c r="E1653" s="119"/>
      <c r="F1653" s="113" t="s">
        <v>76</v>
      </c>
      <c r="G1653" s="114"/>
      <c r="H1653" s="115">
        <v>7.7</v>
      </c>
      <c r="I1653" s="116"/>
    </row>
    <row r="1654" spans="1:9" s="17" customFormat="1" ht="12.75" customHeight="1" x14ac:dyDescent="0.2">
      <c r="A1654" s="65">
        <v>1645</v>
      </c>
      <c r="B1654" s="60"/>
      <c r="C1654" s="117" t="s">
        <v>1054</v>
      </c>
      <c r="D1654" s="118"/>
      <c r="E1654" s="119"/>
      <c r="F1654" s="113" t="s">
        <v>29</v>
      </c>
      <c r="G1654" s="114"/>
      <c r="H1654" s="115">
        <f>322.5-134</f>
        <v>188.5</v>
      </c>
      <c r="I1654" s="116"/>
    </row>
    <row r="1655" spans="1:9" s="17" customFormat="1" ht="12.75" customHeight="1" x14ac:dyDescent="0.2">
      <c r="A1655" s="65">
        <v>1646</v>
      </c>
      <c r="B1655" s="60"/>
      <c r="C1655" s="117" t="s">
        <v>1142</v>
      </c>
      <c r="D1655" s="118"/>
      <c r="E1655" s="119"/>
      <c r="F1655" s="113" t="s">
        <v>29</v>
      </c>
      <c r="G1655" s="114"/>
      <c r="H1655" s="115">
        <v>109.4</v>
      </c>
      <c r="I1655" s="116"/>
    </row>
    <row r="1656" spans="1:9" s="17" customFormat="1" ht="12.75" customHeight="1" x14ac:dyDescent="0.2">
      <c r="A1656" s="65">
        <v>1647</v>
      </c>
      <c r="B1656" s="60">
        <v>6</v>
      </c>
      <c r="C1656" s="117" t="s">
        <v>1148</v>
      </c>
      <c r="D1656" s="118"/>
      <c r="E1656" s="119"/>
      <c r="F1656" s="113" t="s">
        <v>29</v>
      </c>
      <c r="G1656" s="114"/>
      <c r="H1656" s="115">
        <v>146</v>
      </c>
      <c r="I1656" s="116"/>
    </row>
    <row r="1657" spans="1:9" s="17" customFormat="1" ht="12.75" customHeight="1" x14ac:dyDescent="0.2">
      <c r="A1657" s="65">
        <v>1648</v>
      </c>
      <c r="B1657" s="60">
        <v>6</v>
      </c>
      <c r="C1657" s="130" t="s">
        <v>1393</v>
      </c>
      <c r="D1657" s="131"/>
      <c r="E1657" s="132"/>
      <c r="F1657" s="113" t="s">
        <v>140</v>
      </c>
      <c r="G1657" s="114"/>
      <c r="H1657" s="115">
        <f>262.5-101</f>
        <v>161.5</v>
      </c>
      <c r="I1657" s="116"/>
    </row>
    <row r="1658" spans="1:9" s="17" customFormat="1" ht="12.75" customHeight="1" x14ac:dyDescent="0.2">
      <c r="A1658" s="65">
        <v>1649</v>
      </c>
      <c r="B1658" s="60"/>
      <c r="C1658" s="117" t="s">
        <v>2228</v>
      </c>
      <c r="D1658" s="118"/>
      <c r="E1658" s="119"/>
      <c r="F1658" s="113" t="s">
        <v>140</v>
      </c>
      <c r="G1658" s="114"/>
      <c r="H1658" s="115">
        <v>118.2</v>
      </c>
      <c r="I1658" s="116"/>
    </row>
    <row r="1659" spans="1:9" s="17" customFormat="1" ht="12.75" customHeight="1" x14ac:dyDescent="0.2">
      <c r="A1659" s="65">
        <v>1650</v>
      </c>
      <c r="B1659" s="60"/>
      <c r="C1659" s="117" t="s">
        <v>475</v>
      </c>
      <c r="D1659" s="118"/>
      <c r="E1659" s="119"/>
      <c r="F1659" s="121" t="s">
        <v>56</v>
      </c>
      <c r="G1659" s="122"/>
      <c r="H1659" s="115">
        <v>46.8</v>
      </c>
      <c r="I1659" s="116"/>
    </row>
    <row r="1660" spans="1:9" s="17" customFormat="1" ht="12.75" customHeight="1" x14ac:dyDescent="0.2">
      <c r="A1660" s="65">
        <v>1651</v>
      </c>
      <c r="B1660" s="60"/>
      <c r="C1660" s="117" t="s">
        <v>5187</v>
      </c>
      <c r="D1660" s="118"/>
      <c r="E1660" s="119"/>
      <c r="F1660" s="121" t="s">
        <v>56</v>
      </c>
      <c r="G1660" s="122"/>
      <c r="H1660" s="115">
        <f>132.8-66-33.4</f>
        <v>33.400000000000013</v>
      </c>
      <c r="I1660" s="116"/>
    </row>
    <row r="1661" spans="1:9" s="17" customFormat="1" ht="12.75" customHeight="1" x14ac:dyDescent="0.2">
      <c r="A1661" s="65">
        <v>1652</v>
      </c>
      <c r="B1661" s="60">
        <v>2</v>
      </c>
      <c r="C1661" s="117" t="s">
        <v>4221</v>
      </c>
      <c r="D1661" s="118"/>
      <c r="E1661" s="119"/>
      <c r="F1661" s="113" t="s">
        <v>140</v>
      </c>
      <c r="G1661" s="114"/>
      <c r="H1661" s="115">
        <v>2770</v>
      </c>
      <c r="I1661" s="116"/>
    </row>
    <row r="1662" spans="1:9" s="17" customFormat="1" ht="11.25" x14ac:dyDescent="0.2">
      <c r="A1662" s="65">
        <v>1653</v>
      </c>
      <c r="B1662" s="60"/>
      <c r="C1662" s="117" t="s">
        <v>4581</v>
      </c>
      <c r="D1662" s="118"/>
      <c r="E1662" s="119"/>
      <c r="F1662" s="113" t="s">
        <v>62</v>
      </c>
      <c r="G1662" s="114"/>
      <c r="H1662" s="115">
        <f>62+368+171.5-62-85-93.8-93-86.5</f>
        <v>181.2</v>
      </c>
      <c r="I1662" s="116"/>
    </row>
    <row r="1663" spans="1:9" s="17" customFormat="1" ht="12.75" customHeight="1" x14ac:dyDescent="0.2">
      <c r="A1663" s="65">
        <v>1654</v>
      </c>
      <c r="B1663" s="60"/>
      <c r="C1663" s="117" t="s">
        <v>4584</v>
      </c>
      <c r="D1663" s="118"/>
      <c r="E1663" s="119"/>
      <c r="F1663" s="113" t="s">
        <v>140</v>
      </c>
      <c r="G1663" s="114"/>
      <c r="H1663" s="115">
        <f>262.5+61.6-61.6-81.3</f>
        <v>181.2</v>
      </c>
      <c r="I1663" s="116"/>
    </row>
    <row r="1664" spans="1:9" s="17" customFormat="1" ht="12.75" customHeight="1" x14ac:dyDescent="0.2">
      <c r="A1664" s="65">
        <v>1655</v>
      </c>
      <c r="B1664" s="60"/>
      <c r="C1664" s="117" t="s">
        <v>3093</v>
      </c>
      <c r="D1664" s="118"/>
      <c r="E1664" s="119"/>
      <c r="F1664" s="113" t="s">
        <v>140</v>
      </c>
      <c r="G1664" s="114"/>
      <c r="H1664" s="115">
        <v>24.4</v>
      </c>
      <c r="I1664" s="116"/>
    </row>
    <row r="1665" spans="1:9" s="17" customFormat="1" ht="12.75" customHeight="1" x14ac:dyDescent="0.2">
      <c r="A1665" s="65">
        <v>1656</v>
      </c>
      <c r="B1665" s="60"/>
      <c r="C1665" s="130" t="s">
        <v>304</v>
      </c>
      <c r="D1665" s="131"/>
      <c r="E1665" s="132"/>
      <c r="F1665" s="113" t="s">
        <v>76</v>
      </c>
      <c r="G1665" s="114"/>
      <c r="H1665" s="115"/>
      <c r="I1665" s="116"/>
    </row>
    <row r="1666" spans="1:9" s="17" customFormat="1" ht="12.75" customHeight="1" x14ac:dyDescent="0.2">
      <c r="A1666" s="65">
        <v>1657</v>
      </c>
      <c r="B1666" s="60">
        <v>2</v>
      </c>
      <c r="C1666" s="117" t="s">
        <v>1334</v>
      </c>
      <c r="D1666" s="118"/>
      <c r="E1666" s="119"/>
      <c r="F1666" s="113" t="s">
        <v>140</v>
      </c>
      <c r="G1666" s="114"/>
      <c r="H1666" s="115">
        <f>335-49</f>
        <v>286</v>
      </c>
      <c r="I1666" s="116"/>
    </row>
    <row r="1667" spans="1:9" s="17" customFormat="1" ht="12.75" customHeight="1" x14ac:dyDescent="0.2">
      <c r="A1667" s="65">
        <v>1658</v>
      </c>
      <c r="B1667" s="60">
        <v>6</v>
      </c>
      <c r="C1667" s="117" t="s">
        <v>693</v>
      </c>
      <c r="D1667" s="118"/>
      <c r="E1667" s="119"/>
      <c r="F1667" s="121" t="s">
        <v>125</v>
      </c>
      <c r="G1667" s="122"/>
      <c r="H1667" s="115">
        <f>455-225-30</f>
        <v>200</v>
      </c>
      <c r="I1667" s="116"/>
    </row>
    <row r="1668" spans="1:9" s="17" customFormat="1" ht="11.25" x14ac:dyDescent="0.2">
      <c r="A1668" s="65">
        <v>1659</v>
      </c>
      <c r="B1668" s="60">
        <v>6</v>
      </c>
      <c r="C1668" s="117" t="s">
        <v>2600</v>
      </c>
      <c r="D1668" s="118"/>
      <c r="E1668" s="119"/>
      <c r="F1668" s="113" t="s">
        <v>140</v>
      </c>
      <c r="G1668" s="114"/>
      <c r="H1668" s="115">
        <f>502-126</f>
        <v>376</v>
      </c>
      <c r="I1668" s="116"/>
    </row>
    <row r="1669" spans="1:9" s="17" customFormat="1" ht="12.75" customHeight="1" x14ac:dyDescent="0.2">
      <c r="A1669" s="65">
        <v>1660</v>
      </c>
      <c r="B1669" s="60"/>
      <c r="C1669" s="117" t="s">
        <v>2491</v>
      </c>
      <c r="D1669" s="118"/>
      <c r="E1669" s="119"/>
      <c r="F1669" s="113" t="s">
        <v>140</v>
      </c>
      <c r="G1669" s="114"/>
      <c r="H1669" s="115">
        <f>372.5-93.2-80.2</f>
        <v>199.10000000000002</v>
      </c>
      <c r="I1669" s="116"/>
    </row>
    <row r="1670" spans="1:9" s="17" customFormat="1" ht="12.75" customHeight="1" x14ac:dyDescent="0.2">
      <c r="A1670" s="65">
        <v>1661</v>
      </c>
      <c r="B1670" s="60"/>
      <c r="C1670" s="117" t="s">
        <v>778</v>
      </c>
      <c r="D1670" s="118"/>
      <c r="E1670" s="119"/>
      <c r="F1670" s="113" t="s">
        <v>140</v>
      </c>
      <c r="G1670" s="114"/>
      <c r="H1670" s="115">
        <f>183.1+290-91-290</f>
        <v>92.100000000000023</v>
      </c>
      <c r="I1670" s="116"/>
    </row>
    <row r="1671" spans="1:9" s="17" customFormat="1" ht="12.75" customHeight="1" x14ac:dyDescent="0.2">
      <c r="A1671" s="65">
        <v>1662</v>
      </c>
      <c r="B1671" s="60"/>
      <c r="C1671" s="117" t="s">
        <v>2227</v>
      </c>
      <c r="D1671" s="118"/>
      <c r="E1671" s="119"/>
      <c r="F1671" s="113" t="s">
        <v>140</v>
      </c>
      <c r="G1671" s="114"/>
      <c r="H1671" s="115">
        <v>68</v>
      </c>
      <c r="I1671" s="116"/>
    </row>
    <row r="1672" spans="1:9" s="17" customFormat="1" ht="12.75" customHeight="1" x14ac:dyDescent="0.2">
      <c r="A1672" s="65">
        <v>1663</v>
      </c>
      <c r="B1672" s="60">
        <v>6</v>
      </c>
      <c r="C1672" s="117" t="s">
        <v>360</v>
      </c>
      <c r="D1672" s="118"/>
      <c r="E1672" s="119"/>
      <c r="F1672" s="121" t="s">
        <v>56</v>
      </c>
      <c r="G1672" s="122"/>
      <c r="H1672" s="115">
        <v>568</v>
      </c>
      <c r="I1672" s="116"/>
    </row>
    <row r="1673" spans="1:9" s="17" customFormat="1" ht="11.25" x14ac:dyDescent="0.2">
      <c r="A1673" s="65">
        <v>1664</v>
      </c>
      <c r="B1673" s="60">
        <v>6</v>
      </c>
      <c r="C1673" s="117" t="s">
        <v>3538</v>
      </c>
      <c r="D1673" s="118"/>
      <c r="E1673" s="119"/>
      <c r="F1673" s="113" t="s">
        <v>59</v>
      </c>
      <c r="G1673" s="114"/>
      <c r="H1673" s="115">
        <v>225</v>
      </c>
      <c r="I1673" s="116"/>
    </row>
    <row r="1674" spans="1:9" s="17" customFormat="1" ht="24" customHeight="1" x14ac:dyDescent="0.2">
      <c r="A1674" s="65">
        <v>1665</v>
      </c>
      <c r="B1674" s="60"/>
      <c r="C1674" s="117" t="s">
        <v>350</v>
      </c>
      <c r="D1674" s="118"/>
      <c r="E1674" s="119"/>
      <c r="F1674" s="113" t="s">
        <v>76</v>
      </c>
      <c r="G1674" s="114"/>
      <c r="H1674" s="115"/>
      <c r="I1674" s="116"/>
    </row>
    <row r="1675" spans="1:9" s="17" customFormat="1" ht="24" customHeight="1" x14ac:dyDescent="0.2">
      <c r="A1675" s="65">
        <v>1666</v>
      </c>
      <c r="B1675" s="60">
        <v>2</v>
      </c>
      <c r="C1675" s="117" t="s">
        <v>1955</v>
      </c>
      <c r="D1675" s="118"/>
      <c r="E1675" s="119"/>
      <c r="F1675" s="121" t="s">
        <v>80</v>
      </c>
      <c r="G1675" s="122"/>
      <c r="H1675" s="115">
        <v>295</v>
      </c>
      <c r="I1675" s="116"/>
    </row>
    <row r="1676" spans="1:9" s="17" customFormat="1" ht="12.75" customHeight="1" x14ac:dyDescent="0.2">
      <c r="A1676" s="65">
        <v>1667</v>
      </c>
      <c r="B1676" s="60"/>
      <c r="C1676" s="117" t="s">
        <v>625</v>
      </c>
      <c r="D1676" s="118"/>
      <c r="E1676" s="119"/>
      <c r="F1676" s="121" t="s">
        <v>3</v>
      </c>
      <c r="G1676" s="122"/>
      <c r="H1676" s="115">
        <v>164</v>
      </c>
      <c r="I1676" s="116"/>
    </row>
    <row r="1677" spans="1:9" s="17" customFormat="1" ht="12.75" customHeight="1" x14ac:dyDescent="0.2">
      <c r="A1677" s="65">
        <v>1668</v>
      </c>
      <c r="B1677" s="60">
        <v>2</v>
      </c>
      <c r="C1677" s="117" t="s">
        <v>5013</v>
      </c>
      <c r="D1677" s="118"/>
      <c r="E1677" s="119"/>
      <c r="F1677" s="113" t="s">
        <v>62</v>
      </c>
      <c r="G1677" s="114"/>
      <c r="H1677" s="115">
        <v>344</v>
      </c>
      <c r="I1677" s="116"/>
    </row>
    <row r="1678" spans="1:9" s="17" customFormat="1" ht="12.75" customHeight="1" x14ac:dyDescent="0.2">
      <c r="A1678" s="65">
        <v>1669</v>
      </c>
      <c r="B1678" s="60"/>
      <c r="C1678" s="117" t="s">
        <v>1596</v>
      </c>
      <c r="D1678" s="118"/>
      <c r="E1678" s="119"/>
      <c r="F1678" s="113" t="s">
        <v>62</v>
      </c>
      <c r="G1678" s="114"/>
      <c r="H1678" s="115">
        <v>59.3</v>
      </c>
      <c r="I1678" s="116"/>
    </row>
    <row r="1679" spans="1:9" s="17" customFormat="1" ht="25.5" customHeight="1" x14ac:dyDescent="0.2">
      <c r="A1679" s="65">
        <v>1670</v>
      </c>
      <c r="B1679" s="60"/>
      <c r="C1679" s="117" t="s">
        <v>1598</v>
      </c>
      <c r="D1679" s="118"/>
      <c r="E1679" s="119"/>
      <c r="F1679" s="113" t="s">
        <v>62</v>
      </c>
      <c r="G1679" s="114"/>
      <c r="H1679" s="115">
        <v>27.2</v>
      </c>
      <c r="I1679" s="116"/>
    </row>
    <row r="1680" spans="1:9" s="17" customFormat="1" ht="25.5" customHeight="1" x14ac:dyDescent="0.2">
      <c r="A1680" s="65">
        <v>1671</v>
      </c>
      <c r="B1680" s="60"/>
      <c r="C1680" s="117" t="s">
        <v>1597</v>
      </c>
      <c r="D1680" s="118"/>
      <c r="E1680" s="119"/>
      <c r="F1680" s="113" t="s">
        <v>62</v>
      </c>
      <c r="G1680" s="114"/>
      <c r="H1680" s="115">
        <v>31.5</v>
      </c>
      <c r="I1680" s="116"/>
    </row>
    <row r="1681" spans="1:9" s="17" customFormat="1" ht="12.75" customHeight="1" x14ac:dyDescent="0.2">
      <c r="A1681" s="65">
        <v>1672</v>
      </c>
      <c r="B1681" s="60"/>
      <c r="C1681" s="117" t="s">
        <v>339</v>
      </c>
      <c r="D1681" s="118"/>
      <c r="E1681" s="119"/>
      <c r="F1681" s="113" t="s">
        <v>76</v>
      </c>
      <c r="G1681" s="114"/>
      <c r="H1681" s="115">
        <v>59.3</v>
      </c>
      <c r="I1681" s="116"/>
    </row>
    <row r="1682" spans="1:9" s="17" customFormat="1" ht="12.75" customHeight="1" x14ac:dyDescent="0.2">
      <c r="A1682" s="65">
        <v>1673</v>
      </c>
      <c r="B1682" s="60">
        <v>6</v>
      </c>
      <c r="C1682" s="117" t="s">
        <v>2975</v>
      </c>
      <c r="D1682" s="118"/>
      <c r="E1682" s="119"/>
      <c r="F1682" s="113" t="s">
        <v>76</v>
      </c>
      <c r="G1682" s="114"/>
      <c r="H1682" s="115">
        <v>2960</v>
      </c>
      <c r="I1682" s="116"/>
    </row>
    <row r="1683" spans="1:9" s="17" customFormat="1" ht="24.75" customHeight="1" x14ac:dyDescent="0.2">
      <c r="A1683" s="65">
        <v>1674</v>
      </c>
      <c r="B1683" s="60"/>
      <c r="C1683" s="117" t="s">
        <v>4887</v>
      </c>
      <c r="D1683" s="118"/>
      <c r="E1683" s="119"/>
      <c r="F1683" s="121" t="s">
        <v>271</v>
      </c>
      <c r="G1683" s="122"/>
      <c r="H1683" s="115">
        <f>175-1.1-4.3-4.5+141.5-1+610+933.5-1.8-1.7-7.1+1.8-1.3-11.5-3.4-4.1-10.3-152-16-4-2-1.7-18-20.8</f>
        <v>1595.2</v>
      </c>
      <c r="I1683" s="116"/>
    </row>
    <row r="1684" spans="1:9" s="17" customFormat="1" ht="12.75" customHeight="1" x14ac:dyDescent="0.2">
      <c r="A1684" s="65">
        <v>1675</v>
      </c>
      <c r="B1684" s="60" t="s">
        <v>3656</v>
      </c>
      <c r="C1684" s="117" t="s">
        <v>4202</v>
      </c>
      <c r="D1684" s="118"/>
      <c r="E1684" s="119"/>
      <c r="F1684" s="121" t="s">
        <v>45</v>
      </c>
      <c r="G1684" s="122"/>
      <c r="H1684" s="115">
        <v>23</v>
      </c>
      <c r="I1684" s="116"/>
    </row>
    <row r="1685" spans="1:9" s="17" customFormat="1" ht="12.75" customHeight="1" x14ac:dyDescent="0.2">
      <c r="A1685" s="65">
        <v>1676</v>
      </c>
      <c r="B1685" s="60"/>
      <c r="C1685" s="117" t="s">
        <v>2016</v>
      </c>
      <c r="D1685" s="118"/>
      <c r="E1685" s="119"/>
      <c r="F1685" s="113" t="s">
        <v>184</v>
      </c>
      <c r="G1685" s="114"/>
      <c r="H1685" s="115">
        <v>200.9</v>
      </c>
      <c r="I1685" s="116"/>
    </row>
    <row r="1686" spans="1:9" s="17" customFormat="1" ht="12.75" customHeight="1" x14ac:dyDescent="0.2">
      <c r="A1686" s="65">
        <v>1677</v>
      </c>
      <c r="B1686" s="60"/>
      <c r="C1686" s="117" t="s">
        <v>979</v>
      </c>
      <c r="D1686" s="118"/>
      <c r="E1686" s="119"/>
      <c r="F1686" s="113" t="s">
        <v>59</v>
      </c>
      <c r="G1686" s="114"/>
      <c r="H1686" s="115">
        <f>21-6-6-3</f>
        <v>6</v>
      </c>
      <c r="I1686" s="116"/>
    </row>
    <row r="1687" spans="1:9" s="17" customFormat="1" ht="12.75" customHeight="1" x14ac:dyDescent="0.2">
      <c r="A1687" s="65">
        <v>1678</v>
      </c>
      <c r="B1687" s="60"/>
      <c r="C1687" s="117" t="s">
        <v>4711</v>
      </c>
      <c r="D1687" s="118"/>
      <c r="E1687" s="119"/>
      <c r="F1687" s="113" t="s">
        <v>140</v>
      </c>
      <c r="G1687" s="114"/>
      <c r="H1687" s="115">
        <f>64.2-6.6-5-5.1-16.5</f>
        <v>31</v>
      </c>
      <c r="I1687" s="116"/>
    </row>
    <row r="1688" spans="1:9" s="17" customFormat="1" ht="12.75" customHeight="1" x14ac:dyDescent="0.2">
      <c r="A1688" s="65">
        <v>1679</v>
      </c>
      <c r="B1688" s="60"/>
      <c r="C1688" s="117" t="s">
        <v>3086</v>
      </c>
      <c r="D1688" s="118"/>
      <c r="E1688" s="119"/>
      <c r="F1688" s="113" t="s">
        <v>184</v>
      </c>
      <c r="G1688" s="114"/>
      <c r="H1688" s="115">
        <f>15.8+10.1-4</f>
        <v>21.9</v>
      </c>
      <c r="I1688" s="116"/>
    </row>
    <row r="1689" spans="1:9" s="17" customFormat="1" ht="12.75" customHeight="1" x14ac:dyDescent="0.2">
      <c r="A1689" s="65">
        <v>1680</v>
      </c>
      <c r="B1689" s="60"/>
      <c r="C1689" s="117" t="s">
        <v>4476</v>
      </c>
      <c r="D1689" s="118"/>
      <c r="E1689" s="119"/>
      <c r="F1689" s="121" t="s">
        <v>457</v>
      </c>
      <c r="G1689" s="122"/>
      <c r="H1689" s="115">
        <f>101.2-50.6+510-101-31.2-32.2-21-16-35.1-8-3.1-18.5-8.1-8-32.2-21.4-32.2-102+4.8-18.3</f>
        <v>77.099999999999966</v>
      </c>
      <c r="I1689" s="116"/>
    </row>
    <row r="1690" spans="1:9" s="17" customFormat="1" ht="12.75" customHeight="1" x14ac:dyDescent="0.2">
      <c r="A1690" s="65">
        <v>1681</v>
      </c>
      <c r="B1690" s="60"/>
      <c r="C1690" s="117" t="s">
        <v>3681</v>
      </c>
      <c r="D1690" s="118"/>
      <c r="E1690" s="119"/>
      <c r="F1690" s="121" t="s">
        <v>457</v>
      </c>
      <c r="G1690" s="122"/>
      <c r="H1690" s="115">
        <f>415-102+1005-104-101-510</f>
        <v>603</v>
      </c>
      <c r="I1690" s="116"/>
    </row>
    <row r="1691" spans="1:9" s="17" customFormat="1" ht="12.75" customHeight="1" x14ac:dyDescent="0.2">
      <c r="A1691" s="65">
        <v>1682</v>
      </c>
      <c r="B1691" s="60"/>
      <c r="C1691" s="117" t="s">
        <v>4363</v>
      </c>
      <c r="D1691" s="118"/>
      <c r="E1691" s="119"/>
      <c r="F1691" s="113" t="s">
        <v>184</v>
      </c>
      <c r="G1691" s="114"/>
      <c r="H1691" s="115">
        <f>138.9-48.5-9.5-2-60.5</f>
        <v>18.400000000000006</v>
      </c>
      <c r="I1691" s="116"/>
    </row>
    <row r="1692" spans="1:9" s="17" customFormat="1" ht="12.75" customHeight="1" x14ac:dyDescent="0.2">
      <c r="A1692" s="65">
        <v>1683</v>
      </c>
      <c r="B1692" s="60" t="s">
        <v>3656</v>
      </c>
      <c r="C1692" s="117" t="s">
        <v>4192</v>
      </c>
      <c r="D1692" s="118"/>
      <c r="E1692" s="119"/>
      <c r="F1692" s="113" t="s">
        <v>29</v>
      </c>
      <c r="G1692" s="114"/>
      <c r="H1692" s="115">
        <f>111.5+12.5</f>
        <v>124</v>
      </c>
      <c r="I1692" s="116"/>
    </row>
    <row r="1693" spans="1:9" s="17" customFormat="1" ht="12.75" customHeight="1" x14ac:dyDescent="0.2">
      <c r="A1693" s="65">
        <v>1684</v>
      </c>
      <c r="B1693" s="60"/>
      <c r="C1693" s="117" t="s">
        <v>1992</v>
      </c>
      <c r="D1693" s="118"/>
      <c r="E1693" s="119"/>
      <c r="F1693" s="113" t="s">
        <v>29</v>
      </c>
      <c r="G1693" s="114"/>
      <c r="H1693" s="115">
        <f>181.7-39.5-4.1-25.2-17.2-21.3-31.3</f>
        <v>43.099999999999994</v>
      </c>
      <c r="I1693" s="116"/>
    </row>
    <row r="1694" spans="1:9" s="17" customFormat="1" ht="12.75" customHeight="1" x14ac:dyDescent="0.2">
      <c r="A1694" s="65">
        <v>1685</v>
      </c>
      <c r="B1694" s="60"/>
      <c r="C1694" s="117" t="s">
        <v>1459</v>
      </c>
      <c r="D1694" s="118"/>
      <c r="E1694" s="119"/>
      <c r="F1694" s="121" t="s">
        <v>85</v>
      </c>
      <c r="G1694" s="122"/>
      <c r="H1694" s="115">
        <v>7.6</v>
      </c>
      <c r="I1694" s="116"/>
    </row>
    <row r="1695" spans="1:9" s="17" customFormat="1" ht="12.75" customHeight="1" x14ac:dyDescent="0.2">
      <c r="A1695" s="65">
        <v>1686</v>
      </c>
      <c r="B1695" s="60" t="s">
        <v>3574</v>
      </c>
      <c r="C1695" s="117" t="s">
        <v>5170</v>
      </c>
      <c r="D1695" s="118"/>
      <c r="E1695" s="119"/>
      <c r="F1695" s="113" t="s">
        <v>184</v>
      </c>
      <c r="G1695" s="114"/>
      <c r="H1695" s="115">
        <f>115-29-28.5-23+1.2-6-10.2</f>
        <v>19.500000000000004</v>
      </c>
      <c r="I1695" s="116"/>
    </row>
    <row r="1696" spans="1:9" s="17" customFormat="1" ht="12.75" customHeight="1" x14ac:dyDescent="0.2">
      <c r="A1696" s="65">
        <v>1687</v>
      </c>
      <c r="B1696" s="60"/>
      <c r="C1696" s="117" t="s">
        <v>755</v>
      </c>
      <c r="D1696" s="118"/>
      <c r="E1696" s="119"/>
      <c r="F1696" s="121" t="s">
        <v>2</v>
      </c>
      <c r="G1696" s="122"/>
      <c r="H1696" s="115">
        <v>33.4</v>
      </c>
      <c r="I1696" s="116"/>
    </row>
    <row r="1697" spans="1:9" s="17" customFormat="1" ht="12.75" customHeight="1" x14ac:dyDescent="0.2">
      <c r="A1697" s="65">
        <v>1688</v>
      </c>
      <c r="B1697" s="60">
        <v>6</v>
      </c>
      <c r="C1697" s="117" t="s">
        <v>899</v>
      </c>
      <c r="D1697" s="118"/>
      <c r="E1697" s="119"/>
      <c r="F1697" s="113" t="s">
        <v>29</v>
      </c>
      <c r="G1697" s="114"/>
      <c r="H1697" s="115">
        <f>685-460+5</f>
        <v>230</v>
      </c>
      <c r="I1697" s="116"/>
    </row>
    <row r="1698" spans="1:9" s="17" customFormat="1" ht="12.75" customHeight="1" x14ac:dyDescent="0.2">
      <c r="A1698" s="65">
        <v>1689</v>
      </c>
      <c r="B1698" s="60">
        <v>6</v>
      </c>
      <c r="C1698" s="117" t="s">
        <v>1831</v>
      </c>
      <c r="D1698" s="118"/>
      <c r="E1698" s="119"/>
      <c r="F1698" s="113" t="s">
        <v>29</v>
      </c>
      <c r="G1698" s="114"/>
      <c r="H1698" s="115">
        <f>2053-115-80-40-13.5-17.5-78.5</f>
        <v>1708.5</v>
      </c>
      <c r="I1698" s="116"/>
    </row>
    <row r="1699" spans="1:9" s="17" customFormat="1" ht="12.75" customHeight="1" x14ac:dyDescent="0.2">
      <c r="A1699" s="65">
        <v>1690</v>
      </c>
      <c r="B1699" s="60"/>
      <c r="C1699" s="117" t="s">
        <v>3924</v>
      </c>
      <c r="D1699" s="118"/>
      <c r="E1699" s="119"/>
      <c r="F1699" s="113" t="s">
        <v>29</v>
      </c>
      <c r="G1699" s="114"/>
      <c r="H1699" s="115">
        <f>87-11.7-7.8-30-9.6+78.5-39-39.5</f>
        <v>27.900000000000006</v>
      </c>
      <c r="I1699" s="116"/>
    </row>
    <row r="1700" spans="1:9" s="17" customFormat="1" ht="12.75" customHeight="1" x14ac:dyDescent="0.2">
      <c r="A1700" s="65">
        <v>1691</v>
      </c>
      <c r="B1700" s="60"/>
      <c r="C1700" s="117" t="s">
        <v>3101</v>
      </c>
      <c r="D1700" s="118"/>
      <c r="E1700" s="119"/>
      <c r="F1700" s="113" t="s">
        <v>29</v>
      </c>
      <c r="G1700" s="114"/>
      <c r="H1700" s="115">
        <f>116.5-8.7</f>
        <v>107.8</v>
      </c>
      <c r="I1700" s="116"/>
    </row>
    <row r="1701" spans="1:9" s="17" customFormat="1" ht="12.75" customHeight="1" x14ac:dyDescent="0.2">
      <c r="A1701" s="65">
        <v>1692</v>
      </c>
      <c r="B1701" s="60"/>
      <c r="C1701" s="117" t="s">
        <v>3931</v>
      </c>
      <c r="D1701" s="118"/>
      <c r="E1701" s="119"/>
      <c r="F1701" s="113" t="s">
        <v>3932</v>
      </c>
      <c r="G1701" s="114"/>
      <c r="H1701" s="115">
        <v>196.5</v>
      </c>
      <c r="I1701" s="116"/>
    </row>
    <row r="1702" spans="1:9" s="17" customFormat="1" ht="12.75" customHeight="1" x14ac:dyDescent="0.2">
      <c r="A1702" s="65">
        <v>1693</v>
      </c>
      <c r="B1702" s="60"/>
      <c r="C1702" s="117" t="s">
        <v>673</v>
      </c>
      <c r="D1702" s="118"/>
      <c r="E1702" s="119"/>
      <c r="F1702" s="121" t="s">
        <v>80</v>
      </c>
      <c r="G1702" s="122"/>
      <c r="H1702" s="115">
        <v>39.5</v>
      </c>
      <c r="I1702" s="116"/>
    </row>
    <row r="1703" spans="1:9" s="17" customFormat="1" ht="12.75" customHeight="1" x14ac:dyDescent="0.2">
      <c r="A1703" s="65">
        <v>1694</v>
      </c>
      <c r="B1703" s="60"/>
      <c r="C1703" s="117" t="s">
        <v>210</v>
      </c>
      <c r="D1703" s="118"/>
      <c r="E1703" s="119"/>
      <c r="F1703" s="121" t="s">
        <v>2</v>
      </c>
      <c r="G1703" s="122"/>
      <c r="H1703" s="115">
        <v>45.3</v>
      </c>
      <c r="I1703" s="116"/>
    </row>
    <row r="1704" spans="1:9" s="17" customFormat="1" ht="12.75" customHeight="1" x14ac:dyDescent="0.2">
      <c r="A1704" s="65">
        <v>1695</v>
      </c>
      <c r="B1704" s="60">
        <v>6</v>
      </c>
      <c r="C1704" s="117" t="s">
        <v>1321</v>
      </c>
      <c r="D1704" s="118"/>
      <c r="E1704" s="119"/>
      <c r="F1704" s="121" t="s">
        <v>359</v>
      </c>
      <c r="G1704" s="122"/>
      <c r="H1704" s="115">
        <f>382-55</f>
        <v>327</v>
      </c>
      <c r="I1704" s="116"/>
    </row>
    <row r="1705" spans="1:9" s="17" customFormat="1" ht="12.75" customHeight="1" x14ac:dyDescent="0.2">
      <c r="A1705" s="65">
        <v>1696</v>
      </c>
      <c r="B1705" s="60"/>
      <c r="C1705" s="117" t="s">
        <v>2660</v>
      </c>
      <c r="D1705" s="118"/>
      <c r="E1705" s="119"/>
      <c r="F1705" s="121" t="s">
        <v>64</v>
      </c>
      <c r="G1705" s="122"/>
      <c r="H1705" s="115">
        <v>61.8</v>
      </c>
      <c r="I1705" s="116"/>
    </row>
    <row r="1706" spans="1:9" s="17" customFormat="1" ht="12.75" customHeight="1" x14ac:dyDescent="0.2">
      <c r="A1706" s="65">
        <v>1697</v>
      </c>
      <c r="B1706" s="60">
        <v>6</v>
      </c>
      <c r="C1706" s="117" t="s">
        <v>1402</v>
      </c>
      <c r="D1706" s="118"/>
      <c r="E1706" s="119"/>
      <c r="F1706" s="121" t="s">
        <v>153</v>
      </c>
      <c r="G1706" s="122"/>
      <c r="H1706" s="115">
        <f>1850-80-415-105-160</f>
        <v>1090</v>
      </c>
      <c r="I1706" s="116"/>
    </row>
    <row r="1707" spans="1:9" s="17" customFormat="1" ht="12.75" customHeight="1" x14ac:dyDescent="0.2">
      <c r="A1707" s="65">
        <v>1698</v>
      </c>
      <c r="B1707" s="60"/>
      <c r="C1707" s="117" t="s">
        <v>534</v>
      </c>
      <c r="D1707" s="118"/>
      <c r="E1707" s="119"/>
      <c r="F1707" s="121" t="s">
        <v>479</v>
      </c>
      <c r="G1707" s="122"/>
      <c r="H1707" s="115">
        <v>50</v>
      </c>
      <c r="I1707" s="116"/>
    </row>
    <row r="1708" spans="1:9" s="17" customFormat="1" ht="12.75" customHeight="1" x14ac:dyDescent="0.2">
      <c r="A1708" s="65">
        <v>1699</v>
      </c>
      <c r="B1708" s="60"/>
      <c r="C1708" s="128" t="s">
        <v>5078</v>
      </c>
      <c r="D1708" s="126"/>
      <c r="E1708" s="127"/>
      <c r="F1708" s="113" t="s">
        <v>76</v>
      </c>
      <c r="G1708" s="114"/>
      <c r="H1708" s="115">
        <v>278</v>
      </c>
      <c r="I1708" s="116"/>
    </row>
    <row r="1709" spans="1:9" s="17" customFormat="1" ht="12.75" customHeight="1" x14ac:dyDescent="0.2">
      <c r="A1709" s="65">
        <v>1700</v>
      </c>
      <c r="B1709" s="60"/>
      <c r="C1709" s="117" t="s">
        <v>5079</v>
      </c>
      <c r="D1709" s="118"/>
      <c r="E1709" s="119"/>
      <c r="F1709" s="113" t="s">
        <v>76</v>
      </c>
      <c r="G1709" s="114"/>
      <c r="H1709" s="115">
        <f>26.3-0.2-1.4-0.5-1.3-0.3+0.5-0.5-1-0.5-0.1-8+8-0.5-1-0.5-0.5-6-0.5-0.5</f>
        <v>11.5</v>
      </c>
      <c r="I1709" s="116"/>
    </row>
    <row r="1710" spans="1:9" s="17" customFormat="1" x14ac:dyDescent="0.2">
      <c r="A1710" s="65">
        <v>1701</v>
      </c>
      <c r="B1710" s="60" t="s">
        <v>3822</v>
      </c>
      <c r="C1710" s="117" t="s">
        <v>4303</v>
      </c>
      <c r="D1710" s="118"/>
      <c r="E1710" s="119"/>
      <c r="F1710" s="121" t="s">
        <v>69</v>
      </c>
      <c r="G1710" s="122"/>
      <c r="H1710" s="115">
        <v>11.7</v>
      </c>
      <c r="I1710" s="116"/>
    </row>
    <row r="1711" spans="1:9" s="17" customFormat="1" ht="12.75" customHeight="1" x14ac:dyDescent="0.2">
      <c r="A1711" s="65">
        <v>1702</v>
      </c>
      <c r="B1711" s="60"/>
      <c r="C1711" s="117" t="s">
        <v>1557</v>
      </c>
      <c r="D1711" s="118"/>
      <c r="E1711" s="119"/>
      <c r="F1711" s="121" t="s">
        <v>69</v>
      </c>
      <c r="G1711" s="122"/>
      <c r="H1711" s="115">
        <f>0.5+18.7-0.8-0.7-4+3.9-1.5-0.1-0.1-4.6-4.7</f>
        <v>6.5999999999999988</v>
      </c>
      <c r="I1711" s="116"/>
    </row>
    <row r="1712" spans="1:9" s="17" customFormat="1" ht="12.75" customHeight="1" x14ac:dyDescent="0.2">
      <c r="A1712" s="65">
        <v>1703</v>
      </c>
      <c r="B1712" s="60"/>
      <c r="C1712" s="117" t="s">
        <v>2427</v>
      </c>
      <c r="D1712" s="118"/>
      <c r="E1712" s="119"/>
      <c r="F1712" s="121" t="s">
        <v>1922</v>
      </c>
      <c r="G1712" s="122"/>
      <c r="H1712" s="115">
        <f>61.3+26.2-4.3-2-2.7-2.6-7.6</f>
        <v>68.300000000000011</v>
      </c>
      <c r="I1712" s="116"/>
    </row>
    <row r="1713" spans="1:9" s="17" customFormat="1" ht="12.75" customHeight="1" x14ac:dyDescent="0.2">
      <c r="A1713" s="65">
        <v>1704</v>
      </c>
      <c r="B1713" s="60"/>
      <c r="C1713" s="117" t="s">
        <v>4875</v>
      </c>
      <c r="D1713" s="118"/>
      <c r="E1713" s="119"/>
      <c r="F1713" s="113" t="s">
        <v>76</v>
      </c>
      <c r="G1713" s="114"/>
      <c r="H1713" s="115">
        <f>183.5-2.2-1-6-1.1-1.1-10-1-1-13-1.2-2-6.8-2-2-1.2-1-1.1-1.1-2-25-1-1.1-1-1+1.2-5+20.4-3.2-7-1.1-1.1-1-1-3.3+2.6-1-4-1-26-1.6-1+1.2-1-0.1-1.5-1-1-2-6.7-2-1-3-1.1+0.1-1-0.9</f>
        <v>43.500000000000064</v>
      </c>
      <c r="I1713" s="116"/>
    </row>
    <row r="1714" spans="1:9" s="17" customFormat="1" ht="12.75" customHeight="1" x14ac:dyDescent="0.2">
      <c r="A1714" s="65">
        <v>1705</v>
      </c>
      <c r="B1714" s="60"/>
      <c r="C1714" s="117" t="s">
        <v>3921</v>
      </c>
      <c r="D1714" s="118"/>
      <c r="E1714" s="119"/>
      <c r="F1714" s="121" t="s">
        <v>69</v>
      </c>
      <c r="G1714" s="122"/>
      <c r="H1714" s="115">
        <f>23.3+54+1.6-2.1</f>
        <v>76.8</v>
      </c>
      <c r="I1714" s="116"/>
    </row>
    <row r="1715" spans="1:9" s="17" customFormat="1" ht="12.75" customHeight="1" x14ac:dyDescent="0.2">
      <c r="A1715" s="65">
        <v>1706</v>
      </c>
      <c r="B1715" s="60"/>
      <c r="C1715" s="117" t="s">
        <v>1397</v>
      </c>
      <c r="D1715" s="118"/>
      <c r="E1715" s="119"/>
      <c r="F1715" s="121" t="s">
        <v>69</v>
      </c>
      <c r="G1715" s="122"/>
      <c r="H1715" s="115">
        <f>22.6-9.9-6.3+1-4.3-2.1</f>
        <v>1.0000000000000013</v>
      </c>
      <c r="I1715" s="116"/>
    </row>
    <row r="1716" spans="1:9" s="17" customFormat="1" ht="12.75" customHeight="1" x14ac:dyDescent="0.2">
      <c r="A1716" s="65">
        <v>1707</v>
      </c>
      <c r="B1716" s="60"/>
      <c r="C1716" s="128" t="s">
        <v>4938</v>
      </c>
      <c r="D1716" s="126"/>
      <c r="E1716" s="127"/>
      <c r="F1716" s="113" t="s">
        <v>76</v>
      </c>
      <c r="G1716" s="114"/>
      <c r="H1716" s="115">
        <f>877-2.7-1.4-1.4-2-20-1.4-8.1-2.8-3.2-16.5-8.6-2.1-1.4-1.5-16.2+1.2-15-46-1.7-2.8-4.8-1.5-1.2-2.8-4.2-2.7-3-1.7-3-8.5-17.5-19-1.4-3-4.5-1.5-1.5-1.5-1.9-10-4.1-1.5-4.4-5.6-4-1.5-5.3+3.5-1.5-1.4-1.5-0.9-1.4-1.4-16.9-4-2-1.6-1.5-4.1-32-6-150.5-3-1.3-44.7-45.8-1.4-1.2-2.6-3.9-0.8-1.5-4.3-26-9.2-2-20.2-3.8-0.8-0.2</f>
        <v>205.90000000000003</v>
      </c>
      <c r="I1716" s="116"/>
    </row>
    <row r="1717" spans="1:9" s="17" customFormat="1" ht="12.75" customHeight="1" x14ac:dyDescent="0.2">
      <c r="A1717" s="65">
        <v>1708</v>
      </c>
      <c r="B1717" s="60"/>
      <c r="C1717" s="128" t="s">
        <v>4281</v>
      </c>
      <c r="D1717" s="126"/>
      <c r="E1717" s="127"/>
      <c r="F1717" s="113" t="s">
        <v>76</v>
      </c>
      <c r="G1717" s="114"/>
      <c r="H1717" s="115">
        <v>5.2</v>
      </c>
      <c r="I1717" s="116"/>
    </row>
    <row r="1718" spans="1:9" s="17" customFormat="1" ht="12.75" customHeight="1" x14ac:dyDescent="0.2">
      <c r="A1718" s="65">
        <v>1709</v>
      </c>
      <c r="B1718" s="60"/>
      <c r="C1718" s="117" t="s">
        <v>1920</v>
      </c>
      <c r="D1718" s="118"/>
      <c r="E1718" s="119"/>
      <c r="F1718" s="121" t="s">
        <v>55</v>
      </c>
      <c r="G1718" s="122"/>
      <c r="H1718" s="115">
        <v>3.5</v>
      </c>
      <c r="I1718" s="116"/>
    </row>
    <row r="1719" spans="1:9" s="17" customFormat="1" ht="12.75" customHeight="1" x14ac:dyDescent="0.2">
      <c r="A1719" s="65">
        <v>1710</v>
      </c>
      <c r="B1719" s="60"/>
      <c r="C1719" s="117" t="s">
        <v>1005</v>
      </c>
      <c r="D1719" s="118"/>
      <c r="E1719" s="119"/>
      <c r="F1719" s="121" t="s">
        <v>27</v>
      </c>
      <c r="G1719" s="122"/>
      <c r="H1719" s="115">
        <f>444-0.3-2.5</f>
        <v>441.2</v>
      </c>
      <c r="I1719" s="116"/>
    </row>
    <row r="1720" spans="1:9" s="17" customFormat="1" x14ac:dyDescent="0.2">
      <c r="A1720" s="65">
        <v>1711</v>
      </c>
      <c r="B1720" s="60" t="s">
        <v>3601</v>
      </c>
      <c r="C1720" s="117" t="s">
        <v>5040</v>
      </c>
      <c r="D1720" s="118"/>
      <c r="E1720" s="119"/>
      <c r="F1720" s="121" t="s">
        <v>69</v>
      </c>
      <c r="G1720" s="122"/>
      <c r="H1720" s="115">
        <f>12-0.7</f>
        <v>11.3</v>
      </c>
      <c r="I1720" s="116"/>
    </row>
    <row r="1721" spans="1:9" s="17" customFormat="1" ht="12.75" customHeight="1" x14ac:dyDescent="0.2">
      <c r="A1721" s="65">
        <v>1712</v>
      </c>
      <c r="B1721" s="60"/>
      <c r="C1721" s="128" t="s">
        <v>1632</v>
      </c>
      <c r="D1721" s="126"/>
      <c r="E1721" s="127"/>
      <c r="F1721" s="113" t="s">
        <v>62</v>
      </c>
      <c r="G1721" s="114"/>
      <c r="H1721" s="115">
        <f>198.5-2.6+9.5+2.6-9.8+8.5+2.3-0.2-2.8-4.1</f>
        <v>201.9</v>
      </c>
      <c r="I1721" s="116"/>
    </row>
    <row r="1722" spans="1:9" s="17" customFormat="1" ht="12.75" customHeight="1" x14ac:dyDescent="0.2">
      <c r="A1722" s="65">
        <v>1713</v>
      </c>
      <c r="B1722" s="60"/>
      <c r="C1722" s="117" t="s">
        <v>2382</v>
      </c>
      <c r="D1722" s="118"/>
      <c r="E1722" s="119"/>
      <c r="F1722" s="121" t="s">
        <v>1922</v>
      </c>
      <c r="G1722" s="122"/>
      <c r="H1722" s="115">
        <f>70.5-35.2</f>
        <v>35.299999999999997</v>
      </c>
      <c r="I1722" s="116"/>
    </row>
    <row r="1723" spans="1:9" s="17" customFormat="1" x14ac:dyDescent="0.2">
      <c r="A1723" s="65">
        <v>1714</v>
      </c>
      <c r="B1723" s="60" t="s">
        <v>3601</v>
      </c>
      <c r="C1723" s="117" t="s">
        <v>4302</v>
      </c>
      <c r="D1723" s="118"/>
      <c r="E1723" s="119"/>
      <c r="F1723" s="121" t="s">
        <v>69</v>
      </c>
      <c r="G1723" s="122"/>
      <c r="H1723" s="115">
        <v>7.8</v>
      </c>
      <c r="I1723" s="116"/>
    </row>
    <row r="1724" spans="1:9" s="17" customFormat="1" ht="24" customHeight="1" x14ac:dyDescent="0.2">
      <c r="A1724" s="65">
        <v>1715</v>
      </c>
      <c r="B1724" s="60"/>
      <c r="C1724" s="117" t="s">
        <v>2149</v>
      </c>
      <c r="D1724" s="118"/>
      <c r="E1724" s="119"/>
      <c r="F1724" s="121" t="s">
        <v>69</v>
      </c>
      <c r="G1724" s="122"/>
      <c r="H1724" s="115">
        <f>28.6+0.7-8.1-11.3+1.3+2.2+5.6+3</f>
        <v>22</v>
      </c>
      <c r="I1724" s="116"/>
    </row>
    <row r="1725" spans="1:9" s="17" customFormat="1" ht="12.75" customHeight="1" x14ac:dyDescent="0.2">
      <c r="A1725" s="65">
        <v>1716</v>
      </c>
      <c r="B1725" s="60"/>
      <c r="C1725" s="117" t="s">
        <v>3083</v>
      </c>
      <c r="D1725" s="118"/>
      <c r="E1725" s="119"/>
      <c r="F1725" s="121" t="s">
        <v>69</v>
      </c>
      <c r="G1725" s="122"/>
      <c r="H1725" s="115">
        <f>17.5-4.3-0.7-0.4</f>
        <v>12.1</v>
      </c>
      <c r="I1725" s="116"/>
    </row>
    <row r="1726" spans="1:9" s="17" customFormat="1" ht="11.25" x14ac:dyDescent="0.2">
      <c r="A1726" s="65">
        <v>1717</v>
      </c>
      <c r="B1726" s="60"/>
      <c r="C1726" s="130" t="s">
        <v>4617</v>
      </c>
      <c r="D1726" s="131"/>
      <c r="E1726" s="132"/>
      <c r="F1726" s="113" t="s">
        <v>76</v>
      </c>
      <c r="G1726" s="114"/>
      <c r="H1726" s="115">
        <f>623.5-2.5-125.4-3.7+1-3.6-3.7-1-7.5-10.6-2.5-6-7.5-13.1-50-1.3-43.6+0.8-2.5-1.4+12.1-70+1.7+13.3+58-2.5-2.7+31.5-5-0.8-6.1-19.6+0.9-2.5-3.8+9.9+1.1-4.8-2.5-12.5-8.8-5-5-5-90-4.9-20+34.3-15-50-0.9-5.3-105-1.8+10.7+29.3-1.4+2.3+1.1+65-6-0.5-100-22-1.5+4.2+125+6.8-5.1+3.6-50+3.1-15-5.5+1.7-2.1-0.8-1.7-7.5-5-12.6-6.5-2.3+1.2-25.3+58+15.2+4.7-11.5-5.8-7.3-2.7</f>
        <v>86.499999999999901</v>
      </c>
      <c r="I1726" s="116"/>
    </row>
    <row r="1727" spans="1:9" s="17" customFormat="1" ht="11.25" x14ac:dyDescent="0.2">
      <c r="A1727" s="65">
        <v>1718</v>
      </c>
      <c r="B1727" s="60"/>
      <c r="C1727" s="130" t="s">
        <v>3542</v>
      </c>
      <c r="D1727" s="131"/>
      <c r="E1727" s="132"/>
      <c r="F1727" s="113" t="s">
        <v>76</v>
      </c>
      <c r="G1727" s="114"/>
      <c r="H1727" s="115">
        <f>43.8-18.5-3.6-1.4-1.4-0.3</f>
        <v>18.599999999999998</v>
      </c>
      <c r="I1727" s="116"/>
    </row>
    <row r="1728" spans="1:9" s="17" customFormat="1" ht="12.75" customHeight="1" x14ac:dyDescent="0.2">
      <c r="A1728" s="65">
        <v>1719</v>
      </c>
      <c r="B1728" s="60"/>
      <c r="C1728" s="130" t="s">
        <v>2709</v>
      </c>
      <c r="D1728" s="131"/>
      <c r="E1728" s="132"/>
      <c r="F1728" s="113" t="s">
        <v>59</v>
      </c>
      <c r="G1728" s="114"/>
      <c r="H1728" s="115">
        <f>55.9-2.7-0.3+66.7-15.7+1.7+3.1-7.7+2.7+4.4-1.7-2.7-3.2+5.1</f>
        <v>105.59999999999998</v>
      </c>
      <c r="I1728" s="116"/>
    </row>
    <row r="1729" spans="1:9" s="17" customFormat="1" ht="12.75" customHeight="1" x14ac:dyDescent="0.2">
      <c r="A1729" s="65">
        <v>1720</v>
      </c>
      <c r="B1729" s="60"/>
      <c r="C1729" s="128" t="s">
        <v>4159</v>
      </c>
      <c r="D1729" s="126"/>
      <c r="E1729" s="127"/>
      <c r="F1729" s="124" t="s">
        <v>87</v>
      </c>
      <c r="G1729" s="124"/>
      <c r="H1729" s="115">
        <v>12</v>
      </c>
      <c r="I1729" s="116"/>
    </row>
    <row r="1730" spans="1:9" s="17" customFormat="1" ht="12.75" customHeight="1" x14ac:dyDescent="0.2">
      <c r="A1730" s="65">
        <v>1721</v>
      </c>
      <c r="B1730" s="60"/>
      <c r="C1730" s="117" t="s">
        <v>1921</v>
      </c>
      <c r="D1730" s="118"/>
      <c r="E1730" s="119"/>
      <c r="F1730" s="121" t="s">
        <v>55</v>
      </c>
      <c r="G1730" s="122"/>
      <c r="H1730" s="115">
        <f>228.3-0.4</f>
        <v>227.9</v>
      </c>
      <c r="I1730" s="116"/>
    </row>
    <row r="1731" spans="1:9" s="17" customFormat="1" ht="12.75" customHeight="1" x14ac:dyDescent="0.2">
      <c r="A1731" s="65">
        <v>1722</v>
      </c>
      <c r="B1731" s="60"/>
      <c r="C1731" s="117" t="s">
        <v>2426</v>
      </c>
      <c r="D1731" s="118"/>
      <c r="E1731" s="119"/>
      <c r="F1731" s="121" t="s">
        <v>1922</v>
      </c>
      <c r="G1731" s="122"/>
      <c r="H1731" s="115">
        <f>41.2-21.1</f>
        <v>20.100000000000001</v>
      </c>
      <c r="I1731" s="116"/>
    </row>
    <row r="1732" spans="1:9" s="17" customFormat="1" ht="12.75" customHeight="1" x14ac:dyDescent="0.2">
      <c r="A1732" s="65">
        <v>1723</v>
      </c>
      <c r="B1732" s="60"/>
      <c r="C1732" s="117" t="s">
        <v>797</v>
      </c>
      <c r="D1732" s="118"/>
      <c r="E1732" s="119"/>
      <c r="F1732" s="121" t="s">
        <v>27</v>
      </c>
      <c r="G1732" s="122"/>
      <c r="H1732" s="115">
        <f>21.8+1.6</f>
        <v>23.400000000000002</v>
      </c>
      <c r="I1732" s="116"/>
    </row>
    <row r="1733" spans="1:9" s="17" customFormat="1" ht="12.75" customHeight="1" x14ac:dyDescent="0.2">
      <c r="A1733" s="65">
        <v>1724</v>
      </c>
      <c r="B1733" s="60"/>
      <c r="C1733" s="117" t="s">
        <v>3247</v>
      </c>
      <c r="D1733" s="118"/>
      <c r="E1733" s="119"/>
      <c r="F1733" s="121" t="s">
        <v>69</v>
      </c>
      <c r="G1733" s="122"/>
      <c r="H1733" s="115">
        <f>44.5+36.3</f>
        <v>80.8</v>
      </c>
      <c r="I1733" s="116"/>
    </row>
    <row r="1734" spans="1:9" s="17" customFormat="1" ht="12.75" customHeight="1" x14ac:dyDescent="0.2">
      <c r="A1734" s="65">
        <v>1725</v>
      </c>
      <c r="B1734" s="60"/>
      <c r="C1734" s="117" t="s">
        <v>3202</v>
      </c>
      <c r="D1734" s="118"/>
      <c r="E1734" s="119"/>
      <c r="F1734" s="121" t="s">
        <v>69</v>
      </c>
      <c r="G1734" s="122"/>
      <c r="H1734" s="115">
        <v>171.7</v>
      </c>
      <c r="I1734" s="116"/>
    </row>
    <row r="1735" spans="1:9" s="17" customFormat="1" ht="12.75" customHeight="1" x14ac:dyDescent="0.2">
      <c r="A1735" s="65">
        <v>1726</v>
      </c>
      <c r="B1735" s="60"/>
      <c r="C1735" s="117" t="s">
        <v>2129</v>
      </c>
      <c r="D1735" s="118"/>
      <c r="E1735" s="119"/>
      <c r="F1735" s="121" t="s">
        <v>69</v>
      </c>
      <c r="G1735" s="122"/>
      <c r="H1735" s="115">
        <v>17.600000000000001</v>
      </c>
      <c r="I1735" s="116"/>
    </row>
    <row r="1736" spans="1:9" s="17" customFormat="1" ht="12.75" customHeight="1" x14ac:dyDescent="0.2">
      <c r="A1736" s="65">
        <v>1727</v>
      </c>
      <c r="B1736" s="60"/>
      <c r="C1736" s="117" t="s">
        <v>1315</v>
      </c>
      <c r="D1736" s="118"/>
      <c r="E1736" s="119"/>
      <c r="F1736" s="121" t="s">
        <v>69</v>
      </c>
      <c r="G1736" s="122"/>
      <c r="H1736" s="115">
        <f>28.3+2.5-2.4+2-15.1+7.3+7.4-10.2+1.6+58-52.4-25+1.3</f>
        <v>3.3000000000000069</v>
      </c>
      <c r="I1736" s="116"/>
    </row>
    <row r="1737" spans="1:9" s="17" customFormat="1" ht="12.75" customHeight="1" x14ac:dyDescent="0.2">
      <c r="A1737" s="65">
        <v>1728</v>
      </c>
      <c r="B1737" s="60" t="s">
        <v>741</v>
      </c>
      <c r="C1737" s="117" t="s">
        <v>1489</v>
      </c>
      <c r="D1737" s="118"/>
      <c r="E1737" s="119"/>
      <c r="F1737" s="121" t="s">
        <v>69</v>
      </c>
      <c r="G1737" s="122"/>
      <c r="H1737" s="115">
        <f>28.4+12+20.2-6.9+11.6</f>
        <v>65.3</v>
      </c>
      <c r="I1737" s="116"/>
    </row>
    <row r="1738" spans="1:9" s="17" customFormat="1" ht="12.75" customHeight="1" x14ac:dyDescent="0.2">
      <c r="A1738" s="65">
        <v>1729</v>
      </c>
      <c r="B1738" s="60"/>
      <c r="C1738" s="117" t="s">
        <v>1429</v>
      </c>
      <c r="D1738" s="118"/>
      <c r="E1738" s="119"/>
      <c r="F1738" s="121" t="s">
        <v>69</v>
      </c>
      <c r="G1738" s="122"/>
      <c r="H1738" s="115">
        <f>17.1-1.3-1.3</f>
        <v>14.5</v>
      </c>
      <c r="I1738" s="116"/>
    </row>
    <row r="1739" spans="1:9" s="17" customFormat="1" ht="12.75" customHeight="1" x14ac:dyDescent="0.2">
      <c r="A1739" s="65">
        <v>1730</v>
      </c>
      <c r="B1739" s="60"/>
      <c r="C1739" s="128" t="s">
        <v>4148</v>
      </c>
      <c r="D1739" s="126"/>
      <c r="E1739" s="127"/>
      <c r="F1739" s="113" t="s">
        <v>76</v>
      </c>
      <c r="G1739" s="114"/>
      <c r="H1739" s="115">
        <f>46.3+29+17+7.4</f>
        <v>99.7</v>
      </c>
      <c r="I1739" s="116"/>
    </row>
    <row r="1740" spans="1:9" s="17" customFormat="1" ht="11.25" x14ac:dyDescent="0.2">
      <c r="A1740" s="65">
        <v>1731</v>
      </c>
      <c r="B1740" s="60" t="s">
        <v>3574</v>
      </c>
      <c r="C1740" s="130" t="s">
        <v>1758</v>
      </c>
      <c r="D1740" s="131"/>
      <c r="E1740" s="132"/>
      <c r="F1740" s="113" t="s">
        <v>76</v>
      </c>
      <c r="G1740" s="114"/>
      <c r="H1740" s="115">
        <f>98.6-1.6+12.9-8.5-2.2-7-50.5-1.8</f>
        <v>39.900000000000006</v>
      </c>
      <c r="I1740" s="116"/>
    </row>
    <row r="1741" spans="1:9" s="17" customFormat="1" ht="29.25" customHeight="1" x14ac:dyDescent="0.2">
      <c r="A1741" s="65">
        <v>1732</v>
      </c>
      <c r="B1741" s="60"/>
      <c r="C1741" s="128" t="s">
        <v>4650</v>
      </c>
      <c r="D1741" s="126"/>
      <c r="E1741" s="127"/>
      <c r="F1741" s="113" t="s">
        <v>76</v>
      </c>
      <c r="G1741" s="114"/>
      <c r="H1741" s="115">
        <f>8.4+8.6+14.4+4.9+6.7-6.2+14.6-1.5-3.5-3.3-7.7-5.5</f>
        <v>29.9</v>
      </c>
      <c r="I1741" s="116"/>
    </row>
    <row r="1742" spans="1:9" s="17" customFormat="1" ht="12.75" customHeight="1" x14ac:dyDescent="0.2">
      <c r="A1742" s="65">
        <v>1733</v>
      </c>
      <c r="B1742" s="60"/>
      <c r="C1742" s="117" t="s">
        <v>1336</v>
      </c>
      <c r="D1742" s="118"/>
      <c r="E1742" s="119"/>
      <c r="F1742" s="113" t="s">
        <v>59</v>
      </c>
      <c r="G1742" s="114"/>
      <c r="H1742" s="115">
        <f>29-19+10</f>
        <v>20</v>
      </c>
      <c r="I1742" s="116"/>
    </row>
    <row r="1743" spans="1:9" s="17" customFormat="1" ht="12.75" customHeight="1" x14ac:dyDescent="0.2">
      <c r="A1743" s="65">
        <v>1734</v>
      </c>
      <c r="B1743" s="60"/>
      <c r="C1743" s="117" t="s">
        <v>2735</v>
      </c>
      <c r="D1743" s="118"/>
      <c r="E1743" s="119"/>
      <c r="F1743" s="113" t="s">
        <v>59</v>
      </c>
      <c r="G1743" s="114"/>
      <c r="H1743" s="115">
        <f>6+3.3-3.3</f>
        <v>6.0000000000000009</v>
      </c>
      <c r="I1743" s="116"/>
    </row>
    <row r="1744" spans="1:9" s="17" customFormat="1" ht="23.25" customHeight="1" x14ac:dyDescent="0.2">
      <c r="A1744" s="65">
        <v>1735</v>
      </c>
      <c r="B1744" s="60"/>
      <c r="C1744" s="128" t="s">
        <v>2766</v>
      </c>
      <c r="D1744" s="126"/>
      <c r="E1744" s="127"/>
      <c r="F1744" s="113" t="s">
        <v>57</v>
      </c>
      <c r="G1744" s="114"/>
      <c r="H1744" s="115">
        <v>200</v>
      </c>
      <c r="I1744" s="116"/>
    </row>
    <row r="1745" spans="1:9" s="17" customFormat="1" ht="12.75" customHeight="1" x14ac:dyDescent="0.2">
      <c r="A1745" s="65">
        <v>1736</v>
      </c>
      <c r="B1745" s="60"/>
      <c r="C1745" s="128" t="s">
        <v>3329</v>
      </c>
      <c r="D1745" s="126"/>
      <c r="E1745" s="127"/>
      <c r="F1745" s="121" t="s">
        <v>87</v>
      </c>
      <c r="G1745" s="122"/>
      <c r="H1745" s="115">
        <f>19.4-3.3-13+0.1</f>
        <v>3.199999999999998</v>
      </c>
      <c r="I1745" s="116"/>
    </row>
    <row r="1746" spans="1:9" s="17" customFormat="1" ht="23.25" customHeight="1" x14ac:dyDescent="0.2">
      <c r="A1746" s="65">
        <v>1737</v>
      </c>
      <c r="B1746" s="60"/>
      <c r="C1746" s="128" t="s">
        <v>1673</v>
      </c>
      <c r="D1746" s="126"/>
      <c r="E1746" s="127"/>
      <c r="F1746" s="121" t="s">
        <v>33</v>
      </c>
      <c r="G1746" s="122"/>
      <c r="H1746" s="115">
        <f>96.7-2.5+140.3+308+2.4-4+729+21.9+1.8-3.7-2.7-2.7-1.7-1.9-2-1.9-3.5-151-2.7</f>
        <v>1119.7999999999997</v>
      </c>
      <c r="I1746" s="116"/>
    </row>
    <row r="1747" spans="1:9" s="17" customFormat="1" ht="12.75" customHeight="1" x14ac:dyDescent="0.2">
      <c r="A1747" s="65">
        <v>1738</v>
      </c>
      <c r="B1747" s="60"/>
      <c r="C1747" s="117" t="s">
        <v>3248</v>
      </c>
      <c r="D1747" s="118"/>
      <c r="E1747" s="119"/>
      <c r="F1747" s="121" t="s">
        <v>69</v>
      </c>
      <c r="G1747" s="122"/>
      <c r="H1747" s="115">
        <f>57.3+28.3</f>
        <v>85.6</v>
      </c>
      <c r="I1747" s="116"/>
    </row>
    <row r="1748" spans="1:9" s="17" customFormat="1" ht="26.25" customHeight="1" x14ac:dyDescent="0.2">
      <c r="A1748" s="65">
        <v>1739</v>
      </c>
      <c r="B1748" s="60"/>
      <c r="C1748" s="117" t="s">
        <v>2846</v>
      </c>
      <c r="D1748" s="118"/>
      <c r="E1748" s="119"/>
      <c r="F1748" s="121" t="s">
        <v>69</v>
      </c>
      <c r="G1748" s="122"/>
      <c r="H1748" s="115">
        <f>3.2+3.4+3.7+4.1+1.5+2.4</f>
        <v>18.3</v>
      </c>
      <c r="I1748" s="116"/>
    </row>
    <row r="1749" spans="1:9" s="17" customFormat="1" ht="12.75" customHeight="1" x14ac:dyDescent="0.2">
      <c r="A1749" s="65">
        <v>1740</v>
      </c>
      <c r="B1749" s="60"/>
      <c r="C1749" s="128" t="s">
        <v>912</v>
      </c>
      <c r="D1749" s="126"/>
      <c r="E1749" s="127"/>
      <c r="F1749" s="121" t="s">
        <v>69</v>
      </c>
      <c r="G1749" s="122"/>
      <c r="H1749" s="115">
        <f>54.2-2-11.3</f>
        <v>40.900000000000006</v>
      </c>
      <c r="I1749" s="116"/>
    </row>
    <row r="1750" spans="1:9" s="17" customFormat="1" ht="26.25" customHeight="1" x14ac:dyDescent="0.2">
      <c r="A1750" s="65">
        <v>1741</v>
      </c>
      <c r="B1750" s="60"/>
      <c r="C1750" s="128" t="s">
        <v>2618</v>
      </c>
      <c r="D1750" s="126"/>
      <c r="E1750" s="127"/>
      <c r="F1750" s="113" t="s">
        <v>76</v>
      </c>
      <c r="G1750" s="114"/>
      <c r="H1750" s="115">
        <f>140-5.7+156.7-6-6.2-6.8-7.2+87-7.1-2-8-2.3-20-8.8-4-12-4-2-15.4-5.5-2-4-11.9-7.1+444.8-102-3.9-7.9-20-12.2-7.6-6.4-32.2-7.3-12.7-50.2-40-2.4-29.3+173-40-24-110-4-14.8-14.2-7-4.4-85-100+4.1+12-12.6+70+16.2-11.7+5.5+6.2-7.6-15.6-10+3.9+9.5+1-58.4+88.2+31.2+1.7+16.1-8.5-93+3.9-23.2-8</f>
        <v>136.90000000000012</v>
      </c>
      <c r="I1750" s="116"/>
    </row>
    <row r="1751" spans="1:9" s="17" customFormat="1" ht="11.25" x14ac:dyDescent="0.2">
      <c r="A1751" s="65">
        <v>1742</v>
      </c>
      <c r="B1751" s="60"/>
      <c r="C1751" s="117" t="s">
        <v>4694</v>
      </c>
      <c r="D1751" s="118"/>
      <c r="E1751" s="119"/>
      <c r="F1751" s="113" t="s">
        <v>59</v>
      </c>
      <c r="G1751" s="114"/>
      <c r="H1751" s="115">
        <f>4.2-1+8.8+85.7-39.2+3.9-15.6-34.8-2.2-1+6+82.5-12-2.6-12-3.4-4.4+3+38.6+6.9-33.9-2+6.4-4</f>
        <v>77.900000000000006</v>
      </c>
      <c r="I1751" s="116"/>
    </row>
    <row r="1752" spans="1:9" s="17" customFormat="1" ht="12.75" customHeight="1" x14ac:dyDescent="0.2">
      <c r="A1752" s="65">
        <v>1743</v>
      </c>
      <c r="B1752" s="60"/>
      <c r="C1752" s="117" t="s">
        <v>974</v>
      </c>
      <c r="D1752" s="118"/>
      <c r="E1752" s="119"/>
      <c r="F1752" s="113" t="s">
        <v>76</v>
      </c>
      <c r="G1752" s="114"/>
      <c r="H1752" s="115"/>
      <c r="I1752" s="116"/>
    </row>
    <row r="1753" spans="1:9" s="17" customFormat="1" ht="12.75" customHeight="1" x14ac:dyDescent="0.2">
      <c r="A1753" s="65">
        <v>1744</v>
      </c>
      <c r="B1753" s="60"/>
      <c r="C1753" s="117" t="s">
        <v>1332</v>
      </c>
      <c r="D1753" s="118"/>
      <c r="E1753" s="119"/>
      <c r="F1753" s="121" t="s">
        <v>69</v>
      </c>
      <c r="G1753" s="122"/>
      <c r="H1753" s="115">
        <f>7.1+165-7.1-1.2-15.7-2-8.6-2.5+4.7</f>
        <v>139.70000000000002</v>
      </c>
      <c r="I1753" s="116"/>
    </row>
    <row r="1754" spans="1:9" s="17" customFormat="1" ht="12.75" customHeight="1" x14ac:dyDescent="0.2">
      <c r="A1754" s="65">
        <v>1745</v>
      </c>
      <c r="B1754" s="60"/>
      <c r="C1754" s="117" t="s">
        <v>2458</v>
      </c>
      <c r="D1754" s="118"/>
      <c r="E1754" s="119"/>
      <c r="F1754" s="121" t="s">
        <v>1922</v>
      </c>
      <c r="G1754" s="122"/>
      <c r="H1754" s="115">
        <f>96-27.5-21.5</f>
        <v>47</v>
      </c>
      <c r="I1754" s="116"/>
    </row>
    <row r="1755" spans="1:9" s="17" customFormat="1" ht="12.75" customHeight="1" x14ac:dyDescent="0.2">
      <c r="A1755" s="65">
        <v>1746</v>
      </c>
      <c r="B1755" s="60"/>
      <c r="C1755" s="117" t="s">
        <v>2613</v>
      </c>
      <c r="D1755" s="118"/>
      <c r="E1755" s="119"/>
      <c r="F1755" s="121" t="s">
        <v>1922</v>
      </c>
      <c r="G1755" s="122"/>
      <c r="H1755" s="115">
        <v>73.2</v>
      </c>
      <c r="I1755" s="116"/>
    </row>
    <row r="1756" spans="1:9" s="17" customFormat="1" ht="12.75" customHeight="1" x14ac:dyDescent="0.2">
      <c r="A1756" s="65">
        <v>1747</v>
      </c>
      <c r="B1756" s="60"/>
      <c r="C1756" s="117" t="s">
        <v>5307</v>
      </c>
      <c r="D1756" s="118"/>
      <c r="E1756" s="119"/>
      <c r="F1756" s="121" t="s">
        <v>1922</v>
      </c>
      <c r="G1756" s="122"/>
      <c r="H1756" s="115">
        <v>28.6</v>
      </c>
      <c r="I1756" s="116"/>
    </row>
    <row r="1757" spans="1:9" s="17" customFormat="1" ht="12.75" customHeight="1" x14ac:dyDescent="0.2">
      <c r="A1757" s="65">
        <v>1748</v>
      </c>
      <c r="B1757" s="60"/>
      <c r="C1757" s="117" t="s">
        <v>4807</v>
      </c>
      <c r="D1757" s="118"/>
      <c r="E1757" s="119"/>
      <c r="F1757" s="113" t="s">
        <v>62</v>
      </c>
      <c r="G1757" s="114"/>
      <c r="H1757" s="115">
        <f>198-8.7-50.4-53.7-8.5-3.6</f>
        <v>73.100000000000009</v>
      </c>
      <c r="I1757" s="116"/>
    </row>
    <row r="1758" spans="1:9" s="17" customFormat="1" ht="12.75" customHeight="1" x14ac:dyDescent="0.2">
      <c r="A1758" s="65">
        <v>1749</v>
      </c>
      <c r="B1758" s="60"/>
      <c r="C1758" s="117" t="s">
        <v>3321</v>
      </c>
      <c r="D1758" s="118"/>
      <c r="E1758" s="119"/>
      <c r="F1758" s="113" t="s">
        <v>62</v>
      </c>
      <c r="G1758" s="114"/>
      <c r="H1758" s="115">
        <v>5.2</v>
      </c>
      <c r="I1758" s="116"/>
    </row>
    <row r="1759" spans="1:9" s="17" customFormat="1" ht="12.75" customHeight="1" x14ac:dyDescent="0.2">
      <c r="A1759" s="65">
        <v>1750</v>
      </c>
      <c r="B1759" s="60"/>
      <c r="C1759" s="117" t="s">
        <v>3750</v>
      </c>
      <c r="D1759" s="118"/>
      <c r="E1759" s="119"/>
      <c r="F1759" s="113" t="s">
        <v>59</v>
      </c>
      <c r="G1759" s="114"/>
      <c r="H1759" s="115">
        <f>56.5-1.8-6+0.2+2.6-1.8-11.6-6.5+4.9-13.3+0.4-1.8-1.8-1.8-3.6-2.6+2.5-1.8-2.5</f>
        <v>10.200000000000003</v>
      </c>
      <c r="I1759" s="116"/>
    </row>
    <row r="1760" spans="1:9" s="17" customFormat="1" ht="12.75" customHeight="1" x14ac:dyDescent="0.2">
      <c r="A1760" s="65">
        <v>1751</v>
      </c>
      <c r="B1760" s="60"/>
      <c r="C1760" s="117" t="s">
        <v>1926</v>
      </c>
      <c r="D1760" s="118"/>
      <c r="E1760" s="119"/>
      <c r="F1760" s="113" t="s">
        <v>57</v>
      </c>
      <c r="G1760" s="114"/>
      <c r="H1760" s="115">
        <f>14.7-5</f>
        <v>9.6999999999999993</v>
      </c>
      <c r="I1760" s="116"/>
    </row>
    <row r="1761" spans="1:9" s="17" customFormat="1" ht="27" customHeight="1" x14ac:dyDescent="0.2">
      <c r="A1761" s="65">
        <v>1752</v>
      </c>
      <c r="B1761" s="60"/>
      <c r="C1761" s="117" t="s">
        <v>1462</v>
      </c>
      <c r="D1761" s="118"/>
      <c r="E1761" s="119"/>
      <c r="F1761" s="121" t="s">
        <v>69</v>
      </c>
      <c r="G1761" s="122"/>
      <c r="H1761" s="115">
        <f>1.1+0.7+5.9+9.8+8.2+3.8+2.9</f>
        <v>32.4</v>
      </c>
      <c r="I1761" s="116"/>
    </row>
    <row r="1762" spans="1:9" s="17" customFormat="1" ht="12.75" customHeight="1" x14ac:dyDescent="0.2">
      <c r="A1762" s="65">
        <v>1753</v>
      </c>
      <c r="B1762" s="60"/>
      <c r="C1762" s="117" t="s">
        <v>2500</v>
      </c>
      <c r="D1762" s="118"/>
      <c r="E1762" s="119"/>
      <c r="F1762" s="113" t="s">
        <v>62</v>
      </c>
      <c r="G1762" s="114"/>
      <c r="H1762" s="115">
        <f>99-8.8</f>
        <v>90.2</v>
      </c>
      <c r="I1762" s="116"/>
    </row>
    <row r="1763" spans="1:9" s="17" customFormat="1" ht="12.75" customHeight="1" x14ac:dyDescent="0.2">
      <c r="A1763" s="65">
        <v>1754</v>
      </c>
      <c r="B1763" s="60"/>
      <c r="C1763" s="117" t="s">
        <v>2501</v>
      </c>
      <c r="D1763" s="118"/>
      <c r="E1763" s="119"/>
      <c r="F1763" s="113" t="s">
        <v>62</v>
      </c>
      <c r="G1763" s="114"/>
      <c r="H1763" s="115">
        <f>27.3-5.8</f>
        <v>21.5</v>
      </c>
      <c r="I1763" s="116"/>
    </row>
    <row r="1764" spans="1:9" s="17" customFormat="1" ht="12.75" customHeight="1" x14ac:dyDescent="0.2">
      <c r="A1764" s="65">
        <v>1755</v>
      </c>
      <c r="B1764" s="60"/>
      <c r="C1764" s="117" t="s">
        <v>2474</v>
      </c>
      <c r="D1764" s="118"/>
      <c r="E1764" s="119"/>
      <c r="F1764" s="113" t="s">
        <v>62</v>
      </c>
      <c r="G1764" s="114"/>
      <c r="H1764" s="115">
        <f>10.1-2.9+2</f>
        <v>9.1999999999999993</v>
      </c>
      <c r="I1764" s="116"/>
    </row>
    <row r="1765" spans="1:9" s="17" customFormat="1" ht="12.75" customHeight="1" x14ac:dyDescent="0.2">
      <c r="A1765" s="65">
        <v>1756</v>
      </c>
      <c r="B1765" s="60"/>
      <c r="C1765" s="117" t="s">
        <v>1741</v>
      </c>
      <c r="D1765" s="118"/>
      <c r="E1765" s="119"/>
      <c r="F1765" s="113" t="s">
        <v>800</v>
      </c>
      <c r="G1765" s="114"/>
      <c r="H1765" s="115">
        <f>11.1+15.5-5.9+6-15.5-6+6-3.9-1.3+2.2+6.3+6-2.2</f>
        <v>18.300000000000004</v>
      </c>
      <c r="I1765" s="116"/>
    </row>
    <row r="1766" spans="1:9" s="17" customFormat="1" ht="12.75" customHeight="1" x14ac:dyDescent="0.2">
      <c r="A1766" s="65">
        <v>1757</v>
      </c>
      <c r="B1766" s="60"/>
      <c r="C1766" s="117" t="s">
        <v>2420</v>
      </c>
      <c r="D1766" s="118"/>
      <c r="E1766" s="119"/>
      <c r="F1766" s="113" t="s">
        <v>800</v>
      </c>
      <c r="G1766" s="114"/>
      <c r="H1766" s="115">
        <f>19.6-2-0.4</f>
        <v>17.200000000000003</v>
      </c>
      <c r="I1766" s="116"/>
    </row>
    <row r="1767" spans="1:9" s="17" customFormat="1" ht="12.75" customHeight="1" x14ac:dyDescent="0.2">
      <c r="A1767" s="65">
        <v>1758</v>
      </c>
      <c r="B1767" s="60"/>
      <c r="C1767" s="117" t="s">
        <v>5006</v>
      </c>
      <c r="D1767" s="118"/>
      <c r="E1767" s="119"/>
      <c r="F1767" s="121" t="s">
        <v>80</v>
      </c>
      <c r="G1767" s="122"/>
      <c r="H1767" s="115">
        <f>218.7-11.2-3.2-6-43.5-3.2-20.5-33.3-20.8-2.7-56.1+2.2</f>
        <v>20.400000000000023</v>
      </c>
      <c r="I1767" s="116"/>
    </row>
    <row r="1768" spans="1:9" s="17" customFormat="1" ht="12.75" customHeight="1" x14ac:dyDescent="0.2">
      <c r="A1768" s="65">
        <v>1759</v>
      </c>
      <c r="B1768" s="60"/>
      <c r="C1768" s="128" t="s">
        <v>2400</v>
      </c>
      <c r="D1768" s="126"/>
      <c r="E1768" s="127"/>
      <c r="F1768" s="124" t="s">
        <v>87</v>
      </c>
      <c r="G1768" s="124"/>
      <c r="H1768" s="115">
        <v>13.6</v>
      </c>
      <c r="I1768" s="116"/>
    </row>
    <row r="1769" spans="1:9" s="17" customFormat="1" ht="12.75" customHeight="1" x14ac:dyDescent="0.2">
      <c r="A1769" s="65">
        <v>1760</v>
      </c>
      <c r="B1769" s="60"/>
      <c r="C1769" s="117" t="s">
        <v>4548</v>
      </c>
      <c r="D1769" s="118"/>
      <c r="E1769" s="119"/>
      <c r="F1769" s="121" t="s">
        <v>135</v>
      </c>
      <c r="G1769" s="122"/>
      <c r="H1769" s="115">
        <f>264-60.7-8-27-11-12.5-22.2-11.2-29-4+4-22.6</f>
        <v>59.800000000000004</v>
      </c>
      <c r="I1769" s="116"/>
    </row>
    <row r="1770" spans="1:9" s="17" customFormat="1" ht="12.75" customHeight="1" x14ac:dyDescent="0.2">
      <c r="A1770" s="65">
        <v>1761</v>
      </c>
      <c r="B1770" s="60"/>
      <c r="C1770" s="117" t="s">
        <v>801</v>
      </c>
      <c r="D1770" s="118"/>
      <c r="E1770" s="119"/>
      <c r="F1770" s="121" t="s">
        <v>69</v>
      </c>
      <c r="G1770" s="122"/>
      <c r="H1770" s="115">
        <v>82.9</v>
      </c>
      <c r="I1770" s="116"/>
    </row>
    <row r="1771" spans="1:9" s="17" customFormat="1" ht="12.75" customHeight="1" x14ac:dyDescent="0.2">
      <c r="A1771" s="65">
        <v>1762</v>
      </c>
      <c r="B1771" s="60"/>
      <c r="C1771" s="117" t="s">
        <v>2161</v>
      </c>
      <c r="D1771" s="118"/>
      <c r="E1771" s="119"/>
      <c r="F1771" s="121" t="s">
        <v>69</v>
      </c>
      <c r="G1771" s="122"/>
      <c r="H1771" s="115">
        <f>15.2-0.7+12.2+4.6</f>
        <v>31.299999999999997</v>
      </c>
      <c r="I1771" s="116"/>
    </row>
    <row r="1772" spans="1:9" s="17" customFormat="1" ht="12.75" customHeight="1" x14ac:dyDescent="0.2">
      <c r="A1772" s="65">
        <v>1763</v>
      </c>
      <c r="B1772" s="60"/>
      <c r="C1772" s="117" t="s">
        <v>2933</v>
      </c>
      <c r="D1772" s="118"/>
      <c r="E1772" s="119"/>
      <c r="F1772" s="121" t="s">
        <v>69</v>
      </c>
      <c r="G1772" s="122"/>
      <c r="H1772" s="115">
        <v>19.5</v>
      </c>
      <c r="I1772" s="116"/>
    </row>
    <row r="1773" spans="1:9" s="17" customFormat="1" ht="12.75" customHeight="1" x14ac:dyDescent="0.2">
      <c r="A1773" s="65">
        <v>1764</v>
      </c>
      <c r="B1773" s="60"/>
      <c r="C1773" s="117" t="s">
        <v>2738</v>
      </c>
      <c r="D1773" s="118"/>
      <c r="E1773" s="119"/>
      <c r="F1773" s="113" t="s">
        <v>888</v>
      </c>
      <c r="G1773" s="114"/>
      <c r="H1773" s="115">
        <v>9.5</v>
      </c>
      <c r="I1773" s="116"/>
    </row>
    <row r="1774" spans="1:9" s="17" customFormat="1" ht="12.75" customHeight="1" x14ac:dyDescent="0.2">
      <c r="A1774" s="65">
        <v>1765</v>
      </c>
      <c r="B1774" s="60"/>
      <c r="C1774" s="117" t="s">
        <v>2739</v>
      </c>
      <c r="D1774" s="118"/>
      <c r="E1774" s="119"/>
      <c r="F1774" s="113" t="s">
        <v>888</v>
      </c>
      <c r="G1774" s="114"/>
      <c r="H1774" s="115">
        <v>6.8</v>
      </c>
      <c r="I1774" s="116"/>
    </row>
    <row r="1775" spans="1:9" s="17" customFormat="1" ht="12.75" customHeight="1" x14ac:dyDescent="0.2">
      <c r="A1775" s="65">
        <v>1766</v>
      </c>
      <c r="B1775" s="60"/>
      <c r="C1775" s="117" t="s">
        <v>3585</v>
      </c>
      <c r="D1775" s="118"/>
      <c r="E1775" s="119"/>
      <c r="F1775" s="113" t="s">
        <v>800</v>
      </c>
      <c r="G1775" s="113"/>
      <c r="H1775" s="115">
        <f>28+7.1+56.7-6-7.1-9-3-0.3+13.9-1.5</f>
        <v>78.800000000000026</v>
      </c>
      <c r="I1775" s="116"/>
    </row>
    <row r="1776" spans="1:9" s="17" customFormat="1" ht="12.75" customHeight="1" x14ac:dyDescent="0.2">
      <c r="A1776" s="65">
        <v>1767</v>
      </c>
      <c r="B1776" s="60"/>
      <c r="C1776" s="117" t="s">
        <v>1043</v>
      </c>
      <c r="D1776" s="118"/>
      <c r="E1776" s="119"/>
      <c r="F1776" s="121" t="s">
        <v>80</v>
      </c>
      <c r="G1776" s="122"/>
      <c r="H1776" s="115">
        <f>200.5-3.5</f>
        <v>197</v>
      </c>
      <c r="I1776" s="116"/>
    </row>
    <row r="1777" spans="1:9" s="17" customFormat="1" ht="12.75" customHeight="1" x14ac:dyDescent="0.2">
      <c r="A1777" s="65">
        <v>1768</v>
      </c>
      <c r="B1777" s="60"/>
      <c r="C1777" s="117" t="s">
        <v>1601</v>
      </c>
      <c r="D1777" s="117"/>
      <c r="E1777" s="117"/>
      <c r="F1777" s="121" t="s">
        <v>309</v>
      </c>
      <c r="G1777" s="122"/>
      <c r="H1777" s="115">
        <v>4.4000000000000004</v>
      </c>
      <c r="I1777" s="116"/>
    </row>
    <row r="1778" spans="1:9" s="17" customFormat="1" ht="12.75" customHeight="1" x14ac:dyDescent="0.2">
      <c r="A1778" s="65">
        <v>1769</v>
      </c>
      <c r="B1778" s="60"/>
      <c r="C1778" s="117" t="s">
        <v>1404</v>
      </c>
      <c r="D1778" s="118"/>
      <c r="E1778" s="119"/>
      <c r="F1778" s="121" t="s">
        <v>69</v>
      </c>
      <c r="G1778" s="122"/>
      <c r="H1778" s="115">
        <v>95.4</v>
      </c>
      <c r="I1778" s="116"/>
    </row>
    <row r="1779" spans="1:9" s="17" customFormat="1" ht="12.75" customHeight="1" x14ac:dyDescent="0.2">
      <c r="A1779" s="65">
        <v>1770</v>
      </c>
      <c r="B1779" s="60"/>
      <c r="C1779" s="117" t="s">
        <v>2069</v>
      </c>
      <c r="D1779" s="118"/>
      <c r="E1779" s="119"/>
      <c r="F1779" s="121" t="s">
        <v>69</v>
      </c>
      <c r="G1779" s="122"/>
      <c r="H1779" s="115">
        <v>16.600000000000001</v>
      </c>
      <c r="I1779" s="116"/>
    </row>
    <row r="1780" spans="1:9" s="17" customFormat="1" ht="12.75" customHeight="1" x14ac:dyDescent="0.2">
      <c r="A1780" s="65">
        <v>1771</v>
      </c>
      <c r="B1780" s="60" t="s">
        <v>3822</v>
      </c>
      <c r="C1780" s="117" t="s">
        <v>5305</v>
      </c>
      <c r="D1780" s="118"/>
      <c r="E1780" s="119"/>
      <c r="F1780" s="113" t="s">
        <v>483</v>
      </c>
      <c r="G1780" s="114"/>
      <c r="H1780" s="115">
        <v>8.5</v>
      </c>
      <c r="I1780" s="116"/>
    </row>
    <row r="1781" spans="1:9" s="17" customFormat="1" ht="12.75" customHeight="1" x14ac:dyDescent="0.2">
      <c r="A1781" s="65">
        <v>1772</v>
      </c>
      <c r="B1781" s="60"/>
      <c r="C1781" s="117" t="s">
        <v>2740</v>
      </c>
      <c r="D1781" s="118"/>
      <c r="E1781" s="119"/>
      <c r="F1781" s="113" t="s">
        <v>888</v>
      </c>
      <c r="G1781" s="114"/>
      <c r="H1781" s="115">
        <f>67.5-1.9</f>
        <v>65.599999999999994</v>
      </c>
      <c r="I1781" s="116"/>
    </row>
    <row r="1782" spans="1:9" s="17" customFormat="1" ht="12.75" customHeight="1" x14ac:dyDescent="0.2">
      <c r="A1782" s="65">
        <v>1773</v>
      </c>
      <c r="B1782" s="60"/>
      <c r="C1782" s="117" t="s">
        <v>3465</v>
      </c>
      <c r="D1782" s="118"/>
      <c r="E1782" s="119"/>
      <c r="F1782" s="121" t="s">
        <v>64</v>
      </c>
      <c r="G1782" s="122"/>
      <c r="H1782" s="115">
        <f>141-4.6-8.2-2.3-5.5-14.7-22.5</f>
        <v>83.200000000000017</v>
      </c>
      <c r="I1782" s="116"/>
    </row>
    <row r="1783" spans="1:9" s="17" customFormat="1" ht="12.75" customHeight="1" x14ac:dyDescent="0.2">
      <c r="A1783" s="65">
        <v>1774</v>
      </c>
      <c r="B1783" s="60"/>
      <c r="C1783" s="117" t="s">
        <v>2260</v>
      </c>
      <c r="D1783" s="118"/>
      <c r="E1783" s="119"/>
      <c r="F1783" s="121" t="s">
        <v>135</v>
      </c>
      <c r="G1783" s="122"/>
      <c r="H1783" s="115">
        <v>24.3</v>
      </c>
      <c r="I1783" s="116"/>
    </row>
    <row r="1784" spans="1:9" s="17" customFormat="1" ht="12.75" customHeight="1" x14ac:dyDescent="0.2">
      <c r="A1784" s="65">
        <v>1775</v>
      </c>
      <c r="B1784" s="60"/>
      <c r="C1784" s="117" t="s">
        <v>722</v>
      </c>
      <c r="D1784" s="118"/>
      <c r="E1784" s="119"/>
      <c r="F1784" s="113" t="s">
        <v>140</v>
      </c>
      <c r="G1784" s="114"/>
      <c r="H1784" s="115"/>
      <c r="I1784" s="116"/>
    </row>
    <row r="1785" spans="1:9" s="17" customFormat="1" ht="12.75" customHeight="1" x14ac:dyDescent="0.2">
      <c r="A1785" s="65">
        <v>1776</v>
      </c>
      <c r="B1785" s="60" t="s">
        <v>3822</v>
      </c>
      <c r="C1785" s="117" t="s">
        <v>3823</v>
      </c>
      <c r="D1785" s="118"/>
      <c r="E1785" s="119"/>
      <c r="F1785" s="113" t="s">
        <v>483</v>
      </c>
      <c r="G1785" s="114"/>
      <c r="H1785" s="115">
        <f>97+40.2-31+27.9-11.5+17.8-11.4-16.4-17.8-11-4.6-66.1+0.1-1.6-2.4-0.1</f>
        <v>9.1000000000000085</v>
      </c>
      <c r="I1785" s="116"/>
    </row>
    <row r="1786" spans="1:9" s="17" customFormat="1" ht="12.75" customHeight="1" x14ac:dyDescent="0.2">
      <c r="A1786" s="65">
        <v>1777</v>
      </c>
      <c r="B1786" s="60" t="s">
        <v>3822</v>
      </c>
      <c r="C1786" s="117" t="s">
        <v>3997</v>
      </c>
      <c r="D1786" s="118"/>
      <c r="E1786" s="119"/>
      <c r="F1786" s="113" t="s">
        <v>57</v>
      </c>
      <c r="G1786" s="114"/>
      <c r="H1786" s="115">
        <v>10</v>
      </c>
      <c r="I1786" s="116"/>
    </row>
    <row r="1787" spans="1:9" s="17" customFormat="1" ht="12.75" customHeight="1" x14ac:dyDescent="0.2">
      <c r="A1787" s="65">
        <v>1778</v>
      </c>
      <c r="B1787" s="60"/>
      <c r="C1787" s="117" t="s">
        <v>2538</v>
      </c>
      <c r="D1787" s="118"/>
      <c r="E1787" s="119"/>
      <c r="F1787" s="121" t="s">
        <v>135</v>
      </c>
      <c r="G1787" s="122"/>
      <c r="H1787" s="115">
        <f>30.8+32.5+0.1-3.6</f>
        <v>59.8</v>
      </c>
      <c r="I1787" s="116"/>
    </row>
    <row r="1788" spans="1:9" s="17" customFormat="1" ht="12.75" customHeight="1" x14ac:dyDescent="0.2">
      <c r="A1788" s="65">
        <v>1779</v>
      </c>
      <c r="B1788" s="60"/>
      <c r="C1788" s="117" t="s">
        <v>4816</v>
      </c>
      <c r="D1788" s="118"/>
      <c r="E1788" s="119"/>
      <c r="F1788" s="121" t="s">
        <v>1170</v>
      </c>
      <c r="G1788" s="122"/>
      <c r="H1788" s="115">
        <v>30</v>
      </c>
      <c r="I1788" s="116"/>
    </row>
    <row r="1789" spans="1:9" s="17" customFormat="1" ht="12.75" customHeight="1" x14ac:dyDescent="0.2">
      <c r="A1789" s="65">
        <v>1780</v>
      </c>
      <c r="B1789" s="60"/>
      <c r="C1789" s="117" t="s">
        <v>3930</v>
      </c>
      <c r="D1789" s="118"/>
      <c r="E1789" s="119"/>
      <c r="F1789" s="121" t="s">
        <v>401</v>
      </c>
      <c r="G1789" s="122"/>
      <c r="H1789" s="115">
        <v>8</v>
      </c>
      <c r="I1789" s="116"/>
    </row>
    <row r="1790" spans="1:9" s="17" customFormat="1" ht="12.75" customHeight="1" x14ac:dyDescent="0.2">
      <c r="A1790" s="65">
        <v>1781</v>
      </c>
      <c r="B1790" s="60"/>
      <c r="C1790" s="117" t="s">
        <v>2379</v>
      </c>
      <c r="D1790" s="118"/>
      <c r="E1790" s="119"/>
      <c r="F1790" s="113" t="s">
        <v>140</v>
      </c>
      <c r="G1790" s="114"/>
      <c r="H1790" s="115">
        <f>107.5-0.5-1.7-1.3-2-1.5-0.2-4-0.4-0.1-8-1-8-8-8-8-8-0.7-0.1-8-8-8</f>
        <v>21.999999999999993</v>
      </c>
      <c r="I1790" s="116"/>
    </row>
    <row r="1791" spans="1:9" s="17" customFormat="1" ht="12.75" customHeight="1" x14ac:dyDescent="0.2">
      <c r="A1791" s="65">
        <v>1782</v>
      </c>
      <c r="B1791" s="60"/>
      <c r="C1791" s="117" t="s">
        <v>2414</v>
      </c>
      <c r="D1791" s="118"/>
      <c r="E1791" s="119"/>
      <c r="F1791" s="121" t="s">
        <v>883</v>
      </c>
      <c r="G1791" s="122"/>
      <c r="H1791" s="115">
        <f>113-5-5.6-0.7-0.3-30-0.5-0.1-0.4-0.7-0.3-0.2-0.2-0.2-0.2-5</f>
        <v>63.599999999999994</v>
      </c>
      <c r="I1791" s="116"/>
    </row>
    <row r="1792" spans="1:9" s="17" customFormat="1" ht="12.75" customHeight="1" x14ac:dyDescent="0.2">
      <c r="A1792" s="65">
        <v>1783</v>
      </c>
      <c r="B1792" s="60"/>
      <c r="C1792" s="117" t="s">
        <v>2289</v>
      </c>
      <c r="D1792" s="118"/>
      <c r="E1792" s="119"/>
      <c r="F1792" s="121" t="s">
        <v>87</v>
      </c>
      <c r="G1792" s="122"/>
      <c r="H1792" s="115">
        <f>192-4-0.4</f>
        <v>187.6</v>
      </c>
      <c r="I1792" s="116"/>
    </row>
    <row r="1793" spans="1:9" s="17" customFormat="1" ht="12.75" customHeight="1" x14ac:dyDescent="0.2">
      <c r="A1793" s="65">
        <v>1784</v>
      </c>
      <c r="B1793" s="60"/>
      <c r="C1793" s="117" t="s">
        <v>4668</v>
      </c>
      <c r="D1793" s="118"/>
      <c r="E1793" s="119"/>
      <c r="F1793" s="121" t="s">
        <v>4666</v>
      </c>
      <c r="G1793" s="122"/>
      <c r="H1793" s="115">
        <v>30</v>
      </c>
      <c r="I1793" s="116"/>
    </row>
    <row r="1794" spans="1:9" s="17" customFormat="1" ht="12.75" customHeight="1" x14ac:dyDescent="0.2">
      <c r="A1794" s="65">
        <v>1785</v>
      </c>
      <c r="B1794" s="60"/>
      <c r="C1794" s="117" t="s">
        <v>1167</v>
      </c>
      <c r="D1794" s="118"/>
      <c r="E1794" s="119"/>
      <c r="F1794" s="121" t="s">
        <v>883</v>
      </c>
      <c r="G1794" s="122"/>
      <c r="H1794" s="115">
        <f>49-0.9-4.5</f>
        <v>43.6</v>
      </c>
      <c r="I1794" s="116"/>
    </row>
    <row r="1795" spans="1:9" s="17" customFormat="1" ht="12.75" customHeight="1" x14ac:dyDescent="0.2">
      <c r="A1795" s="65">
        <v>1786</v>
      </c>
      <c r="B1795" s="60"/>
      <c r="C1795" s="117" t="s">
        <v>2288</v>
      </c>
      <c r="D1795" s="118"/>
      <c r="E1795" s="119"/>
      <c r="F1795" s="121" t="s">
        <v>87</v>
      </c>
      <c r="G1795" s="122"/>
      <c r="H1795" s="115">
        <f>133-10-8-8-10-10-1.1</f>
        <v>85.9</v>
      </c>
      <c r="I1795" s="116"/>
    </row>
    <row r="1796" spans="1:9" s="17" customFormat="1" ht="12.75" customHeight="1" x14ac:dyDescent="0.2">
      <c r="A1796" s="65">
        <v>1787</v>
      </c>
      <c r="B1796" s="60"/>
      <c r="C1796" s="117" t="s">
        <v>2444</v>
      </c>
      <c r="D1796" s="118"/>
      <c r="E1796" s="119"/>
      <c r="F1796" s="113" t="s">
        <v>29</v>
      </c>
      <c r="G1796" s="114"/>
      <c r="H1796" s="115">
        <f>22+184.5-5-5-0.2-0.4-0.2-1.2-1.8-20+20-0.5-0.2-5-10.2-5-0.7-10-7-7-0.2-15-40-1.1-15-2.2</f>
        <v>73.600000000000065</v>
      </c>
      <c r="I1796" s="116"/>
    </row>
    <row r="1797" spans="1:9" s="17" customFormat="1" ht="12.75" customHeight="1" x14ac:dyDescent="0.2">
      <c r="A1797" s="65">
        <v>1788</v>
      </c>
      <c r="B1797" s="60"/>
      <c r="C1797" s="117" t="s">
        <v>2259</v>
      </c>
      <c r="D1797" s="118"/>
      <c r="E1797" s="119"/>
      <c r="F1797" s="113" t="s">
        <v>59</v>
      </c>
      <c r="G1797" s="114"/>
      <c r="H1797" s="115">
        <f>99-1-2-22-1.2-23-10-4.2-0.4-10+101.5-11-22-2-12-1.3-4-1-1.6+4-12-0.3-2-10-0.8-3.2-12-12-3-10-2-0.5-0.1-0.3-1.3-0.5-2.8+1.6-1.2-2.8+0.2+0.9+13.9+97.3-1.8-0.3-0.1-5.4-0.4-2.1-0.6-0.3</f>
        <v>101.90000000000002</v>
      </c>
      <c r="I1797" s="116"/>
    </row>
    <row r="1798" spans="1:9" s="17" customFormat="1" ht="12.75" customHeight="1" x14ac:dyDescent="0.2">
      <c r="A1798" s="65">
        <v>1789</v>
      </c>
      <c r="B1798" s="60"/>
      <c r="C1798" s="117" t="s">
        <v>2974</v>
      </c>
      <c r="D1798" s="118"/>
      <c r="E1798" s="119"/>
      <c r="F1798" s="113" t="s">
        <v>29</v>
      </c>
      <c r="G1798" s="114"/>
      <c r="H1798" s="115">
        <f>238-11</f>
        <v>227</v>
      </c>
      <c r="I1798" s="116"/>
    </row>
    <row r="1799" spans="1:9" s="17" customFormat="1" ht="11.25" x14ac:dyDescent="0.2">
      <c r="A1799" s="65">
        <v>1790</v>
      </c>
      <c r="B1799" s="60"/>
      <c r="C1799" s="117" t="s">
        <v>2771</v>
      </c>
      <c r="D1799" s="118"/>
      <c r="E1799" s="119"/>
      <c r="F1799" s="113" t="s">
        <v>76</v>
      </c>
      <c r="G1799" s="114"/>
      <c r="H1799" s="115">
        <f>359.5-0.4-0.4-5-0.1-0.4-3.4-3-2.3-2.3-1.1-1.6-0.2-1.2-1.5-5.3-2.3-0.4-0.6-0.1-5.3-0.4-0.5-4.6-0.8-1.2-4.6-11.4</f>
        <v>299.09999999999997</v>
      </c>
      <c r="I1799" s="116"/>
    </row>
    <row r="1800" spans="1:9" s="17" customFormat="1" ht="12.75" customHeight="1" x14ac:dyDescent="0.2">
      <c r="A1800" s="65">
        <v>1791</v>
      </c>
      <c r="B1800" s="60"/>
      <c r="C1800" s="117" t="s">
        <v>2234</v>
      </c>
      <c r="D1800" s="118"/>
      <c r="E1800" s="119"/>
      <c r="F1800" s="113" t="s">
        <v>76</v>
      </c>
      <c r="G1800" s="114"/>
      <c r="H1800" s="115">
        <f>79.5-2-0.4-2-2.3-0.4-0.8</f>
        <v>71.599999999999994</v>
      </c>
      <c r="I1800" s="116"/>
    </row>
    <row r="1801" spans="1:9" s="17" customFormat="1" ht="12.75" customHeight="1" x14ac:dyDescent="0.2">
      <c r="A1801" s="65">
        <v>1792</v>
      </c>
      <c r="B1801" s="60"/>
      <c r="C1801" s="117" t="s">
        <v>452</v>
      </c>
      <c r="D1801" s="118"/>
      <c r="E1801" s="119"/>
      <c r="F1801" s="121" t="s">
        <v>13</v>
      </c>
      <c r="G1801" s="122"/>
      <c r="H1801" s="115"/>
      <c r="I1801" s="116"/>
    </row>
    <row r="1802" spans="1:9" s="17" customFormat="1" ht="12.75" customHeight="1" x14ac:dyDescent="0.2">
      <c r="A1802" s="65">
        <v>1793</v>
      </c>
      <c r="B1802" s="60"/>
      <c r="C1802" s="117" t="s">
        <v>4112</v>
      </c>
      <c r="D1802" s="118"/>
      <c r="E1802" s="119"/>
      <c r="F1802" s="121" t="s">
        <v>427</v>
      </c>
      <c r="G1802" s="122"/>
      <c r="H1802" s="115">
        <f>34.5+24</f>
        <v>58.5</v>
      </c>
      <c r="I1802" s="116"/>
    </row>
    <row r="1803" spans="1:9" s="17" customFormat="1" ht="12.75" customHeight="1" x14ac:dyDescent="0.2">
      <c r="A1803" s="65">
        <v>1794</v>
      </c>
      <c r="B1803" s="60"/>
      <c r="C1803" s="117" t="s">
        <v>3953</v>
      </c>
      <c r="D1803" s="118"/>
      <c r="E1803" s="119"/>
      <c r="F1803" s="124" t="s">
        <v>2347</v>
      </c>
      <c r="G1803" s="124"/>
      <c r="H1803" s="115">
        <f>28-0.4-12.5-0.8-7.5</f>
        <v>6.8000000000000007</v>
      </c>
      <c r="I1803" s="116"/>
    </row>
    <row r="1804" spans="1:9" s="17" customFormat="1" ht="12.75" customHeight="1" x14ac:dyDescent="0.2">
      <c r="A1804" s="65">
        <v>1795</v>
      </c>
      <c r="B1804" s="60"/>
      <c r="C1804" s="117" t="s">
        <v>2352</v>
      </c>
      <c r="D1804" s="118"/>
      <c r="E1804" s="119"/>
      <c r="F1804" s="113" t="s">
        <v>76</v>
      </c>
      <c r="G1804" s="114"/>
      <c r="H1804" s="115">
        <f>23.3+39-1.1-0.5-2.7-0.6-6.4-0.6-0.6-0.5-2.2-3.5-0.6-1.7-13-0.6-0.6-3.3-1.1-0.6</f>
        <v>22.099999999999977</v>
      </c>
      <c r="I1804" s="116"/>
    </row>
    <row r="1805" spans="1:9" s="17" customFormat="1" ht="12.75" customHeight="1" x14ac:dyDescent="0.2">
      <c r="A1805" s="65">
        <v>1796</v>
      </c>
      <c r="B1805" s="60"/>
      <c r="C1805" s="117" t="s">
        <v>4808</v>
      </c>
      <c r="D1805" s="118"/>
      <c r="E1805" s="119"/>
      <c r="F1805" s="113" t="s">
        <v>59</v>
      </c>
      <c r="G1805" s="114"/>
      <c r="H1805" s="115">
        <f>222-0.1-1.4-3.4-1.4-18.2-2-9.5-80-1.5-0.6-13.2-1.5-0.8-0.8-2.1-2.1+0.7-1.6-0.7-0.2-2.7-1.8-0.7-0.3-2-1.1-0.9-0.1-0.2-0.3-5.4-2.7-0.7</f>
        <v>62.700000000000017</v>
      </c>
      <c r="I1805" s="116"/>
    </row>
    <row r="1806" spans="1:9" s="17" customFormat="1" ht="12.75" customHeight="1" x14ac:dyDescent="0.2">
      <c r="A1806" s="65">
        <v>1797</v>
      </c>
      <c r="B1806" s="60"/>
      <c r="C1806" s="117" t="s">
        <v>1226</v>
      </c>
      <c r="D1806" s="118"/>
      <c r="E1806" s="119"/>
      <c r="F1806" s="121" t="s">
        <v>457</v>
      </c>
      <c r="G1806" s="122"/>
      <c r="H1806" s="140">
        <v>1.2</v>
      </c>
      <c r="I1806" s="141"/>
    </row>
    <row r="1807" spans="1:9" s="17" customFormat="1" ht="12.75" customHeight="1" x14ac:dyDescent="0.2">
      <c r="A1807" s="65">
        <v>1798</v>
      </c>
      <c r="B1807" s="60"/>
      <c r="C1807" s="117" t="s">
        <v>2823</v>
      </c>
      <c r="D1807" s="118"/>
      <c r="E1807" s="119"/>
      <c r="F1807" s="121" t="s">
        <v>401</v>
      </c>
      <c r="G1807" s="122"/>
      <c r="H1807" s="115">
        <f>39.7-1.1-5.5-22.5-9+0.1</f>
        <v>1.7000000000000015</v>
      </c>
      <c r="I1807" s="116"/>
    </row>
    <row r="1808" spans="1:9" s="17" customFormat="1" ht="12.75" customHeight="1" x14ac:dyDescent="0.2">
      <c r="A1808" s="65">
        <v>1799</v>
      </c>
      <c r="B1808" s="60"/>
      <c r="C1808" s="117" t="s">
        <v>1752</v>
      </c>
      <c r="D1808" s="118"/>
      <c r="E1808" s="119"/>
      <c r="F1808" s="121" t="s">
        <v>153</v>
      </c>
      <c r="G1808" s="122"/>
      <c r="H1808" s="115">
        <f>56-1-10-0.3+49.6-5+49.5-0.5-1-0.6-50-1.3-0.5-2.2-0.5-4.2-0.3-1-0.3-7-0.5-2-1-8.2-0.5-2-3-1.6-0.5-3.4-4.6-3</f>
        <v>39.100000000000016</v>
      </c>
      <c r="I1808" s="116"/>
    </row>
    <row r="1809" spans="1:9" s="17" customFormat="1" ht="12.75" customHeight="1" x14ac:dyDescent="0.2">
      <c r="A1809" s="65">
        <v>1800</v>
      </c>
      <c r="B1809" s="60"/>
      <c r="C1809" s="117" t="s">
        <v>5056</v>
      </c>
      <c r="D1809" s="118"/>
      <c r="E1809" s="119"/>
      <c r="F1809" s="113" t="s">
        <v>76</v>
      </c>
      <c r="G1809" s="114"/>
      <c r="H1809" s="115">
        <f>4.6-2.8+6.5-1.1-2.7-0.7-1.5</f>
        <v>2.3000000000000007</v>
      </c>
      <c r="I1809" s="116"/>
    </row>
    <row r="1810" spans="1:9" s="17" customFormat="1" ht="12.75" customHeight="1" x14ac:dyDescent="0.2">
      <c r="A1810" s="65">
        <v>1801</v>
      </c>
      <c r="B1810" s="60" t="s">
        <v>2225</v>
      </c>
      <c r="C1810" s="117" t="s">
        <v>1020</v>
      </c>
      <c r="D1810" s="118"/>
      <c r="E1810" s="119"/>
      <c r="F1810" s="121" t="s">
        <v>80</v>
      </c>
      <c r="G1810" s="122"/>
      <c r="H1810" s="115">
        <f>50-2.3-1.6-2.2-4.6-2.3-0.8-1-3-0.8-0.8</f>
        <v>30.6</v>
      </c>
      <c r="I1810" s="116"/>
    </row>
    <row r="1811" spans="1:9" s="17" customFormat="1" ht="12.75" customHeight="1" x14ac:dyDescent="0.2">
      <c r="A1811" s="65">
        <v>1802</v>
      </c>
      <c r="B1811" s="60"/>
      <c r="C1811" s="117" t="s">
        <v>2030</v>
      </c>
      <c r="D1811" s="118"/>
      <c r="E1811" s="119"/>
      <c r="F1811" s="113" t="s">
        <v>76</v>
      </c>
      <c r="G1811" s="114"/>
      <c r="H1811" s="115">
        <f>65-3.4-1.7-0.9-0.9</f>
        <v>58.1</v>
      </c>
      <c r="I1811" s="116"/>
    </row>
    <row r="1812" spans="1:9" s="17" customFormat="1" ht="27" customHeight="1" x14ac:dyDescent="0.2">
      <c r="A1812" s="65">
        <v>1803</v>
      </c>
      <c r="B1812" s="60"/>
      <c r="C1812" s="117" t="s">
        <v>4911</v>
      </c>
      <c r="D1812" s="118"/>
      <c r="E1812" s="119"/>
      <c r="F1812" s="113" t="s">
        <v>76</v>
      </c>
      <c r="G1812" s="114"/>
      <c r="H1812" s="115">
        <f>18.3+29.5+15.5-4.5-1-2.5-5-3.3-7-2.2-4.2+22.7-0.8-1.5-0.9-4.8-2.5-3.1-2.9+2.5-1.5-3.4-0.5-3.1-1.1-0.5-0.5-7.9+3.8-0.8-2.1-0.4-0.4-3-5-0.8-0.5-4+0.2-1.3-1-1+9.4-0.6-0.8-8+22+4+179-1.3-2.5-1.2-3-4.7-1.4-1.4-5.2-2-3.3-0.5-34.5-5-6+2.5-2-2.5-15-1-2.7-9.3-0.8-0.9-4.7-0.4-2.8-10.4-1+6.8-2-0.8-1-1.9</f>
        <v>90.59999999999998</v>
      </c>
      <c r="I1812" s="116"/>
    </row>
    <row r="1813" spans="1:9" s="17" customFormat="1" ht="11.25" x14ac:dyDescent="0.2">
      <c r="A1813" s="65">
        <v>1804</v>
      </c>
      <c r="B1813" s="60" t="s">
        <v>2225</v>
      </c>
      <c r="C1813" s="117" t="s">
        <v>4753</v>
      </c>
      <c r="D1813" s="118"/>
      <c r="E1813" s="119"/>
      <c r="F1813" s="113" t="s">
        <v>76</v>
      </c>
      <c r="G1813" s="114"/>
      <c r="H1813" s="115">
        <f>42.5-2.5</f>
        <v>40</v>
      </c>
      <c r="I1813" s="116"/>
    </row>
    <row r="1814" spans="1:9" s="17" customFormat="1" ht="12.75" customHeight="1" x14ac:dyDescent="0.2">
      <c r="A1814" s="65">
        <v>1805</v>
      </c>
      <c r="B1814" s="60"/>
      <c r="C1814" s="117" t="s">
        <v>3471</v>
      </c>
      <c r="D1814" s="118"/>
      <c r="E1814" s="119"/>
      <c r="F1814" s="113" t="s">
        <v>76</v>
      </c>
      <c r="G1814" s="114"/>
      <c r="H1814" s="115">
        <f>100-0.6-7-1.2-10.1-5-4.5-0.9-0.6-0.9</f>
        <v>69.2</v>
      </c>
      <c r="I1814" s="116"/>
    </row>
    <row r="1815" spans="1:9" s="17" customFormat="1" ht="12.75" customHeight="1" x14ac:dyDescent="0.2">
      <c r="A1815" s="65">
        <v>1806</v>
      </c>
      <c r="B1815" s="60"/>
      <c r="C1815" s="117" t="s">
        <v>2469</v>
      </c>
      <c r="D1815" s="118"/>
      <c r="E1815" s="119"/>
      <c r="F1815" s="113" t="s">
        <v>76</v>
      </c>
      <c r="G1815" s="114"/>
      <c r="H1815" s="115">
        <f>97.4-15.5-0.4-0.5+57.3-1.1-0.3+7.2-0.2-0.4-0.4-90-5.6+93.5-6.4-6.5-0.5-3-0.3-8-1-0.4-5-0.2-0.3-5-0.2-0.2</f>
        <v>103.99999999999999</v>
      </c>
      <c r="I1815" s="116"/>
    </row>
    <row r="1816" spans="1:9" s="17" customFormat="1" ht="12.75" customHeight="1" x14ac:dyDescent="0.2">
      <c r="A1816" s="65">
        <v>1807</v>
      </c>
      <c r="B1816" s="60"/>
      <c r="C1816" s="117" t="s">
        <v>2415</v>
      </c>
      <c r="D1816" s="118"/>
      <c r="E1816" s="119"/>
      <c r="F1816" s="121" t="s">
        <v>80</v>
      </c>
      <c r="G1816" s="122"/>
      <c r="H1816" s="115">
        <f>25-1-5.6-1-9.3-1-1-1.9</f>
        <v>4.1999999999999975</v>
      </c>
      <c r="I1816" s="116"/>
    </row>
    <row r="1817" spans="1:9" s="17" customFormat="1" ht="12.75" customHeight="1" x14ac:dyDescent="0.2">
      <c r="A1817" s="65">
        <v>1808</v>
      </c>
      <c r="B1817" s="60"/>
      <c r="C1817" s="117" t="s">
        <v>2585</v>
      </c>
      <c r="D1817" s="118"/>
      <c r="E1817" s="119"/>
      <c r="F1817" s="121" t="s">
        <v>87</v>
      </c>
      <c r="G1817" s="122"/>
      <c r="H1817" s="115">
        <f>313-50-1.3-3.9</f>
        <v>257.8</v>
      </c>
      <c r="I1817" s="116"/>
    </row>
    <row r="1818" spans="1:9" s="17" customFormat="1" ht="15.75" customHeight="1" x14ac:dyDescent="0.2">
      <c r="A1818" s="65">
        <v>1809</v>
      </c>
      <c r="B1818" s="60"/>
      <c r="C1818" s="117" t="s">
        <v>2835</v>
      </c>
      <c r="D1818" s="118"/>
      <c r="E1818" s="119"/>
      <c r="F1818" s="121" t="s">
        <v>1</v>
      </c>
      <c r="G1818" s="122"/>
      <c r="H1818" s="115">
        <f>44.3-0.2-0.5-1-0.2+8.4-5-0.2-0.5-0.3-0.5-2-0.2-1-0.5-4.3-0.4-1.4+101-0.5-14-0.5-5-0.2-0.2-4-1-50-2.7-1.5-3.6-0.5</f>
        <v>51.79999999999999</v>
      </c>
      <c r="I1818" s="116"/>
    </row>
    <row r="1819" spans="1:9" s="17" customFormat="1" ht="12.75" customHeight="1" x14ac:dyDescent="0.2">
      <c r="A1819" s="65">
        <v>1810</v>
      </c>
      <c r="B1819" s="60"/>
      <c r="C1819" s="117" t="s">
        <v>1232</v>
      </c>
      <c r="D1819" s="118"/>
      <c r="E1819" s="119"/>
      <c r="F1819" s="121" t="s">
        <v>69</v>
      </c>
      <c r="G1819" s="122"/>
      <c r="H1819" s="115">
        <f>50.2+1.3-2.9-1-1.2-1.1-0.5+38.6-7-1.6-20.1-1.7-0.6-1.2-21.5</f>
        <v>29.700000000000003</v>
      </c>
      <c r="I1819" s="116"/>
    </row>
    <row r="1820" spans="1:9" s="17" customFormat="1" ht="12.75" customHeight="1" x14ac:dyDescent="0.2">
      <c r="A1820" s="65">
        <v>1811</v>
      </c>
      <c r="B1820" s="60"/>
      <c r="C1820" s="117" t="s">
        <v>1021</v>
      </c>
      <c r="D1820" s="118"/>
      <c r="E1820" s="119"/>
      <c r="F1820" s="121" t="s">
        <v>3</v>
      </c>
      <c r="G1820" s="122"/>
      <c r="H1820" s="115">
        <v>1.7</v>
      </c>
      <c r="I1820" s="116"/>
    </row>
    <row r="1821" spans="1:9" s="17" customFormat="1" ht="12.75" customHeight="1" x14ac:dyDescent="0.2">
      <c r="A1821" s="65">
        <v>1812</v>
      </c>
      <c r="B1821" s="60"/>
      <c r="C1821" s="117" t="s">
        <v>5181</v>
      </c>
      <c r="D1821" s="118"/>
      <c r="E1821" s="119"/>
      <c r="F1821" s="121" t="s">
        <v>135</v>
      </c>
      <c r="G1821" s="122"/>
      <c r="H1821" s="115">
        <f>260-0.5-14-3.9-0.5-1.3-2.6-1.3-0.9</f>
        <v>234.99999999999997</v>
      </c>
      <c r="I1821" s="116"/>
    </row>
    <row r="1822" spans="1:9" s="17" customFormat="1" ht="12.75" customHeight="1" x14ac:dyDescent="0.2">
      <c r="A1822" s="65">
        <v>1813</v>
      </c>
      <c r="B1822" s="60"/>
      <c r="C1822" s="117" t="s">
        <v>2031</v>
      </c>
      <c r="D1822" s="118"/>
      <c r="E1822" s="119"/>
      <c r="F1822" s="113" t="s">
        <v>76</v>
      </c>
      <c r="G1822" s="114"/>
      <c r="H1822" s="115">
        <f>167-2.5</f>
        <v>164.5</v>
      </c>
      <c r="I1822" s="116"/>
    </row>
    <row r="1823" spans="1:9" s="17" customFormat="1" ht="12.75" customHeight="1" x14ac:dyDescent="0.2">
      <c r="A1823" s="65">
        <v>1814</v>
      </c>
      <c r="B1823" s="60"/>
      <c r="C1823" s="117" t="s">
        <v>859</v>
      </c>
      <c r="D1823" s="118"/>
      <c r="E1823" s="119"/>
      <c r="F1823" s="113" t="s">
        <v>76</v>
      </c>
      <c r="G1823" s="114"/>
      <c r="H1823" s="115"/>
      <c r="I1823" s="116"/>
    </row>
    <row r="1824" spans="1:9" s="17" customFormat="1" ht="12.75" customHeight="1" x14ac:dyDescent="0.2">
      <c r="A1824" s="65">
        <v>1815</v>
      </c>
      <c r="B1824" s="60"/>
      <c r="C1824" s="130" t="s">
        <v>2120</v>
      </c>
      <c r="D1824" s="131"/>
      <c r="E1824" s="132"/>
      <c r="F1824" s="113" t="s">
        <v>62</v>
      </c>
      <c r="G1824" s="114"/>
      <c r="H1824" s="115">
        <f>56-3.8-7.5-7.5-3.8-30+0.3</f>
        <v>3.7000000000000055</v>
      </c>
      <c r="I1824" s="116"/>
    </row>
    <row r="1825" spans="1:9" s="17" customFormat="1" ht="12.75" customHeight="1" x14ac:dyDescent="0.2">
      <c r="A1825" s="65">
        <v>1816</v>
      </c>
      <c r="B1825" s="60"/>
      <c r="C1825" s="128" t="s">
        <v>1474</v>
      </c>
      <c r="D1825" s="126"/>
      <c r="E1825" s="127"/>
      <c r="F1825" s="113" t="s">
        <v>76</v>
      </c>
      <c r="G1825" s="114"/>
      <c r="H1825" s="115">
        <v>167.5</v>
      </c>
      <c r="I1825" s="116"/>
    </row>
    <row r="1826" spans="1:9" s="17" customFormat="1" ht="12.75" customHeight="1" x14ac:dyDescent="0.2">
      <c r="A1826" s="65">
        <v>1817</v>
      </c>
      <c r="B1826" s="60"/>
      <c r="C1826" s="128" t="s">
        <v>4775</v>
      </c>
      <c r="D1826" s="126"/>
      <c r="E1826" s="127"/>
      <c r="F1826" s="113" t="s">
        <v>76</v>
      </c>
      <c r="G1826" s="114"/>
      <c r="H1826" s="115">
        <f>99-3-1.2+9.9-0.8-11+19.4-2.4-2-0.7-0.8-0.9-2.3-6.5-5+3+1.8-10.4-1-7.8-1.7+7.6-2+1-0.2-0.9-3.2-2.3-3.8-1.8-6+79.7-2-3-1.5+0.2-5-10-5-1-8+0.3-8-2.6-21.8-1.8-1+1.9+10-2-3.8-0.6-2.5+0.8-2.6+5.1-4+56+18.8+8.3-0.6-15-1.8-2.5-1.2-3.1-3.7-0.6-0.6-0.3-2.5-2+8.7-2-11.5-1.5+8-10-4-8.6-2.5-2-1-3.2+0.8-1.3-2.5+1.4-1+0.5+2.6-1.9-1.8-3.2+34.9+71-1.3-4-0.6-3.8-0.6-5.1+6.8-2.8+5+0.6-1.3-1+17.5-1.5-0.8-0.8-2+0.9-3-2-3.3-11.3-3-3-0.7-0.8+0.4-1-0.4+61.4-0.9+4-1.6-1.3+0.8-2-2-1.2-1.2-0.3-2-4.6+20-79.5-0.5-0.2-8.8-12.5-0.8-0.4-2-0.6-1-1-12+18.2-2-3.8-19-6.6-2+29.5-0.8-0.8-0.6-0.4+0.4-13+0.6-2-0.5-14-2+46-0.3+13.5-10-26.3+6-6-1.4-5-12+4.8+3.9-11.7-1.1+20+4.8-10-19.2-5-0.8+0.5+11.4+1.4+2.5+5.5-1.5-1.4-5-1.1-0.6+11-0.5-0.7+18-6.4-0.8-0.8-0.8-2.2-10-2-1.3-0.6+30-0.7-0.7-1.9-4-1.9-7.8-2.6-12.5-3.8-1.9-1.3</f>
        <v>98.699999999999974</v>
      </c>
      <c r="I1826" s="116"/>
    </row>
    <row r="1827" spans="1:9" s="17" customFormat="1" ht="12.75" customHeight="1" x14ac:dyDescent="0.2">
      <c r="A1827" s="65">
        <v>1818</v>
      </c>
      <c r="B1827" s="60"/>
      <c r="C1827" s="128" t="s">
        <v>2723</v>
      </c>
      <c r="D1827" s="126"/>
      <c r="E1827" s="127"/>
      <c r="F1827" s="113" t="s">
        <v>59</v>
      </c>
      <c r="G1827" s="114"/>
      <c r="H1827" s="115">
        <f>82.4-0.9-25-4.2+13.8-3.2-1.3-3.1-1.5-7.9-10-0.4-1.7-0.4-0.5-0.9-1.3-0.9-0.5-1.3+2.4-2.4-1.7</f>
        <v>29.500000000000004</v>
      </c>
      <c r="I1827" s="116"/>
    </row>
    <row r="1828" spans="1:9" s="17" customFormat="1" ht="12.75" customHeight="1" x14ac:dyDescent="0.2">
      <c r="A1828" s="65">
        <v>1819</v>
      </c>
      <c r="B1828" s="60" t="s">
        <v>2258</v>
      </c>
      <c r="C1828" s="117" t="s">
        <v>5303</v>
      </c>
      <c r="D1828" s="118"/>
      <c r="E1828" s="119"/>
      <c r="F1828" s="121" t="s">
        <v>80</v>
      </c>
      <c r="G1828" s="122"/>
      <c r="H1828" s="115">
        <f>198-2.8-12.5+57.8-1-2.5-5-5-5+2.5-1.3-3.2-6.2-2.5-0.6-6.3</f>
        <v>204.4</v>
      </c>
      <c r="I1828" s="116"/>
    </row>
    <row r="1829" spans="1:9" s="17" customFormat="1" ht="12.75" customHeight="1" x14ac:dyDescent="0.2">
      <c r="A1829" s="65">
        <v>1820</v>
      </c>
      <c r="B1829" s="60" t="s">
        <v>2258</v>
      </c>
      <c r="C1829" s="117" t="s">
        <v>4903</v>
      </c>
      <c r="D1829" s="118"/>
      <c r="E1829" s="119"/>
      <c r="F1829" s="121" t="s">
        <v>80</v>
      </c>
      <c r="G1829" s="122"/>
      <c r="H1829" s="115">
        <f>40.3-2.2-2-2</f>
        <v>34.099999999999994</v>
      </c>
      <c r="I1829" s="116"/>
    </row>
    <row r="1830" spans="1:9" s="17" customFormat="1" ht="12.75" customHeight="1" x14ac:dyDescent="0.2">
      <c r="A1830" s="65">
        <v>1821</v>
      </c>
      <c r="B1830" s="60"/>
      <c r="C1830" s="117" t="s">
        <v>4915</v>
      </c>
      <c r="D1830" s="118"/>
      <c r="E1830" s="119"/>
      <c r="F1830" s="121" t="s">
        <v>64</v>
      </c>
      <c r="G1830" s="122"/>
      <c r="H1830" s="115">
        <f>66-8-2-2-2-2-2-4-2-6.5-2-2-4-2-2-1-12+12-1.3-0.7-15.5-2.1</f>
        <v>2.9</v>
      </c>
      <c r="I1830" s="116"/>
    </row>
    <row r="1831" spans="1:9" s="17" customFormat="1" ht="12.75" customHeight="1" x14ac:dyDescent="0.2">
      <c r="A1831" s="65">
        <v>1822</v>
      </c>
      <c r="B1831" s="60"/>
      <c r="C1831" s="117" t="s">
        <v>2191</v>
      </c>
      <c r="D1831" s="118"/>
      <c r="E1831" s="119"/>
      <c r="F1831" s="121" t="s">
        <v>96</v>
      </c>
      <c r="G1831" s="122"/>
      <c r="H1831" s="115">
        <f>614.5-2.6-2.6-3-1.3-3.8-1.5-1.3-2.6-0.6-0.7-3.7-1.2-3.2-0.7-2.6-2.6-3.6-3.1-0.5</f>
        <v>573.29999999999973</v>
      </c>
      <c r="I1831" s="116"/>
    </row>
    <row r="1832" spans="1:9" s="17" customFormat="1" ht="12.75" customHeight="1" x14ac:dyDescent="0.2">
      <c r="A1832" s="65">
        <v>1823</v>
      </c>
      <c r="B1832" s="60"/>
      <c r="C1832" s="117" t="s">
        <v>1755</v>
      </c>
      <c r="D1832" s="118"/>
      <c r="E1832" s="119"/>
      <c r="F1832" s="121" t="s">
        <v>401</v>
      </c>
      <c r="G1832" s="122"/>
      <c r="H1832" s="115">
        <f>165-1.3-3.6-20-2.1-4-6</f>
        <v>128</v>
      </c>
      <c r="I1832" s="116"/>
    </row>
    <row r="1833" spans="1:9" s="17" customFormat="1" ht="12.75" customHeight="1" x14ac:dyDescent="0.2">
      <c r="A1833" s="65">
        <v>1824</v>
      </c>
      <c r="B1833" s="60"/>
      <c r="C1833" s="117" t="s">
        <v>1914</v>
      </c>
      <c r="D1833" s="118"/>
      <c r="E1833" s="119"/>
      <c r="F1833" s="121" t="s">
        <v>87</v>
      </c>
      <c r="G1833" s="122"/>
      <c r="H1833" s="115">
        <f>103.5-1.2-2.4-1.3-0.2-3.7-18.4-10-17.8-18</f>
        <v>30.499999999999986</v>
      </c>
      <c r="I1833" s="116"/>
    </row>
    <row r="1834" spans="1:9" s="17" customFormat="1" ht="12.75" customHeight="1" x14ac:dyDescent="0.2">
      <c r="A1834" s="65">
        <v>1825</v>
      </c>
      <c r="B1834" s="60"/>
      <c r="C1834" s="117" t="s">
        <v>5002</v>
      </c>
      <c r="D1834" s="118"/>
      <c r="E1834" s="119"/>
      <c r="F1834" s="121" t="s">
        <v>87</v>
      </c>
      <c r="G1834" s="122"/>
      <c r="H1834" s="115">
        <f>24.7+2.5-0.7-3.2</f>
        <v>23.3</v>
      </c>
      <c r="I1834" s="116"/>
    </row>
    <row r="1835" spans="1:9" s="17" customFormat="1" ht="12.75" customHeight="1" x14ac:dyDescent="0.2">
      <c r="A1835" s="65">
        <v>1826</v>
      </c>
      <c r="B1835" s="60"/>
      <c r="C1835" s="117" t="s">
        <v>3103</v>
      </c>
      <c r="D1835" s="118"/>
      <c r="E1835" s="119"/>
      <c r="F1835" s="121" t="s">
        <v>153</v>
      </c>
      <c r="G1835" s="122"/>
      <c r="H1835" s="115">
        <f>1.5+76-7.1-1.1-1.3-1.2-1.8-3-6.2-23-7.8-3-1.7-1.6-1.5-1.6-1.5-1.6-0.6-1</f>
        <v>10.900000000000011</v>
      </c>
      <c r="I1835" s="116"/>
    </row>
    <row r="1836" spans="1:9" s="17" customFormat="1" ht="12.75" customHeight="1" x14ac:dyDescent="0.2">
      <c r="A1836" s="65">
        <v>1827</v>
      </c>
      <c r="B1836" s="60" t="s">
        <v>3656</v>
      </c>
      <c r="C1836" s="117" t="s">
        <v>4419</v>
      </c>
      <c r="D1836" s="118"/>
      <c r="E1836" s="119"/>
      <c r="F1836" s="121" t="s">
        <v>153</v>
      </c>
      <c r="G1836" s="122"/>
      <c r="H1836" s="115">
        <v>23.8</v>
      </c>
      <c r="I1836" s="116"/>
    </row>
    <row r="1837" spans="1:9" s="17" customFormat="1" ht="12.75" customHeight="1" x14ac:dyDescent="0.2">
      <c r="A1837" s="65">
        <v>1828</v>
      </c>
      <c r="B1837" s="60"/>
      <c r="C1837" s="117" t="s">
        <v>2186</v>
      </c>
      <c r="D1837" s="118"/>
      <c r="E1837" s="119"/>
      <c r="F1837" s="121" t="s">
        <v>130</v>
      </c>
      <c r="G1837" s="122"/>
      <c r="H1837" s="115">
        <f>77.4-1.2-9.8</f>
        <v>66.400000000000006</v>
      </c>
      <c r="I1837" s="116"/>
    </row>
    <row r="1838" spans="1:9" s="17" customFormat="1" ht="12.75" customHeight="1" x14ac:dyDescent="0.2">
      <c r="A1838" s="65">
        <v>1829</v>
      </c>
      <c r="B1838" s="60"/>
      <c r="C1838" s="117" t="s">
        <v>2905</v>
      </c>
      <c r="D1838" s="118"/>
      <c r="E1838" s="119"/>
      <c r="F1838" s="121" t="s">
        <v>33</v>
      </c>
      <c r="G1838" s="122"/>
      <c r="H1838" s="115">
        <f>491-0.7-3.4-16.5-14-3.9+1.9-2.1-8.3-6-40.3-0.6-1.3-4</f>
        <v>391.79999999999995</v>
      </c>
      <c r="I1838" s="116"/>
    </row>
    <row r="1839" spans="1:9" s="17" customFormat="1" ht="12.75" customHeight="1" x14ac:dyDescent="0.2">
      <c r="A1839" s="65">
        <v>1830</v>
      </c>
      <c r="B1839" s="60" t="s">
        <v>2258</v>
      </c>
      <c r="C1839" s="117" t="s">
        <v>4346</v>
      </c>
      <c r="D1839" s="118"/>
      <c r="E1839" s="119"/>
      <c r="F1839" s="121" t="s">
        <v>56</v>
      </c>
      <c r="G1839" s="122"/>
      <c r="H1839" s="115">
        <f>237.5-4-2-2-13.7-6.6-5.4-0.3-10.4-0.7-1.6-4.1-4-14-7.8-2.1-2.1-17-4.1</f>
        <v>135.60000000000002</v>
      </c>
      <c r="I1839" s="116"/>
    </row>
    <row r="1840" spans="1:9" s="17" customFormat="1" ht="12.75" customHeight="1" x14ac:dyDescent="0.2">
      <c r="A1840" s="65">
        <v>1831</v>
      </c>
      <c r="B1840" s="60" t="s">
        <v>3601</v>
      </c>
      <c r="C1840" s="117" t="s">
        <v>4248</v>
      </c>
      <c r="D1840" s="118"/>
      <c r="E1840" s="119"/>
      <c r="F1840" s="121" t="s">
        <v>69</v>
      </c>
      <c r="G1840" s="122"/>
      <c r="H1840" s="115">
        <f>31+15+10</f>
        <v>56</v>
      </c>
      <c r="I1840" s="116"/>
    </row>
    <row r="1841" spans="1:9" s="17" customFormat="1" ht="12.75" customHeight="1" x14ac:dyDescent="0.2">
      <c r="A1841" s="65">
        <v>1832</v>
      </c>
      <c r="B1841" s="60"/>
      <c r="C1841" s="117" t="s">
        <v>1130</v>
      </c>
      <c r="D1841" s="118"/>
      <c r="E1841" s="119"/>
      <c r="F1841" s="121" t="s">
        <v>1106</v>
      </c>
      <c r="G1841" s="122"/>
      <c r="H1841" s="115">
        <f>68.3-4-2.5</f>
        <v>61.8</v>
      </c>
      <c r="I1841" s="116"/>
    </row>
    <row r="1842" spans="1:9" s="17" customFormat="1" ht="12.75" customHeight="1" x14ac:dyDescent="0.2">
      <c r="A1842" s="65">
        <v>1833</v>
      </c>
      <c r="B1842" s="60"/>
      <c r="C1842" s="117" t="s">
        <v>4559</v>
      </c>
      <c r="D1842" s="118"/>
      <c r="E1842" s="119"/>
      <c r="F1842" s="124" t="s">
        <v>109</v>
      </c>
      <c r="G1842" s="124"/>
      <c r="H1842" s="115">
        <f>13-6-0.5</f>
        <v>6.5</v>
      </c>
      <c r="I1842" s="115"/>
    </row>
    <row r="1843" spans="1:9" s="17" customFormat="1" ht="12.75" customHeight="1" x14ac:dyDescent="0.2">
      <c r="A1843" s="65">
        <v>1834</v>
      </c>
      <c r="B1843" s="60"/>
      <c r="C1843" s="117" t="s">
        <v>1259</v>
      </c>
      <c r="D1843" s="118"/>
      <c r="E1843" s="119"/>
      <c r="F1843" s="121" t="s">
        <v>2</v>
      </c>
      <c r="G1843" s="122"/>
      <c r="H1843" s="115">
        <f>1+13-6.1-0.8-3.5-1.75-0.9</f>
        <v>0.95000000000000051</v>
      </c>
      <c r="I1843" s="116"/>
    </row>
    <row r="1844" spans="1:9" s="17" customFormat="1" ht="12.75" customHeight="1" x14ac:dyDescent="0.2">
      <c r="A1844" s="65">
        <v>1835</v>
      </c>
      <c r="B1844" s="60"/>
      <c r="C1844" s="117" t="s">
        <v>4634</v>
      </c>
      <c r="D1844" s="118"/>
      <c r="E1844" s="119"/>
      <c r="F1844" s="121" t="s">
        <v>2</v>
      </c>
      <c r="G1844" s="122"/>
      <c r="H1844" s="115">
        <v>0.7</v>
      </c>
      <c r="I1844" s="116"/>
    </row>
    <row r="1845" spans="1:9" s="23" customFormat="1" ht="13.5" customHeight="1" x14ac:dyDescent="0.2">
      <c r="A1845" s="65">
        <v>1836</v>
      </c>
      <c r="B1845" s="60"/>
      <c r="C1845" s="117" t="s">
        <v>3221</v>
      </c>
      <c r="D1845" s="118"/>
      <c r="E1845" s="119"/>
      <c r="F1845" s="121" t="s">
        <v>85</v>
      </c>
      <c r="G1845" s="122"/>
      <c r="H1845" s="115">
        <f>4.2-2-0.9</f>
        <v>1.3000000000000003</v>
      </c>
      <c r="I1845" s="116"/>
    </row>
    <row r="1846" spans="1:9" s="17" customFormat="1" ht="12.75" customHeight="1" x14ac:dyDescent="0.2">
      <c r="A1846" s="65">
        <v>1837</v>
      </c>
      <c r="B1846" s="60" t="s">
        <v>3540</v>
      </c>
      <c r="C1846" s="117" t="s">
        <v>4415</v>
      </c>
      <c r="D1846" s="118"/>
      <c r="E1846" s="119"/>
      <c r="F1846" s="121" t="s">
        <v>85</v>
      </c>
      <c r="G1846" s="122"/>
      <c r="H1846" s="115">
        <v>4.0999999999999996</v>
      </c>
      <c r="I1846" s="116"/>
    </row>
    <row r="1847" spans="1:9" s="17" customFormat="1" ht="12.75" customHeight="1" x14ac:dyDescent="0.2">
      <c r="A1847" s="65">
        <v>1838</v>
      </c>
      <c r="B1847" s="60"/>
      <c r="C1847" s="117" t="s">
        <v>703</v>
      </c>
      <c r="D1847" s="118"/>
      <c r="E1847" s="119"/>
      <c r="F1847" s="113" t="s">
        <v>76</v>
      </c>
      <c r="G1847" s="114"/>
      <c r="H1847" s="115"/>
      <c r="I1847" s="116"/>
    </row>
    <row r="1848" spans="1:9" s="17" customFormat="1" ht="12.75" customHeight="1" x14ac:dyDescent="0.2">
      <c r="A1848" s="65">
        <v>1839</v>
      </c>
      <c r="B1848" s="60"/>
      <c r="C1848" s="128" t="s">
        <v>4754</v>
      </c>
      <c r="D1848" s="126"/>
      <c r="E1848" s="127"/>
      <c r="F1848" s="113" t="s">
        <v>62</v>
      </c>
      <c r="G1848" s="114"/>
      <c r="H1848" s="115">
        <f>256.8-10.4+21.4-45-1</f>
        <v>221.8</v>
      </c>
      <c r="I1848" s="116"/>
    </row>
    <row r="1849" spans="1:9" s="17" customFormat="1" ht="12.75" customHeight="1" x14ac:dyDescent="0.2">
      <c r="A1849" s="65">
        <v>1840</v>
      </c>
      <c r="B1849" s="60"/>
      <c r="C1849" s="128" t="s">
        <v>2343</v>
      </c>
      <c r="D1849" s="126"/>
      <c r="E1849" s="127"/>
      <c r="F1849" s="113" t="s">
        <v>76</v>
      </c>
      <c r="G1849" s="114"/>
      <c r="H1849" s="115">
        <f>109.5-13.5+2.9+37.4-0.1-1-5.4-8.2-1.8-32.5-6.5-2-15-1-9-1-4.1-0.9-1-1.1-1-1-1-10</f>
        <v>32.70000000000001</v>
      </c>
      <c r="I1849" s="116"/>
    </row>
    <row r="1850" spans="1:9" s="17" customFormat="1" ht="12.75" customHeight="1" x14ac:dyDescent="0.2">
      <c r="A1850" s="65">
        <v>1841</v>
      </c>
      <c r="B1850" s="60"/>
      <c r="C1850" s="128" t="s">
        <v>2703</v>
      </c>
      <c r="D1850" s="126"/>
      <c r="E1850" s="127"/>
      <c r="F1850" s="113" t="s">
        <v>76</v>
      </c>
      <c r="G1850" s="114"/>
      <c r="H1850" s="115">
        <f>51.9-5.6-10.9</f>
        <v>35.4</v>
      </c>
      <c r="I1850" s="116"/>
    </row>
    <row r="1851" spans="1:9" s="17" customFormat="1" ht="12.75" customHeight="1" x14ac:dyDescent="0.2">
      <c r="A1851" s="65">
        <v>1842</v>
      </c>
      <c r="B1851" s="60"/>
      <c r="C1851" s="128" t="s">
        <v>3230</v>
      </c>
      <c r="D1851" s="126"/>
      <c r="E1851" s="127"/>
      <c r="F1851" s="113" t="s">
        <v>76</v>
      </c>
      <c r="G1851" s="114"/>
      <c r="H1851" s="115">
        <f>28.2-3-2-3.3-0.6-1</f>
        <v>18.299999999999997</v>
      </c>
      <c r="I1851" s="116"/>
    </row>
    <row r="1852" spans="1:9" s="17" customFormat="1" ht="12.75" customHeight="1" x14ac:dyDescent="0.2">
      <c r="A1852" s="65">
        <v>1843</v>
      </c>
      <c r="B1852" s="60"/>
      <c r="C1852" s="128" t="s">
        <v>2237</v>
      </c>
      <c r="D1852" s="126"/>
      <c r="E1852" s="127"/>
      <c r="F1852" s="113" t="s">
        <v>76</v>
      </c>
      <c r="G1852" s="114"/>
      <c r="H1852" s="115">
        <f>24.3-12.5-7.5</f>
        <v>4.3000000000000007</v>
      </c>
      <c r="I1852" s="116"/>
    </row>
    <row r="1853" spans="1:9" s="17" customFormat="1" ht="12.75" customHeight="1" x14ac:dyDescent="0.2">
      <c r="A1853" s="65">
        <v>1844</v>
      </c>
      <c r="B1853" s="60"/>
      <c r="C1853" s="128" t="s">
        <v>1514</v>
      </c>
      <c r="D1853" s="126"/>
      <c r="E1853" s="127"/>
      <c r="F1853" s="113" t="s">
        <v>59</v>
      </c>
      <c r="G1853" s="114"/>
      <c r="H1853" s="115">
        <f>3.5-0.8-0.4</f>
        <v>2.3000000000000003</v>
      </c>
      <c r="I1853" s="116"/>
    </row>
    <row r="1854" spans="1:9" s="17" customFormat="1" ht="12.75" customHeight="1" x14ac:dyDescent="0.2">
      <c r="A1854" s="65">
        <v>1845</v>
      </c>
      <c r="B1854" s="60"/>
      <c r="C1854" s="128" t="s">
        <v>669</v>
      </c>
      <c r="D1854" s="126"/>
      <c r="E1854" s="127"/>
      <c r="F1854" s="113" t="s">
        <v>184</v>
      </c>
      <c r="G1854" s="114"/>
      <c r="H1854" s="115"/>
      <c r="I1854" s="116"/>
    </row>
    <row r="1855" spans="1:9" s="17" customFormat="1" ht="12.75" customHeight="1" x14ac:dyDescent="0.2">
      <c r="A1855" s="65">
        <v>1846</v>
      </c>
      <c r="B1855" s="60"/>
      <c r="C1855" s="117" t="s">
        <v>3022</v>
      </c>
      <c r="D1855" s="118"/>
      <c r="E1855" s="119"/>
      <c r="F1855" s="121" t="s">
        <v>835</v>
      </c>
      <c r="G1855" s="122"/>
      <c r="H1855" s="115">
        <f>16.4-3-0.5-1.8-1.8-5.5-1.5+0.2</f>
        <v>2.4999999999999973</v>
      </c>
      <c r="I1855" s="116"/>
    </row>
    <row r="1856" spans="1:9" s="17" customFormat="1" ht="12.75" customHeight="1" x14ac:dyDescent="0.2">
      <c r="A1856" s="65">
        <v>1847</v>
      </c>
      <c r="B1856" s="60"/>
      <c r="C1856" s="117" t="s">
        <v>3406</v>
      </c>
      <c r="D1856" s="118"/>
      <c r="E1856" s="119"/>
      <c r="F1856" s="121" t="s">
        <v>153</v>
      </c>
      <c r="G1856" s="122"/>
      <c r="H1856" s="115">
        <f>103-0.9-0.9-0.9-2.8-40-7.8+7.8</f>
        <v>57.499999999999986</v>
      </c>
      <c r="I1856" s="116"/>
    </row>
    <row r="1857" spans="1:9" s="17" customFormat="1" ht="12.75" customHeight="1" x14ac:dyDescent="0.2">
      <c r="A1857" s="65">
        <v>1848</v>
      </c>
      <c r="B1857" s="60" t="s">
        <v>3656</v>
      </c>
      <c r="C1857" s="117" t="s">
        <v>4420</v>
      </c>
      <c r="D1857" s="118"/>
      <c r="E1857" s="119"/>
      <c r="F1857" s="121" t="s">
        <v>153</v>
      </c>
      <c r="G1857" s="122"/>
      <c r="H1857" s="115">
        <v>3</v>
      </c>
      <c r="I1857" s="116"/>
    </row>
    <row r="1858" spans="1:9" s="17" customFormat="1" ht="12.75" customHeight="1" x14ac:dyDescent="0.2">
      <c r="A1858" s="65">
        <v>1849</v>
      </c>
      <c r="B1858" s="60"/>
      <c r="C1858" s="117" t="s">
        <v>3076</v>
      </c>
      <c r="D1858" s="118"/>
      <c r="E1858" s="119"/>
      <c r="F1858" s="121" t="s">
        <v>87</v>
      </c>
      <c r="G1858" s="122"/>
      <c r="H1858" s="115">
        <f>3.2-1.4</f>
        <v>1.8000000000000003</v>
      </c>
      <c r="I1858" s="116"/>
    </row>
    <row r="1859" spans="1:9" s="17" customFormat="1" ht="12.75" customHeight="1" x14ac:dyDescent="0.2">
      <c r="A1859" s="65">
        <v>1850</v>
      </c>
      <c r="B1859" s="60"/>
      <c r="C1859" s="117" t="s">
        <v>2089</v>
      </c>
      <c r="D1859" s="118"/>
      <c r="E1859" s="119"/>
      <c r="F1859" s="121" t="s">
        <v>309</v>
      </c>
      <c r="G1859" s="122"/>
      <c r="H1859" s="115">
        <f>37.6-1-4.6</f>
        <v>32</v>
      </c>
      <c r="I1859" s="116"/>
    </row>
    <row r="1860" spans="1:9" s="17" customFormat="1" ht="12.75" customHeight="1" x14ac:dyDescent="0.2">
      <c r="A1860" s="65">
        <v>1851</v>
      </c>
      <c r="B1860" s="60" t="s">
        <v>2241</v>
      </c>
      <c r="C1860" s="128" t="s">
        <v>4881</v>
      </c>
      <c r="D1860" s="126"/>
      <c r="E1860" s="127"/>
      <c r="F1860" s="124" t="s">
        <v>31</v>
      </c>
      <c r="G1860" s="124"/>
      <c r="H1860" s="115">
        <f>5-1-0.9-0.9</f>
        <v>2.2000000000000002</v>
      </c>
      <c r="I1860" s="116"/>
    </row>
    <row r="1861" spans="1:9" s="17" customFormat="1" ht="12.75" customHeight="1" x14ac:dyDescent="0.2">
      <c r="A1861" s="65">
        <v>1852</v>
      </c>
      <c r="B1861" s="60"/>
      <c r="C1861" s="117" t="s">
        <v>2247</v>
      </c>
      <c r="D1861" s="118"/>
      <c r="E1861" s="119"/>
      <c r="F1861" s="124" t="s">
        <v>12</v>
      </c>
      <c r="G1861" s="124"/>
      <c r="H1861" s="115">
        <f>203.5-6-2.4-23.4-2.4-3.6-14.5-12-7</f>
        <v>132.19999999999999</v>
      </c>
      <c r="I1861" s="116"/>
    </row>
    <row r="1862" spans="1:9" s="17" customFormat="1" ht="12.75" customHeight="1" x14ac:dyDescent="0.2">
      <c r="A1862" s="65">
        <v>1853</v>
      </c>
      <c r="B1862" s="60"/>
      <c r="C1862" s="117" t="s">
        <v>5210</v>
      </c>
      <c r="D1862" s="118"/>
      <c r="E1862" s="119"/>
      <c r="F1862" s="121" t="s">
        <v>56</v>
      </c>
      <c r="G1862" s="122"/>
      <c r="H1862" s="115">
        <f>102.5-2-3.4-7.9-6.8</f>
        <v>82.399999999999991</v>
      </c>
      <c r="I1862" s="116"/>
    </row>
    <row r="1863" spans="1:9" s="17" customFormat="1" ht="12.75" customHeight="1" x14ac:dyDescent="0.2">
      <c r="A1863" s="65">
        <v>1854</v>
      </c>
      <c r="B1863" s="60"/>
      <c r="C1863" s="117" t="s">
        <v>1623</v>
      </c>
      <c r="D1863" s="118"/>
      <c r="E1863" s="119"/>
      <c r="F1863" s="121" t="s">
        <v>239</v>
      </c>
      <c r="G1863" s="122"/>
      <c r="H1863" s="115">
        <f>7-2.4+2.7-1.7</f>
        <v>5.6</v>
      </c>
      <c r="I1863" s="116"/>
    </row>
    <row r="1864" spans="1:9" s="17" customFormat="1" ht="12.75" customHeight="1" x14ac:dyDescent="0.2">
      <c r="A1864" s="65">
        <v>1855</v>
      </c>
      <c r="B1864" s="60"/>
      <c r="C1864" s="117" t="s">
        <v>903</v>
      </c>
      <c r="D1864" s="118"/>
      <c r="E1864" s="119"/>
      <c r="F1864" s="121" t="s">
        <v>902</v>
      </c>
      <c r="G1864" s="122"/>
      <c r="H1864" s="115">
        <f>27.3-8-5.6</f>
        <v>13.700000000000001</v>
      </c>
      <c r="I1864" s="116"/>
    </row>
    <row r="1865" spans="1:9" s="17" customFormat="1" ht="12.75" customHeight="1" x14ac:dyDescent="0.2">
      <c r="A1865" s="65">
        <v>1856</v>
      </c>
      <c r="B1865" s="60"/>
      <c r="C1865" s="117" t="s">
        <v>904</v>
      </c>
      <c r="D1865" s="118"/>
      <c r="E1865" s="119"/>
      <c r="F1865" s="121" t="s">
        <v>672</v>
      </c>
      <c r="G1865" s="122"/>
      <c r="H1865" s="115">
        <f>59.9-9-37-1.4-1.4</f>
        <v>11.099999999999998</v>
      </c>
      <c r="I1865" s="116"/>
    </row>
    <row r="1866" spans="1:9" s="23" customFormat="1" ht="13.5" customHeight="1" x14ac:dyDescent="0.2">
      <c r="A1866" s="65">
        <v>1857</v>
      </c>
      <c r="B1866" s="60"/>
      <c r="C1866" s="117" t="s">
        <v>1960</v>
      </c>
      <c r="D1866" s="118"/>
      <c r="E1866" s="119"/>
      <c r="F1866" s="124" t="s">
        <v>85</v>
      </c>
      <c r="G1866" s="124"/>
      <c r="H1866" s="115">
        <v>56</v>
      </c>
      <c r="I1866" s="116"/>
    </row>
    <row r="1867" spans="1:9" s="23" customFormat="1" ht="13.5" customHeight="1" x14ac:dyDescent="0.2">
      <c r="A1867" s="65">
        <v>1858</v>
      </c>
      <c r="B1867" s="60"/>
      <c r="C1867" s="117" t="s">
        <v>3138</v>
      </c>
      <c r="D1867" s="118"/>
      <c r="E1867" s="119"/>
      <c r="F1867" s="124" t="s">
        <v>85</v>
      </c>
      <c r="G1867" s="124"/>
      <c r="H1867" s="115">
        <f>31.7-0.7</f>
        <v>31</v>
      </c>
      <c r="I1867" s="116"/>
    </row>
    <row r="1868" spans="1:9" s="17" customFormat="1" ht="12.75" customHeight="1" x14ac:dyDescent="0.2">
      <c r="A1868" s="65">
        <v>1859</v>
      </c>
      <c r="B1868" s="60"/>
      <c r="C1868" s="117" t="s">
        <v>992</v>
      </c>
      <c r="D1868" s="118"/>
      <c r="E1868" s="119"/>
      <c r="F1868" s="121" t="s">
        <v>80</v>
      </c>
      <c r="G1868" s="122"/>
      <c r="H1868" s="115">
        <f>234-3.1-3.2-4.6-4.6-3.4-1.1-2.5-4.2-6.3</f>
        <v>201.00000000000003</v>
      </c>
      <c r="I1868" s="116"/>
    </row>
    <row r="1869" spans="1:9" s="17" customFormat="1" ht="12.75" customHeight="1" x14ac:dyDescent="0.2">
      <c r="A1869" s="65">
        <v>1860</v>
      </c>
      <c r="B1869" s="60"/>
      <c r="C1869" s="130" t="s">
        <v>629</v>
      </c>
      <c r="D1869" s="131"/>
      <c r="E1869" s="132"/>
      <c r="F1869" s="121" t="s">
        <v>141</v>
      </c>
      <c r="G1869" s="122"/>
      <c r="H1869" s="115">
        <v>0.8</v>
      </c>
      <c r="I1869" s="116"/>
    </row>
    <row r="1870" spans="1:9" s="17" customFormat="1" ht="12.75" customHeight="1" x14ac:dyDescent="0.2">
      <c r="A1870" s="65">
        <v>1861</v>
      </c>
      <c r="B1870" s="60"/>
      <c r="C1870" s="117" t="s">
        <v>5302</v>
      </c>
      <c r="D1870" s="118"/>
      <c r="E1870" s="119"/>
      <c r="F1870" s="113" t="s">
        <v>76</v>
      </c>
      <c r="G1870" s="114"/>
      <c r="H1870" s="115">
        <f>851-1.3-2-1-20-1.3+9.6-1-14.7-1-1.5-1.3-1.4-1.2-18-1.7-2.2-8-22+2.6-11-11.2+2.1-7.2-1-5.4-2-3.8+5.4+1-9.6-15-0.6-1.8+3.1+4.3-1-2.6-3.8-6.3-11.7-2.5-11-15-5.7+1-1.3-1.3-3.7-5-18.4-10-1.3+48.5-10-10-1.3-1-4.3-7.5-14-2.6-100-1.3+1.4-21.2-9-26-35-34.5-8-1.5-22-2.9+4.6-5-11-1.4-5-4-2-8-35.5-20-4-10-1.3+2.2-7.5-1.3-2.5-1.9-7.3-2-1.5-2-1.8-1.3-3.8-2-1-36.2+3.7-2-3.8-2.7-1.1-1-1.3-2.8-2.8</f>
        <v>162.80000000000004</v>
      </c>
      <c r="I1870" s="116"/>
    </row>
    <row r="1871" spans="1:9" s="17" customFormat="1" ht="12.75" customHeight="1" x14ac:dyDescent="0.2">
      <c r="A1871" s="65">
        <v>1862</v>
      </c>
      <c r="B1871" s="60"/>
      <c r="C1871" s="117" t="s">
        <v>861</v>
      </c>
      <c r="D1871" s="118"/>
      <c r="E1871" s="119"/>
      <c r="F1871" s="121" t="s">
        <v>80</v>
      </c>
      <c r="G1871" s="122"/>
      <c r="H1871" s="115">
        <f>153-4.7-1.2-4.4-22-4.4-1.3-0.6-5.6-40-4.5</f>
        <v>64.300000000000026</v>
      </c>
      <c r="I1871" s="116"/>
    </row>
    <row r="1872" spans="1:9" s="17" customFormat="1" ht="12.75" customHeight="1" x14ac:dyDescent="0.2">
      <c r="A1872" s="65">
        <v>1863</v>
      </c>
      <c r="B1872" s="60"/>
      <c r="C1872" s="117" t="s">
        <v>1111</v>
      </c>
      <c r="D1872" s="118"/>
      <c r="E1872" s="119"/>
      <c r="F1872" s="121" t="s">
        <v>80</v>
      </c>
      <c r="G1872" s="122"/>
      <c r="H1872" s="115">
        <v>28.2</v>
      </c>
      <c r="I1872" s="116"/>
    </row>
    <row r="1873" spans="1:9" s="17" customFormat="1" ht="12.75" customHeight="1" x14ac:dyDescent="0.2">
      <c r="A1873" s="65">
        <v>1864</v>
      </c>
      <c r="B1873" s="60"/>
      <c r="C1873" s="117" t="s">
        <v>1276</v>
      </c>
      <c r="D1873" s="118"/>
      <c r="E1873" s="119"/>
      <c r="F1873" s="121" t="s">
        <v>27</v>
      </c>
      <c r="G1873" s="122"/>
      <c r="H1873" s="115">
        <f>265.5-10.5</f>
        <v>255</v>
      </c>
      <c r="I1873" s="116"/>
    </row>
    <row r="1874" spans="1:9" s="17" customFormat="1" ht="12.75" customHeight="1" x14ac:dyDescent="0.2">
      <c r="A1874" s="65">
        <v>1865</v>
      </c>
      <c r="B1874" s="60"/>
      <c r="C1874" s="117" t="s">
        <v>4886</v>
      </c>
      <c r="D1874" s="118"/>
      <c r="E1874" s="119"/>
      <c r="F1874" s="121" t="s">
        <v>69</v>
      </c>
      <c r="G1874" s="122"/>
      <c r="H1874" s="115">
        <f>15.2+1.5+1.6-3.2-7.1-2.1-1.8</f>
        <v>4.1000000000000023</v>
      </c>
      <c r="I1874" s="116"/>
    </row>
    <row r="1875" spans="1:9" s="17" customFormat="1" ht="12.75" customHeight="1" x14ac:dyDescent="0.2">
      <c r="A1875" s="65">
        <v>1866</v>
      </c>
      <c r="B1875" s="60" t="s">
        <v>3601</v>
      </c>
      <c r="C1875" s="117" t="s">
        <v>4300</v>
      </c>
      <c r="D1875" s="118"/>
      <c r="E1875" s="119"/>
      <c r="F1875" s="121" t="s">
        <v>69</v>
      </c>
      <c r="G1875" s="122"/>
      <c r="H1875" s="115">
        <f>18.3+21.5+11.1</f>
        <v>50.9</v>
      </c>
      <c r="I1875" s="116"/>
    </row>
    <row r="1876" spans="1:9" s="23" customFormat="1" ht="13.5" customHeight="1" x14ac:dyDescent="0.2">
      <c r="A1876" s="65">
        <v>1867</v>
      </c>
      <c r="B1876" s="60"/>
      <c r="C1876" s="117" t="s">
        <v>1993</v>
      </c>
      <c r="D1876" s="118"/>
      <c r="E1876" s="119"/>
      <c r="F1876" s="124" t="s">
        <v>85</v>
      </c>
      <c r="G1876" s="124"/>
      <c r="H1876" s="115">
        <v>48.8</v>
      </c>
      <c r="I1876" s="116"/>
    </row>
    <row r="1877" spans="1:9" s="17" customFormat="1" ht="12.75" customHeight="1" x14ac:dyDescent="0.2">
      <c r="A1877" s="65">
        <v>1868</v>
      </c>
      <c r="B1877" s="60"/>
      <c r="C1877" s="117" t="s">
        <v>1470</v>
      </c>
      <c r="D1877" s="118"/>
      <c r="E1877" s="119"/>
      <c r="F1877" s="121" t="s">
        <v>657</v>
      </c>
      <c r="G1877" s="122"/>
      <c r="H1877" s="115">
        <v>9.8000000000000007</v>
      </c>
      <c r="I1877" s="116"/>
    </row>
    <row r="1878" spans="1:9" s="17" customFormat="1" ht="11.25" x14ac:dyDescent="0.2">
      <c r="A1878" s="65">
        <v>1869</v>
      </c>
      <c r="B1878" s="60"/>
      <c r="C1878" s="128" t="s">
        <v>4386</v>
      </c>
      <c r="D1878" s="126"/>
      <c r="E1878" s="127"/>
      <c r="F1878" s="113" t="s">
        <v>76</v>
      </c>
      <c r="G1878" s="114"/>
      <c r="H1878" s="115">
        <f>9.2+13.9+1.4-2.2</f>
        <v>22.3</v>
      </c>
      <c r="I1878" s="116"/>
    </row>
    <row r="1879" spans="1:9" s="17" customFormat="1" ht="12.75" customHeight="1" x14ac:dyDescent="0.2">
      <c r="A1879" s="65">
        <v>1870</v>
      </c>
      <c r="B1879" s="60"/>
      <c r="C1879" s="117" t="s">
        <v>1810</v>
      </c>
      <c r="D1879" s="118"/>
      <c r="E1879" s="119"/>
      <c r="F1879" s="121" t="s">
        <v>835</v>
      </c>
      <c r="G1879" s="122"/>
      <c r="H1879" s="115">
        <v>38</v>
      </c>
      <c r="I1879" s="116"/>
    </row>
    <row r="1880" spans="1:9" s="17" customFormat="1" ht="12.75" customHeight="1" x14ac:dyDescent="0.2">
      <c r="A1880" s="65">
        <v>1871</v>
      </c>
      <c r="B1880" s="60"/>
      <c r="C1880" s="117" t="s">
        <v>5306</v>
      </c>
      <c r="D1880" s="118"/>
      <c r="E1880" s="119"/>
      <c r="F1880" s="121" t="s">
        <v>55</v>
      </c>
      <c r="G1880" s="122"/>
      <c r="H1880" s="115">
        <v>202</v>
      </c>
      <c r="I1880" s="116"/>
    </row>
    <row r="1881" spans="1:9" s="17" customFormat="1" ht="12.75" customHeight="1" x14ac:dyDescent="0.2">
      <c r="A1881" s="65">
        <v>1872</v>
      </c>
      <c r="B1881" s="60" t="s">
        <v>3574</v>
      </c>
      <c r="C1881" s="117" t="s">
        <v>4375</v>
      </c>
      <c r="D1881" s="118"/>
      <c r="E1881" s="119"/>
      <c r="F1881" s="121" t="s">
        <v>56</v>
      </c>
      <c r="G1881" s="122"/>
      <c r="H1881" s="123">
        <f>24-3-1.3</f>
        <v>19.7</v>
      </c>
      <c r="I1881" s="123"/>
    </row>
    <row r="1882" spans="1:9" s="17" customFormat="1" ht="12.75" customHeight="1" x14ac:dyDescent="0.2">
      <c r="A1882" s="65">
        <v>1873</v>
      </c>
      <c r="B1882" s="60"/>
      <c r="C1882" s="117" t="s">
        <v>633</v>
      </c>
      <c r="D1882" s="118"/>
      <c r="E1882" s="119"/>
      <c r="F1882" s="121" t="s">
        <v>63</v>
      </c>
      <c r="G1882" s="122"/>
      <c r="H1882" s="115">
        <v>2.4</v>
      </c>
      <c r="I1882" s="116"/>
    </row>
    <row r="1883" spans="1:9" s="17" customFormat="1" ht="11.25" x14ac:dyDescent="0.2">
      <c r="A1883" s="65">
        <v>1874</v>
      </c>
      <c r="B1883" s="60" t="s">
        <v>2258</v>
      </c>
      <c r="C1883" s="128" t="s">
        <v>4539</v>
      </c>
      <c r="D1883" s="126"/>
      <c r="E1883" s="127"/>
      <c r="F1883" s="113" t="s">
        <v>76</v>
      </c>
      <c r="G1883" s="114"/>
      <c r="H1883" s="115">
        <f>3+102-1.7-4.8+4.9-1.7-21-2+15.8-2.2-40-0.7-9-16+42.9-0.3-5.6+50.9-4.8-6.2+65.5-3.5-37-4+1.6+1.6+12.6-1.6-24-16+4.1+282-1.7+5.4-10+2.2-1.3-183-3.5+2.8+0.6-185.5+21-8.2-1+4.8-0.8-0.6-1.2-1.1-1.6+3.7+105.3-28-3.7-2.1-28.4-0.5-7.6-25.4-0.7-1.9-6.8-5.6+0.6-4.8-6.5</f>
        <v>9.6999999999999211</v>
      </c>
      <c r="I1883" s="116"/>
    </row>
    <row r="1884" spans="1:9" s="17" customFormat="1" ht="11.25" x14ac:dyDescent="0.2">
      <c r="A1884" s="65">
        <v>1875</v>
      </c>
      <c r="B1884" s="60" t="s">
        <v>2876</v>
      </c>
      <c r="C1884" s="128" t="s">
        <v>5250</v>
      </c>
      <c r="D1884" s="126"/>
      <c r="E1884" s="127"/>
      <c r="F1884" s="113" t="s">
        <v>76</v>
      </c>
      <c r="G1884" s="114"/>
      <c r="H1884" s="115">
        <v>31.4</v>
      </c>
      <c r="I1884" s="116"/>
    </row>
    <row r="1885" spans="1:9" s="17" customFormat="1" ht="11.25" x14ac:dyDescent="0.2">
      <c r="A1885" s="65">
        <v>1876</v>
      </c>
      <c r="B1885" s="60"/>
      <c r="C1885" s="128" t="s">
        <v>5251</v>
      </c>
      <c r="D1885" s="126"/>
      <c r="E1885" s="127"/>
      <c r="F1885" s="113" t="s">
        <v>76</v>
      </c>
      <c r="G1885" s="114"/>
      <c r="H1885" s="115">
        <v>10.8</v>
      </c>
      <c r="I1885" s="116"/>
    </row>
    <row r="1886" spans="1:9" s="17" customFormat="1" ht="12.75" customHeight="1" x14ac:dyDescent="0.2">
      <c r="A1886" s="65">
        <v>1877</v>
      </c>
      <c r="B1886" s="60"/>
      <c r="C1886" s="128" t="s">
        <v>4574</v>
      </c>
      <c r="D1886" s="126"/>
      <c r="E1886" s="127"/>
      <c r="F1886" s="125" t="s">
        <v>140</v>
      </c>
      <c r="G1886" s="125"/>
      <c r="H1886" s="115">
        <f>44.9-12.8</f>
        <v>32.099999999999994</v>
      </c>
      <c r="I1886" s="116"/>
    </row>
    <row r="1887" spans="1:9" s="17" customFormat="1" ht="11.25" x14ac:dyDescent="0.2">
      <c r="A1887" s="65">
        <v>1878</v>
      </c>
      <c r="B1887" s="60" t="s">
        <v>3656</v>
      </c>
      <c r="C1887" s="128" t="s">
        <v>4440</v>
      </c>
      <c r="D1887" s="126"/>
      <c r="E1887" s="127"/>
      <c r="F1887" s="113" t="s">
        <v>76</v>
      </c>
      <c r="G1887" s="114"/>
      <c r="H1887" s="115">
        <f>31.5-1.4-4.8-1.6</f>
        <v>23.7</v>
      </c>
      <c r="I1887" s="116"/>
    </row>
    <row r="1888" spans="1:9" s="17" customFormat="1" ht="11.25" x14ac:dyDescent="0.2">
      <c r="A1888" s="65">
        <v>1879</v>
      </c>
      <c r="B1888" s="60"/>
      <c r="C1888" s="128" t="s">
        <v>4517</v>
      </c>
      <c r="D1888" s="126"/>
      <c r="E1888" s="127"/>
      <c r="F1888" s="113" t="s">
        <v>76</v>
      </c>
      <c r="G1888" s="114"/>
      <c r="H1888" s="115">
        <f>12.1-4.8</f>
        <v>7.3</v>
      </c>
      <c r="I1888" s="116"/>
    </row>
    <row r="1889" spans="1:9" s="17" customFormat="1" ht="12.75" customHeight="1" x14ac:dyDescent="0.2">
      <c r="A1889" s="65">
        <v>1880</v>
      </c>
      <c r="B1889" s="60"/>
      <c r="C1889" s="117" t="s">
        <v>5401</v>
      </c>
      <c r="D1889" s="118"/>
      <c r="E1889" s="119"/>
      <c r="F1889" s="121" t="s">
        <v>80</v>
      </c>
      <c r="G1889" s="122"/>
      <c r="H1889" s="115">
        <f>37.6-1.7-1.5+153.5+100-3.2-20-5.6-5.5-5.7-3.1-6.3-3.8-3.3-47-6.7-3+2.2-6.3-0.3-3-0.2-3-6.5-2.2</f>
        <v>155.39999999999995</v>
      </c>
      <c r="I1889" s="116"/>
    </row>
    <row r="1890" spans="1:9" s="17" customFormat="1" ht="12.75" customHeight="1" x14ac:dyDescent="0.2">
      <c r="A1890" s="65">
        <v>1881</v>
      </c>
      <c r="B1890" s="60"/>
      <c r="C1890" s="117" t="s">
        <v>1711</v>
      </c>
      <c r="D1890" s="118"/>
      <c r="E1890" s="119"/>
      <c r="F1890" s="124" t="s">
        <v>883</v>
      </c>
      <c r="G1890" s="124"/>
      <c r="H1890" s="115">
        <v>20.5</v>
      </c>
      <c r="I1890" s="116"/>
    </row>
    <row r="1891" spans="1:9" s="17" customFormat="1" ht="12.75" customHeight="1" x14ac:dyDescent="0.2">
      <c r="A1891" s="65">
        <v>1882</v>
      </c>
      <c r="B1891" s="60"/>
      <c r="C1891" s="117" t="s">
        <v>4734</v>
      </c>
      <c r="D1891" s="118"/>
      <c r="E1891" s="119"/>
      <c r="F1891" s="121" t="s">
        <v>87</v>
      </c>
      <c r="G1891" s="122"/>
      <c r="H1891" s="115">
        <f>310-25-32-4.7-15-1.7-7.4-15-5+2.6+3+18.5-2.6-28-1.7+6.2-10+39.5-2.7-22.5-2-15.1+2.6-2.6-5-2.3-11-5.1-14.6+0.3-2-3.1-1.6-16</f>
        <v>129.00000000000006</v>
      </c>
      <c r="I1891" s="116"/>
    </row>
    <row r="1892" spans="1:9" s="17" customFormat="1" ht="12.75" customHeight="1" x14ac:dyDescent="0.2">
      <c r="A1892" s="65">
        <v>1883</v>
      </c>
      <c r="B1892" s="60"/>
      <c r="C1892" s="117" t="s">
        <v>4083</v>
      </c>
      <c r="D1892" s="118"/>
      <c r="E1892" s="119"/>
      <c r="F1892" s="121" t="s">
        <v>55</v>
      </c>
      <c r="G1892" s="122"/>
      <c r="H1892" s="115">
        <f>1.6+229+232.5-3.5-10.5-12-3.3-25.5-6-3-2.5-70-3-70-50-8+113.6-10+181-1.6-8-8.2-4.6-10.5-5-51-48.1-5.1+100+71.1+131.4-5-3</f>
        <v>632.79999999999984</v>
      </c>
      <c r="I1892" s="116"/>
    </row>
    <row r="1893" spans="1:9" s="17" customFormat="1" ht="12.75" customHeight="1" x14ac:dyDescent="0.2">
      <c r="A1893" s="65">
        <v>1884</v>
      </c>
      <c r="B1893" s="60"/>
      <c r="C1893" s="117" t="s">
        <v>4384</v>
      </c>
      <c r="D1893" s="118"/>
      <c r="E1893" s="119"/>
      <c r="F1893" s="121" t="s">
        <v>4383</v>
      </c>
      <c r="G1893" s="122"/>
      <c r="H1893" s="115">
        <v>137</v>
      </c>
      <c r="I1893" s="116"/>
    </row>
    <row r="1894" spans="1:9" s="17" customFormat="1" ht="12.75" customHeight="1" x14ac:dyDescent="0.2">
      <c r="A1894" s="65">
        <v>1885</v>
      </c>
      <c r="B1894" s="60" t="s">
        <v>3656</v>
      </c>
      <c r="C1894" s="117" t="s">
        <v>4425</v>
      </c>
      <c r="D1894" s="118"/>
      <c r="E1894" s="119"/>
      <c r="F1894" s="121" t="s">
        <v>135</v>
      </c>
      <c r="G1894" s="122"/>
      <c r="H1894" s="115">
        <v>5</v>
      </c>
      <c r="I1894" s="116"/>
    </row>
    <row r="1895" spans="1:9" s="17" customFormat="1" ht="12.75" customHeight="1" x14ac:dyDescent="0.2">
      <c r="A1895" s="65">
        <v>1886</v>
      </c>
      <c r="B1895" s="60"/>
      <c r="C1895" s="117" t="s">
        <v>694</v>
      </c>
      <c r="D1895" s="118"/>
      <c r="E1895" s="119"/>
      <c r="F1895" s="121" t="s">
        <v>309</v>
      </c>
      <c r="G1895" s="122"/>
      <c r="H1895" s="115">
        <v>50.8</v>
      </c>
      <c r="I1895" s="116"/>
    </row>
    <row r="1896" spans="1:9" s="17" customFormat="1" ht="12.75" customHeight="1" x14ac:dyDescent="0.2">
      <c r="A1896" s="65">
        <v>1887</v>
      </c>
      <c r="B1896" s="60"/>
      <c r="C1896" s="117" t="s">
        <v>4635</v>
      </c>
      <c r="D1896" s="118"/>
      <c r="E1896" s="119"/>
      <c r="F1896" s="121" t="s">
        <v>56</v>
      </c>
      <c r="G1896" s="122"/>
      <c r="H1896" s="115">
        <f>4.3-1.4+0.1+1.7+1</f>
        <v>5.7</v>
      </c>
      <c r="I1896" s="116"/>
    </row>
    <row r="1897" spans="1:9" s="17" customFormat="1" ht="12.75" customHeight="1" x14ac:dyDescent="0.2">
      <c r="A1897" s="65">
        <v>1888</v>
      </c>
      <c r="B1897" s="60" t="s">
        <v>3601</v>
      </c>
      <c r="C1897" s="117" t="s">
        <v>4301</v>
      </c>
      <c r="D1897" s="118"/>
      <c r="E1897" s="119"/>
      <c r="F1897" s="121" t="s">
        <v>69</v>
      </c>
      <c r="G1897" s="122"/>
      <c r="H1897" s="115">
        <f>23.7-9.8+23.5-9.8+4.8</f>
        <v>32.4</v>
      </c>
      <c r="I1897" s="116"/>
    </row>
    <row r="1898" spans="1:9" s="17" customFormat="1" ht="12.75" customHeight="1" x14ac:dyDescent="0.2">
      <c r="A1898" s="65">
        <v>1889</v>
      </c>
      <c r="B1898" s="60"/>
      <c r="C1898" s="117" t="s">
        <v>5029</v>
      </c>
      <c r="D1898" s="118"/>
      <c r="E1898" s="119"/>
      <c r="F1898" s="121" t="s">
        <v>2</v>
      </c>
      <c r="G1898" s="122"/>
      <c r="H1898" s="115">
        <f>4.2-0.2+97.5-2.2-1.6-3.5+45.1-70.4-25.5+21-8.5-1.7+3.7-6.8</f>
        <v>51.100000000000009</v>
      </c>
      <c r="I1898" s="116"/>
    </row>
    <row r="1899" spans="1:9" s="23" customFormat="1" ht="13.5" customHeight="1" x14ac:dyDescent="0.2">
      <c r="A1899" s="65">
        <v>1890</v>
      </c>
      <c r="B1899" s="60" t="s">
        <v>3601</v>
      </c>
      <c r="C1899" s="117" t="s">
        <v>5066</v>
      </c>
      <c r="D1899" s="118"/>
      <c r="E1899" s="119"/>
      <c r="F1899" s="124" t="s">
        <v>85</v>
      </c>
      <c r="G1899" s="124"/>
      <c r="H1899" s="115">
        <v>0.9</v>
      </c>
      <c r="I1899" s="116"/>
    </row>
    <row r="1900" spans="1:9" s="17" customFormat="1" ht="11.25" x14ac:dyDescent="0.2">
      <c r="A1900" s="65">
        <v>1891</v>
      </c>
      <c r="B1900" s="60" t="s">
        <v>3656</v>
      </c>
      <c r="C1900" s="128" t="s">
        <v>4658</v>
      </c>
      <c r="D1900" s="126"/>
      <c r="E1900" s="127"/>
      <c r="F1900" s="113" t="s">
        <v>76</v>
      </c>
      <c r="G1900" s="114"/>
      <c r="H1900" s="115">
        <f>25.8+2.1-5.7</f>
        <v>22.200000000000003</v>
      </c>
      <c r="I1900" s="116"/>
    </row>
    <row r="1901" spans="1:9" s="17" customFormat="1" ht="12.75" customHeight="1" x14ac:dyDescent="0.2">
      <c r="A1901" s="65">
        <v>1892</v>
      </c>
      <c r="B1901" s="60"/>
      <c r="C1901" s="128" t="s">
        <v>1713</v>
      </c>
      <c r="D1901" s="126"/>
      <c r="E1901" s="127"/>
      <c r="F1901" s="113" t="s">
        <v>133</v>
      </c>
      <c r="G1901" s="114"/>
      <c r="H1901" s="115">
        <f>6.2-3.4</f>
        <v>2.8000000000000003</v>
      </c>
      <c r="I1901" s="116"/>
    </row>
    <row r="1902" spans="1:9" s="17" customFormat="1" ht="12.75" customHeight="1" x14ac:dyDescent="0.2">
      <c r="A1902" s="65">
        <v>1893</v>
      </c>
      <c r="B1902" s="60"/>
      <c r="C1902" s="128" t="s">
        <v>3747</v>
      </c>
      <c r="D1902" s="126"/>
      <c r="E1902" s="127"/>
      <c r="F1902" s="113" t="s">
        <v>76</v>
      </c>
      <c r="G1902" s="114"/>
      <c r="H1902" s="115">
        <f>258-8.2+3.8-4.1+78.7+3.2-5-2.7-2.9-4-1.2-1.2+17.6-4.2-4-6-0.6-5.5-66.5-16.5-2.5</f>
        <v>226.2000000000001</v>
      </c>
      <c r="I1902" s="116"/>
    </row>
    <row r="1903" spans="1:9" s="17" customFormat="1" ht="12.75" customHeight="1" x14ac:dyDescent="0.2">
      <c r="A1903" s="65">
        <v>1894</v>
      </c>
      <c r="B1903" s="60"/>
      <c r="C1903" s="128" t="s">
        <v>3531</v>
      </c>
      <c r="D1903" s="126"/>
      <c r="E1903" s="127"/>
      <c r="F1903" s="113" t="s">
        <v>76</v>
      </c>
      <c r="G1903" s="114"/>
      <c r="H1903" s="115">
        <f>318.5-4-0.7-49.2-4.2-6-5-16-7.3-8.3-12-10.8-2-2.1-2-6-15.5+4.5+1.5+3.5-4.2-3.6+5.5+16.8+44.5-10+94-0.8-2.1-6.5+4+4.3+3.1-1.5-2-11.9+76.5+4.2-3.1-7.4-3.9-3.8-2-4.4-2.1-4.1-15.6-2.1+2-10-15.8-16.3-2.1-6.1-1.7-23-2-35.5-12.1+1.1-8.1-4-7.2-1.1-2-2-16-4+14.5-1.8-150-18.5-2.2-2-6+5+56+3-1.3-2.7-14.2-25-4.8-1.7+3.4+3.1-2-3.4+82-2.2+26.5-8.2+4.2-4.2+7.9-6.1-2.1-13.1</f>
        <v>106.89999999999995</v>
      </c>
      <c r="I1903" s="116"/>
    </row>
    <row r="1904" spans="1:9" s="17" customFormat="1" ht="12.75" customHeight="1" x14ac:dyDescent="0.2">
      <c r="A1904" s="65">
        <v>1895</v>
      </c>
      <c r="B1904" s="60"/>
      <c r="C1904" s="128" t="s">
        <v>1571</v>
      </c>
      <c r="D1904" s="126"/>
      <c r="E1904" s="127"/>
      <c r="F1904" s="113" t="s">
        <v>59</v>
      </c>
      <c r="G1904" s="114"/>
      <c r="H1904" s="115"/>
      <c r="I1904" s="116"/>
    </row>
    <row r="1905" spans="1:9" s="17" customFormat="1" ht="12.75" customHeight="1" x14ac:dyDescent="0.2">
      <c r="A1905" s="65">
        <v>1896</v>
      </c>
      <c r="B1905" s="60" t="s">
        <v>2225</v>
      </c>
      <c r="C1905" s="117" t="s">
        <v>3650</v>
      </c>
      <c r="D1905" s="118"/>
      <c r="E1905" s="119"/>
      <c r="F1905" s="124" t="s">
        <v>883</v>
      </c>
      <c r="G1905" s="124"/>
      <c r="H1905" s="115">
        <f>68.8-1.7-1-27-1-5.7-17+1.2</f>
        <v>16.599999999999991</v>
      </c>
      <c r="I1905" s="116"/>
    </row>
    <row r="1906" spans="1:9" s="17" customFormat="1" ht="12.75" customHeight="1" x14ac:dyDescent="0.2">
      <c r="A1906" s="65">
        <v>1897</v>
      </c>
      <c r="B1906" s="60"/>
      <c r="C1906" s="117" t="s">
        <v>3753</v>
      </c>
      <c r="D1906" s="118"/>
      <c r="E1906" s="119"/>
      <c r="F1906" s="121" t="s">
        <v>64</v>
      </c>
      <c r="G1906" s="122"/>
      <c r="H1906" s="115">
        <f>100+506-7.2-30-42.6-40-2.4-7.7-7.7-25-11-12.5-4.4-13-2.1-4.1</f>
        <v>396.29999999999995</v>
      </c>
      <c r="I1906" s="116"/>
    </row>
    <row r="1907" spans="1:9" s="17" customFormat="1" ht="12.75" customHeight="1" x14ac:dyDescent="0.2">
      <c r="A1907" s="65">
        <v>1898</v>
      </c>
      <c r="B1907" s="60"/>
      <c r="C1907" s="117" t="s">
        <v>1700</v>
      </c>
      <c r="D1907" s="118"/>
      <c r="E1907" s="119"/>
      <c r="F1907" s="121" t="s">
        <v>64</v>
      </c>
      <c r="G1907" s="122"/>
      <c r="H1907" s="115">
        <f>122+136.5-4.1</f>
        <v>254.4</v>
      </c>
      <c r="I1907" s="116"/>
    </row>
    <row r="1908" spans="1:9" s="17" customFormat="1" ht="12.75" customHeight="1" x14ac:dyDescent="0.2">
      <c r="A1908" s="65">
        <v>1899</v>
      </c>
      <c r="B1908" s="60"/>
      <c r="C1908" s="117" t="s">
        <v>984</v>
      </c>
      <c r="D1908" s="118"/>
      <c r="E1908" s="119"/>
      <c r="F1908" s="121" t="s">
        <v>87</v>
      </c>
      <c r="G1908" s="122"/>
      <c r="H1908" s="115">
        <f>82.3-5.4-28.2-6.2-1</f>
        <v>41.499999999999986</v>
      </c>
      <c r="I1908" s="116"/>
    </row>
    <row r="1909" spans="1:9" s="17" customFormat="1" ht="12.75" customHeight="1" x14ac:dyDescent="0.2">
      <c r="A1909" s="65">
        <v>1900</v>
      </c>
      <c r="B1909" s="60"/>
      <c r="C1909" s="117" t="s">
        <v>2441</v>
      </c>
      <c r="D1909" s="118"/>
      <c r="E1909" s="119"/>
      <c r="F1909" s="121" t="s">
        <v>87</v>
      </c>
      <c r="G1909" s="122"/>
      <c r="H1909" s="115">
        <f>5.3+372.5+2+14.4+139-4.5+10-9-15.7-9-7.3-12-1.1-2-25-1.4-1.4-0.5</f>
        <v>454.3</v>
      </c>
      <c r="I1909" s="116"/>
    </row>
    <row r="1910" spans="1:9" s="17" customFormat="1" ht="12.75" customHeight="1" x14ac:dyDescent="0.2">
      <c r="A1910" s="65">
        <v>1901</v>
      </c>
      <c r="B1910" s="60"/>
      <c r="C1910" s="117" t="s">
        <v>3783</v>
      </c>
      <c r="D1910" s="118"/>
      <c r="E1910" s="119"/>
      <c r="F1910" s="121" t="s">
        <v>401</v>
      </c>
      <c r="G1910" s="122"/>
      <c r="H1910" s="115">
        <f>42.1-4.2-4.1-2.1-2-2.1-3.8</f>
        <v>23.799999999999994</v>
      </c>
      <c r="I1910" s="116"/>
    </row>
    <row r="1911" spans="1:9" s="17" customFormat="1" ht="12.75" customHeight="1" x14ac:dyDescent="0.2">
      <c r="A1911" s="65">
        <v>1902</v>
      </c>
      <c r="B1911" s="60"/>
      <c r="C1911" s="117" t="s">
        <v>1000</v>
      </c>
      <c r="D1911" s="118"/>
      <c r="E1911" s="119"/>
      <c r="F1911" s="121" t="s">
        <v>6</v>
      </c>
      <c r="G1911" s="122"/>
      <c r="H1911" s="115">
        <v>5.4</v>
      </c>
      <c r="I1911" s="116"/>
    </row>
    <row r="1912" spans="1:9" s="17" customFormat="1" ht="12.75" customHeight="1" x14ac:dyDescent="0.2">
      <c r="A1912" s="65">
        <v>1903</v>
      </c>
      <c r="B1912" s="60"/>
      <c r="C1912" s="117" t="s">
        <v>4482</v>
      </c>
      <c r="D1912" s="118"/>
      <c r="E1912" s="119"/>
      <c r="F1912" s="121" t="s">
        <v>55</v>
      </c>
      <c r="G1912" s="122"/>
      <c r="H1912" s="115">
        <f>150.2+393.5-4-15</f>
        <v>524.70000000000005</v>
      </c>
      <c r="I1912" s="116"/>
    </row>
    <row r="1913" spans="1:9" s="17" customFormat="1" ht="12.75" customHeight="1" x14ac:dyDescent="0.2">
      <c r="A1913" s="65">
        <v>1904</v>
      </c>
      <c r="B1913" s="60"/>
      <c r="C1913" s="117" t="s">
        <v>3504</v>
      </c>
      <c r="D1913" s="118"/>
      <c r="E1913" s="119"/>
      <c r="F1913" s="121" t="s">
        <v>55</v>
      </c>
      <c r="G1913" s="122"/>
      <c r="H1913" s="115">
        <f>1.7+128.5-1.7-10-22-10</f>
        <v>86.5</v>
      </c>
      <c r="I1913" s="116"/>
    </row>
    <row r="1914" spans="1:9" s="17" customFormat="1" ht="12.75" customHeight="1" x14ac:dyDescent="0.2">
      <c r="A1914" s="65">
        <v>1905</v>
      </c>
      <c r="B1914" s="60" t="s">
        <v>3656</v>
      </c>
      <c r="C1914" s="117" t="s">
        <v>5221</v>
      </c>
      <c r="D1914" s="118"/>
      <c r="E1914" s="119"/>
      <c r="F1914" s="121" t="s">
        <v>55</v>
      </c>
      <c r="G1914" s="122"/>
      <c r="H1914" s="115">
        <v>5.6</v>
      </c>
      <c r="I1914" s="116"/>
    </row>
    <row r="1915" spans="1:9" s="17" customFormat="1" ht="12.75" customHeight="1" x14ac:dyDescent="0.2">
      <c r="A1915" s="65">
        <v>1906</v>
      </c>
      <c r="B1915" s="60">
        <v>7</v>
      </c>
      <c r="C1915" s="117" t="s">
        <v>3234</v>
      </c>
      <c r="D1915" s="118"/>
      <c r="E1915" s="119"/>
      <c r="F1915" s="121" t="s">
        <v>27</v>
      </c>
      <c r="G1915" s="122"/>
      <c r="H1915" s="115">
        <v>42</v>
      </c>
      <c r="I1915" s="116"/>
    </row>
    <row r="1916" spans="1:9" s="17" customFormat="1" ht="12.75" customHeight="1" x14ac:dyDescent="0.2">
      <c r="A1916" s="65">
        <v>1907</v>
      </c>
      <c r="B1916" s="60" t="s">
        <v>3574</v>
      </c>
      <c r="C1916" s="128" t="s">
        <v>4703</v>
      </c>
      <c r="D1916" s="126"/>
      <c r="E1916" s="127"/>
      <c r="F1916" s="124" t="s">
        <v>42</v>
      </c>
      <c r="G1916" s="124"/>
      <c r="H1916" s="115">
        <v>16.899999999999999</v>
      </c>
      <c r="I1916" s="116"/>
    </row>
    <row r="1917" spans="1:9" s="17" customFormat="1" ht="12.75" customHeight="1" x14ac:dyDescent="0.2">
      <c r="A1917" s="65">
        <v>1908</v>
      </c>
      <c r="B1917" s="60"/>
      <c r="C1917" s="117" t="s">
        <v>5348</v>
      </c>
      <c r="D1917" s="118"/>
      <c r="E1917" s="119"/>
      <c r="F1917" s="121" t="s">
        <v>69</v>
      </c>
      <c r="G1917" s="122"/>
      <c r="H1917" s="115">
        <f>20.6-7-6.8</f>
        <v>6.8000000000000016</v>
      </c>
      <c r="I1917" s="116"/>
    </row>
    <row r="1918" spans="1:9" s="17" customFormat="1" ht="12.75" customHeight="1" x14ac:dyDescent="0.2">
      <c r="A1918" s="65">
        <v>1909</v>
      </c>
      <c r="B1918" s="60"/>
      <c r="C1918" s="117" t="s">
        <v>987</v>
      </c>
      <c r="D1918" s="118"/>
      <c r="E1918" s="119"/>
      <c r="F1918" s="121" t="s">
        <v>200</v>
      </c>
      <c r="G1918" s="122"/>
      <c r="H1918" s="115">
        <f>33.7-3-2.8</f>
        <v>27.900000000000002</v>
      </c>
      <c r="I1918" s="116"/>
    </row>
    <row r="1919" spans="1:9" s="23" customFormat="1" ht="13.5" customHeight="1" x14ac:dyDescent="0.2">
      <c r="A1919" s="65">
        <v>1910</v>
      </c>
      <c r="B1919" s="60"/>
      <c r="C1919" s="117" t="s">
        <v>898</v>
      </c>
      <c r="D1919" s="118"/>
      <c r="E1919" s="119"/>
      <c r="F1919" s="121" t="s">
        <v>2</v>
      </c>
      <c r="G1919" s="122"/>
      <c r="H1919" s="115">
        <v>4.2</v>
      </c>
      <c r="I1919" s="116"/>
    </row>
    <row r="1920" spans="1:9" s="23" customFormat="1" ht="12.75" customHeight="1" x14ac:dyDescent="0.2">
      <c r="A1920" s="65">
        <v>1911</v>
      </c>
      <c r="B1920" s="60"/>
      <c r="C1920" s="128" t="s">
        <v>950</v>
      </c>
      <c r="D1920" s="126"/>
      <c r="E1920" s="127"/>
      <c r="F1920" s="113" t="s">
        <v>76</v>
      </c>
      <c r="G1920" s="114"/>
      <c r="H1920" s="115">
        <f>637.5-10.5-11.8-10.5-22-16.5</f>
        <v>566.20000000000005</v>
      </c>
      <c r="I1920" s="116"/>
    </row>
    <row r="1921" spans="1:9" s="23" customFormat="1" ht="26.25" customHeight="1" x14ac:dyDescent="0.2">
      <c r="A1921" s="65">
        <v>1912</v>
      </c>
      <c r="B1921" s="60"/>
      <c r="C1921" s="128" t="s">
        <v>5298</v>
      </c>
      <c r="D1921" s="126"/>
      <c r="E1921" s="127"/>
      <c r="F1921" s="113" t="s">
        <v>76</v>
      </c>
      <c r="G1921" s="114"/>
      <c r="H1921" s="115">
        <f>23+14.4-6.8+5+5+5.8+21.1+43.8+204+7.3-1.7+50.3+48.8-20.2-2.5-20+4.3+107.5+34.8-2.6-9+4.5-1.5-2.7-3.8-10-3.3+8+2.4-17.2-3+1.7+5.3+2.8+3+11.9-20.9-3.3-1.7-0.5-25+2.9-4.3-20-3.8-3.5-5-3.8+13.6-2.8-1.4-9.2-33.7-13.7-8.8+8.8-2.7+3.6-7.7-10+18+1.2-8.7-5-2.5-2.8-7.5+14.4+15.8-37.5+10.6-1.2-2.7-200+5.2-2.7-2.6-2.6-17.5-2.6-2.5-2.6+4.6+35.3-82+34.7+56-7.5+22.7-5+10-4.4+4.3-5.8-14.5+1.9-1.5+1.3+148-30-3-50-1.3-2.8-7.5-1.4-2-2.7-2.5-1.9-1.4-3.2-2-6.3-3-2-30.4-1-2.9-2-12-3.8-0.3+2.7-1.4-8.6-0.8-1.6-6.2-6.1</f>
        <v>122.4</v>
      </c>
      <c r="I1921" s="116"/>
    </row>
    <row r="1922" spans="1:9" s="23" customFormat="1" ht="11.25" x14ac:dyDescent="0.2">
      <c r="A1922" s="65">
        <v>1913</v>
      </c>
      <c r="B1922" s="60" t="s">
        <v>2258</v>
      </c>
      <c r="C1922" s="128" t="s">
        <v>4357</v>
      </c>
      <c r="D1922" s="126"/>
      <c r="E1922" s="127"/>
      <c r="F1922" s="113" t="s">
        <v>76</v>
      </c>
      <c r="G1922" s="114"/>
      <c r="H1922" s="115">
        <v>15</v>
      </c>
      <c r="I1922" s="116"/>
    </row>
    <row r="1923" spans="1:9" s="23" customFormat="1" ht="11.25" x14ac:dyDescent="0.2">
      <c r="A1923" s="65">
        <v>1914</v>
      </c>
      <c r="B1923" s="60" t="s">
        <v>3557</v>
      </c>
      <c r="C1923" s="128" t="s">
        <v>4325</v>
      </c>
      <c r="D1923" s="126"/>
      <c r="E1923" s="127"/>
      <c r="F1923" s="113" t="s">
        <v>76</v>
      </c>
      <c r="G1923" s="114"/>
      <c r="H1923" s="115">
        <v>26.5</v>
      </c>
      <c r="I1923" s="116"/>
    </row>
    <row r="1924" spans="1:9" s="17" customFormat="1" ht="12.75" customHeight="1" x14ac:dyDescent="0.2">
      <c r="A1924" s="65">
        <v>1915</v>
      </c>
      <c r="B1924" s="60" t="s">
        <v>2225</v>
      </c>
      <c r="C1924" s="128" t="s">
        <v>4501</v>
      </c>
      <c r="D1924" s="126"/>
      <c r="E1924" s="127"/>
      <c r="F1924" s="113" t="s">
        <v>59</v>
      </c>
      <c r="G1924" s="114"/>
      <c r="H1924" s="115">
        <f>148.5-7.5-18.6-0.3-2.5-7.5-7.5-3.8-1.3</f>
        <v>99.500000000000014</v>
      </c>
      <c r="I1924" s="116"/>
    </row>
    <row r="1925" spans="1:9" s="17" customFormat="1" ht="12.75" customHeight="1" x14ac:dyDescent="0.2">
      <c r="A1925" s="65">
        <v>1916</v>
      </c>
      <c r="B1925" s="60"/>
      <c r="C1925" s="117" t="s">
        <v>1549</v>
      </c>
      <c r="D1925" s="118"/>
      <c r="E1925" s="119"/>
      <c r="F1925" s="121" t="s">
        <v>80</v>
      </c>
      <c r="G1925" s="122"/>
      <c r="H1925" s="115">
        <f>276.7-19.2-38.2-1.3+16.5-52-5.7-30-1.3-25.3+10.2-30.4-12.4-4.3-7.2-4.3-7.1-2-2+9.2-5-6.2-5-10.2-1.3-7.8</f>
        <v>34.400000000000006</v>
      </c>
      <c r="I1925" s="116"/>
    </row>
    <row r="1926" spans="1:9" s="17" customFormat="1" ht="12.75" customHeight="1" x14ac:dyDescent="0.2">
      <c r="A1926" s="65">
        <v>1917</v>
      </c>
      <c r="B1926" s="60"/>
      <c r="C1926" s="117" t="s">
        <v>788</v>
      </c>
      <c r="D1926" s="118"/>
      <c r="E1926" s="119"/>
      <c r="F1926" s="121" t="s">
        <v>80</v>
      </c>
      <c r="G1926" s="122"/>
      <c r="H1926" s="115">
        <f>228-17.2-50.5+4.1-7.5-7.8-7.7-15.5</f>
        <v>125.9</v>
      </c>
      <c r="I1926" s="116"/>
    </row>
    <row r="1927" spans="1:9" s="17" customFormat="1" ht="12.75" customHeight="1" x14ac:dyDescent="0.2">
      <c r="A1927" s="65">
        <v>1918</v>
      </c>
      <c r="B1927" s="60"/>
      <c r="C1927" s="117" t="s">
        <v>2051</v>
      </c>
      <c r="D1927" s="118"/>
      <c r="E1927" s="119"/>
      <c r="F1927" s="121" t="s">
        <v>96</v>
      </c>
      <c r="G1927" s="122"/>
      <c r="H1927" s="115">
        <f>305.7-10-4.3-4.5-5.7-11.8-0.8-1.5-2.5-15-6.1</f>
        <v>243.49999999999997</v>
      </c>
      <c r="I1927" s="116"/>
    </row>
    <row r="1928" spans="1:9" s="17" customFormat="1" ht="12.75" customHeight="1" x14ac:dyDescent="0.2">
      <c r="A1928" s="65">
        <v>1919</v>
      </c>
      <c r="B1928" s="60"/>
      <c r="C1928" s="117" t="s">
        <v>248</v>
      </c>
      <c r="D1928" s="118"/>
      <c r="E1928" s="119"/>
      <c r="F1928" s="121" t="s">
        <v>96</v>
      </c>
      <c r="G1928" s="122"/>
      <c r="H1928" s="115"/>
      <c r="I1928" s="116"/>
    </row>
    <row r="1929" spans="1:9" s="17" customFormat="1" ht="12.75" customHeight="1" x14ac:dyDescent="0.2">
      <c r="A1929" s="65">
        <v>1920</v>
      </c>
      <c r="B1929" s="60"/>
      <c r="C1929" s="117" t="s">
        <v>1401</v>
      </c>
      <c r="D1929" s="118"/>
      <c r="E1929" s="119"/>
      <c r="F1929" s="121" t="s">
        <v>87</v>
      </c>
      <c r="G1929" s="122"/>
      <c r="H1929" s="115">
        <f>282.8+5.9-11-6.1-4.4-6.5+19.7-15-6.2-6.4+9+6.5-15.7-60-0.3-14.8-5-4.5</f>
        <v>167.99999999999994</v>
      </c>
      <c r="I1929" s="116"/>
    </row>
    <row r="1930" spans="1:9" s="17" customFormat="1" ht="12.75" customHeight="1" x14ac:dyDescent="0.2">
      <c r="A1930" s="65">
        <v>1921</v>
      </c>
      <c r="B1930" s="60"/>
      <c r="C1930" s="117" t="s">
        <v>988</v>
      </c>
      <c r="D1930" s="118"/>
      <c r="E1930" s="119"/>
      <c r="F1930" s="121" t="s">
        <v>87</v>
      </c>
      <c r="G1930" s="122"/>
      <c r="H1930" s="115">
        <v>23.8</v>
      </c>
      <c r="I1930" s="116"/>
    </row>
    <row r="1931" spans="1:9" s="17" customFormat="1" ht="12.75" customHeight="1" x14ac:dyDescent="0.2">
      <c r="A1931" s="65">
        <v>1922</v>
      </c>
      <c r="B1931" s="60"/>
      <c r="C1931" s="117" t="s">
        <v>2385</v>
      </c>
      <c r="D1931" s="118"/>
      <c r="E1931" s="119"/>
      <c r="F1931" s="124" t="s">
        <v>401</v>
      </c>
      <c r="G1931" s="124"/>
      <c r="H1931" s="115">
        <f>214-15-40-7.6-12-15-6-2.5-2.5-41-10.6-2.5-49.5</f>
        <v>9.8000000000000043</v>
      </c>
      <c r="I1931" s="116"/>
    </row>
    <row r="1932" spans="1:9" s="17" customFormat="1" ht="12.75" customHeight="1" x14ac:dyDescent="0.2">
      <c r="A1932" s="65">
        <v>1923</v>
      </c>
      <c r="B1932" s="60"/>
      <c r="C1932" s="117" t="s">
        <v>1786</v>
      </c>
      <c r="D1932" s="118"/>
      <c r="E1932" s="119"/>
      <c r="F1932" s="121" t="s">
        <v>401</v>
      </c>
      <c r="G1932" s="122"/>
      <c r="H1932" s="115">
        <f>239-105-8-8</f>
        <v>118</v>
      </c>
      <c r="I1932" s="116"/>
    </row>
    <row r="1933" spans="1:9" s="17" customFormat="1" ht="12.75" customHeight="1" x14ac:dyDescent="0.2">
      <c r="A1933" s="65">
        <v>1924</v>
      </c>
      <c r="B1933" s="60"/>
      <c r="C1933" s="112" t="s">
        <v>552</v>
      </c>
      <c r="D1933" s="112"/>
      <c r="E1933" s="112"/>
      <c r="F1933" s="124" t="s">
        <v>200</v>
      </c>
      <c r="G1933" s="124"/>
      <c r="H1933" s="115">
        <f>2.9+1</f>
        <v>3.9</v>
      </c>
      <c r="I1933" s="116"/>
    </row>
    <row r="1934" spans="1:9" s="17" customFormat="1" ht="12.75" customHeight="1" x14ac:dyDescent="0.2">
      <c r="A1934" s="65">
        <v>1925</v>
      </c>
      <c r="B1934" s="60"/>
      <c r="C1934" s="112" t="s">
        <v>2593</v>
      </c>
      <c r="D1934" s="112"/>
      <c r="E1934" s="112"/>
      <c r="F1934" s="124" t="s">
        <v>200</v>
      </c>
      <c r="G1934" s="124"/>
      <c r="H1934" s="115">
        <f>0.8+2.7+2.8-0.8-1.9-0.9</f>
        <v>2.7</v>
      </c>
      <c r="I1934" s="116"/>
    </row>
    <row r="1935" spans="1:9" s="17" customFormat="1" ht="12.75" customHeight="1" x14ac:dyDescent="0.2">
      <c r="A1935" s="65">
        <v>1926</v>
      </c>
      <c r="B1935" s="60"/>
      <c r="C1935" s="117" t="s">
        <v>635</v>
      </c>
      <c r="D1935" s="118"/>
      <c r="E1935" s="119"/>
      <c r="F1935" s="124" t="s">
        <v>16</v>
      </c>
      <c r="G1935" s="124"/>
      <c r="H1935" s="115">
        <v>1.5</v>
      </c>
      <c r="I1935" s="116"/>
    </row>
    <row r="1936" spans="1:9" s="17" customFormat="1" ht="12.75" customHeight="1" x14ac:dyDescent="0.2">
      <c r="A1936" s="65">
        <v>1927</v>
      </c>
      <c r="B1936" s="60"/>
      <c r="C1936" s="117" t="s">
        <v>2998</v>
      </c>
      <c r="D1936" s="118"/>
      <c r="E1936" s="119"/>
      <c r="F1936" s="124" t="s">
        <v>463</v>
      </c>
      <c r="G1936" s="124"/>
      <c r="H1936" s="115">
        <f>10.6-0.7</f>
        <v>9.9</v>
      </c>
      <c r="I1936" s="116"/>
    </row>
    <row r="1937" spans="1:9" s="17" customFormat="1" ht="12.75" customHeight="1" x14ac:dyDescent="0.2">
      <c r="A1937" s="65">
        <v>1928</v>
      </c>
      <c r="B1937" s="60"/>
      <c r="C1937" s="117" t="s">
        <v>5030</v>
      </c>
      <c r="D1937" s="118"/>
      <c r="E1937" s="119"/>
      <c r="F1937" s="124" t="s">
        <v>2</v>
      </c>
      <c r="G1937" s="124"/>
      <c r="H1937" s="115">
        <f>202.8-47.6-52.9+52-49.8-67.8+0.1-24.6</f>
        <v>12.200000000000017</v>
      </c>
      <c r="I1937" s="116"/>
    </row>
    <row r="1938" spans="1:9" s="23" customFormat="1" ht="13.5" customHeight="1" x14ac:dyDescent="0.2">
      <c r="A1938" s="65">
        <v>1929</v>
      </c>
      <c r="B1938" s="60"/>
      <c r="C1938" s="117" t="s">
        <v>1929</v>
      </c>
      <c r="D1938" s="118"/>
      <c r="E1938" s="119"/>
      <c r="F1938" s="124" t="s">
        <v>2</v>
      </c>
      <c r="G1938" s="124"/>
      <c r="H1938" s="115">
        <f>8.7-5.4</f>
        <v>3.2999999999999989</v>
      </c>
      <c r="I1938" s="116"/>
    </row>
    <row r="1939" spans="1:9" s="23" customFormat="1" x14ac:dyDescent="0.2">
      <c r="A1939" s="65">
        <v>1930</v>
      </c>
      <c r="B1939" s="60"/>
      <c r="C1939" s="117" t="s">
        <v>2879</v>
      </c>
      <c r="D1939" s="118"/>
      <c r="E1939" s="119"/>
      <c r="F1939" s="124" t="s">
        <v>85</v>
      </c>
      <c r="G1939" s="124"/>
      <c r="H1939" s="115">
        <f>102-2.7-2.7-8.4</f>
        <v>88.199999999999989</v>
      </c>
      <c r="I1939" s="116"/>
    </row>
    <row r="1940" spans="1:9" s="23" customFormat="1" x14ac:dyDescent="0.2">
      <c r="A1940" s="65">
        <v>1931</v>
      </c>
      <c r="B1940" s="60"/>
      <c r="C1940" s="117" t="s">
        <v>3435</v>
      </c>
      <c r="D1940" s="118"/>
      <c r="E1940" s="119"/>
      <c r="F1940" s="124" t="s">
        <v>85</v>
      </c>
      <c r="G1940" s="124"/>
      <c r="H1940" s="115">
        <f>4.7-2.8+0.1</f>
        <v>2.0000000000000004</v>
      </c>
      <c r="I1940" s="116"/>
    </row>
    <row r="1941" spans="1:9" s="23" customFormat="1" ht="13.5" customHeight="1" x14ac:dyDescent="0.2">
      <c r="A1941" s="65">
        <v>1932</v>
      </c>
      <c r="B1941" s="60"/>
      <c r="C1941" s="117" t="s">
        <v>4252</v>
      </c>
      <c r="D1941" s="118"/>
      <c r="E1941" s="119"/>
      <c r="F1941" s="124" t="s">
        <v>85</v>
      </c>
      <c r="G1941" s="124"/>
      <c r="H1941" s="115">
        <f>4.8-1.1</f>
        <v>3.6999999999999997</v>
      </c>
      <c r="I1941" s="116"/>
    </row>
    <row r="1942" spans="1:9" s="17" customFormat="1" ht="12.75" customHeight="1" x14ac:dyDescent="0.2">
      <c r="A1942" s="65">
        <v>1933</v>
      </c>
      <c r="B1942" s="60"/>
      <c r="C1942" s="117" t="s">
        <v>1304</v>
      </c>
      <c r="D1942" s="118"/>
      <c r="E1942" s="119"/>
      <c r="F1942" s="125" t="s">
        <v>76</v>
      </c>
      <c r="G1942" s="125"/>
      <c r="H1942" s="115">
        <f>13-3.3+10.8-6.7-5.4+6.4+12.5-7.3</f>
        <v>20</v>
      </c>
      <c r="I1942" s="116"/>
    </row>
    <row r="1943" spans="1:9" s="17" customFormat="1" ht="12.75" customHeight="1" x14ac:dyDescent="0.2">
      <c r="A1943" s="65">
        <v>1934</v>
      </c>
      <c r="B1943" s="60"/>
      <c r="C1943" s="117" t="s">
        <v>238</v>
      </c>
      <c r="D1943" s="118"/>
      <c r="E1943" s="119"/>
      <c r="F1943" s="124" t="s">
        <v>0</v>
      </c>
      <c r="G1943" s="124"/>
      <c r="H1943" s="115">
        <v>2.8</v>
      </c>
      <c r="I1943" s="116"/>
    </row>
    <row r="1944" spans="1:9" s="17" customFormat="1" ht="12.75" customHeight="1" x14ac:dyDescent="0.2">
      <c r="A1944" s="65">
        <v>1935</v>
      </c>
      <c r="B1944" s="60"/>
      <c r="C1944" s="117" t="s">
        <v>645</v>
      </c>
      <c r="D1944" s="118"/>
      <c r="E1944" s="119"/>
      <c r="F1944" s="124" t="s">
        <v>1238</v>
      </c>
      <c r="G1944" s="124"/>
      <c r="H1944" s="115">
        <v>1.5</v>
      </c>
      <c r="I1944" s="116"/>
    </row>
    <row r="1945" spans="1:9" s="17" customFormat="1" ht="11.25" x14ac:dyDescent="0.2">
      <c r="A1945" s="65">
        <v>1936</v>
      </c>
      <c r="B1945" s="60"/>
      <c r="C1945" s="117" t="s">
        <v>4675</v>
      </c>
      <c r="D1945" s="118"/>
      <c r="E1945" s="119"/>
      <c r="F1945" s="125" t="s">
        <v>76</v>
      </c>
      <c r="G1945" s="125"/>
      <c r="H1945" s="115">
        <f>40.6+2.4+5.3+34.8-8.5-15+2.3+4.5+8.8-0.6-15+3.9-16+3-4.5-5.5+62-3-3.2-2.9+6.3-12.5+1.5-3.2-5.7+6.6-30.3-6.6+4.1-34-1+157.5+57.5-1+1.6-13-15.1-1.6+7.8-5-3.1+5.2+2.9-51.5-6-2.2+12.2+7.8-2.6-5.5+6-3+83+27.3+12-6.2-7-5.2+3.8+4.7-4.3+54.6-3.8+4.5-3+14.4-4.5-13.3-3.3-3+19-132+3.1-10+48.7-8.4-14-8.8+24.5+1.9+2.3+2.7+2.9+6.2+38-10.8-2.2+47-6.2-40-2.9+11.7+6.5-24.5-4.7-1.9-2.3-6.6-15.5-64.7-15.3-4-12+3.6-0.8-3.6-31</f>
        <v>114.10000000000002</v>
      </c>
      <c r="I1945" s="116"/>
    </row>
    <row r="1946" spans="1:9" s="17" customFormat="1" ht="12.75" customHeight="1" x14ac:dyDescent="0.2">
      <c r="A1946" s="65">
        <v>1937</v>
      </c>
      <c r="B1946" s="60"/>
      <c r="C1946" s="130" t="s">
        <v>3634</v>
      </c>
      <c r="D1946" s="131"/>
      <c r="E1946" s="132"/>
      <c r="F1946" s="125" t="s">
        <v>29</v>
      </c>
      <c r="G1946" s="125"/>
      <c r="H1946" s="115">
        <f>44.8+6.5-3.2-6.5-15.3</f>
        <v>26.299999999999994</v>
      </c>
      <c r="I1946" s="116"/>
    </row>
    <row r="1947" spans="1:9" s="17" customFormat="1" ht="11.25" x14ac:dyDescent="0.2">
      <c r="A1947" s="65">
        <v>1938</v>
      </c>
      <c r="B1947" s="60"/>
      <c r="C1947" s="117" t="s">
        <v>3661</v>
      </c>
      <c r="D1947" s="118"/>
      <c r="E1947" s="119"/>
      <c r="F1947" s="125" t="s">
        <v>59</v>
      </c>
      <c r="G1947" s="125"/>
      <c r="H1947" s="115">
        <f>4-1.9</f>
        <v>2.1</v>
      </c>
      <c r="I1947" s="116"/>
    </row>
    <row r="1948" spans="1:9" s="17" customFormat="1" ht="12.75" customHeight="1" x14ac:dyDescent="0.2">
      <c r="A1948" s="65">
        <v>1939</v>
      </c>
      <c r="B1948" s="60"/>
      <c r="C1948" s="117" t="s">
        <v>2926</v>
      </c>
      <c r="D1948" s="118"/>
      <c r="E1948" s="119"/>
      <c r="F1948" s="121" t="s">
        <v>87</v>
      </c>
      <c r="G1948" s="122"/>
      <c r="H1948" s="115">
        <f>2.6+293.5+3+13.9-3-6-6+62.2-32.9-6-80.2-71-6.2-3.8+5.7-62.6+8.3-18</f>
        <v>93.500000000000014</v>
      </c>
      <c r="I1948" s="116"/>
    </row>
    <row r="1949" spans="1:9" s="17" customFormat="1" ht="12.75" customHeight="1" x14ac:dyDescent="0.2">
      <c r="A1949" s="65">
        <v>1940</v>
      </c>
      <c r="B1949" s="60"/>
      <c r="C1949" s="117" t="s">
        <v>3172</v>
      </c>
      <c r="D1949" s="118"/>
      <c r="E1949" s="119"/>
      <c r="F1949" s="124" t="s">
        <v>55</v>
      </c>
      <c r="G1949" s="124"/>
      <c r="H1949" s="115">
        <f>70-30.8-2</f>
        <v>37.200000000000003</v>
      </c>
      <c r="I1949" s="116"/>
    </row>
    <row r="1950" spans="1:9" s="17" customFormat="1" ht="12.75" customHeight="1" x14ac:dyDescent="0.2">
      <c r="A1950" s="65">
        <v>1941</v>
      </c>
      <c r="B1950" s="60"/>
      <c r="C1950" s="128" t="s">
        <v>1857</v>
      </c>
      <c r="D1950" s="126"/>
      <c r="E1950" s="127"/>
      <c r="F1950" s="124" t="s">
        <v>1858</v>
      </c>
      <c r="G1950" s="124"/>
      <c r="H1950" s="115">
        <f>42.4-0.3</f>
        <v>42.1</v>
      </c>
      <c r="I1950" s="116"/>
    </row>
    <row r="1951" spans="1:9" s="17" customFormat="1" ht="12.75" customHeight="1" x14ac:dyDescent="0.2">
      <c r="A1951" s="65">
        <v>1942</v>
      </c>
      <c r="B1951" s="60"/>
      <c r="C1951" s="117" t="s">
        <v>3370</v>
      </c>
      <c r="D1951" s="118"/>
      <c r="E1951" s="119"/>
      <c r="F1951" s="121" t="s">
        <v>799</v>
      </c>
      <c r="G1951" s="122"/>
      <c r="H1951" s="115">
        <v>5.2</v>
      </c>
      <c r="I1951" s="116"/>
    </row>
    <row r="1952" spans="1:9" s="17" customFormat="1" ht="12.75" customHeight="1" x14ac:dyDescent="0.2">
      <c r="A1952" s="65">
        <v>1943</v>
      </c>
      <c r="B1952" s="60"/>
      <c r="C1952" s="117" t="s">
        <v>4817</v>
      </c>
      <c r="D1952" s="118"/>
      <c r="E1952" s="119"/>
      <c r="F1952" s="124" t="s">
        <v>365</v>
      </c>
      <c r="G1952" s="124"/>
      <c r="H1952" s="115">
        <f>242-76.4-85-4.2+166.9-1.4</f>
        <v>241.9</v>
      </c>
      <c r="I1952" s="116"/>
    </row>
    <row r="1953" spans="1:9" s="17" customFormat="1" ht="12.75" customHeight="1" x14ac:dyDescent="0.2">
      <c r="A1953" s="65">
        <v>1944</v>
      </c>
      <c r="B1953" s="60"/>
      <c r="C1953" s="117" t="s">
        <v>1205</v>
      </c>
      <c r="D1953" s="118"/>
      <c r="E1953" s="119"/>
      <c r="F1953" s="121" t="s">
        <v>427</v>
      </c>
      <c r="G1953" s="122"/>
      <c r="H1953" s="115">
        <v>1.2</v>
      </c>
      <c r="I1953" s="116"/>
    </row>
    <row r="1954" spans="1:9" s="17" customFormat="1" ht="12.75" customHeight="1" x14ac:dyDescent="0.2">
      <c r="A1954" s="65">
        <v>1945</v>
      </c>
      <c r="B1954" s="60" t="s">
        <v>3601</v>
      </c>
      <c r="C1954" s="117" t="s">
        <v>4203</v>
      </c>
      <c r="D1954" s="118"/>
      <c r="E1954" s="119"/>
      <c r="F1954" s="121" t="s">
        <v>69</v>
      </c>
      <c r="G1954" s="122"/>
      <c r="H1954" s="115">
        <f>45-12.7-10.4+27.2-4.8</f>
        <v>44.3</v>
      </c>
      <c r="I1954" s="116"/>
    </row>
    <row r="1955" spans="1:9" s="17" customFormat="1" ht="12.75" customHeight="1" x14ac:dyDescent="0.2">
      <c r="A1955" s="65">
        <v>1946</v>
      </c>
      <c r="B1955" s="60" t="s">
        <v>2224</v>
      </c>
      <c r="C1955" s="117" t="s">
        <v>4058</v>
      </c>
      <c r="D1955" s="118"/>
      <c r="E1955" s="119"/>
      <c r="F1955" s="124" t="s">
        <v>2</v>
      </c>
      <c r="G1955" s="124"/>
      <c r="H1955" s="115">
        <v>26.7</v>
      </c>
      <c r="I1955" s="116"/>
    </row>
    <row r="1956" spans="1:9" s="17" customFormat="1" ht="12.75" customHeight="1" x14ac:dyDescent="0.2">
      <c r="A1956" s="65">
        <v>1947</v>
      </c>
      <c r="B1956" s="60"/>
      <c r="C1956" s="117" t="s">
        <v>296</v>
      </c>
      <c r="D1956" s="118"/>
      <c r="E1956" s="119"/>
      <c r="F1956" s="124" t="s">
        <v>2</v>
      </c>
      <c r="G1956" s="124"/>
      <c r="H1956" s="115">
        <v>2.4</v>
      </c>
      <c r="I1956" s="116"/>
    </row>
    <row r="1957" spans="1:9" s="23" customFormat="1" ht="13.5" customHeight="1" x14ac:dyDescent="0.2">
      <c r="A1957" s="65">
        <v>1948</v>
      </c>
      <c r="B1957" s="60"/>
      <c r="C1957" s="117" t="s">
        <v>1134</v>
      </c>
      <c r="D1957" s="118"/>
      <c r="E1957" s="119"/>
      <c r="F1957" s="124" t="s">
        <v>2</v>
      </c>
      <c r="G1957" s="124"/>
      <c r="H1957" s="115">
        <f>2.2+8+1.6+3-2.2</f>
        <v>12.599999999999998</v>
      </c>
      <c r="I1957" s="116"/>
    </row>
    <row r="1958" spans="1:9" s="23" customFormat="1" ht="13.5" customHeight="1" x14ac:dyDescent="0.2">
      <c r="A1958" s="65">
        <v>1949</v>
      </c>
      <c r="B1958" s="60"/>
      <c r="C1958" s="117" t="s">
        <v>468</v>
      </c>
      <c r="D1958" s="118"/>
      <c r="E1958" s="119"/>
      <c r="F1958" s="124" t="s">
        <v>2</v>
      </c>
      <c r="G1958" s="124"/>
      <c r="H1958" s="115">
        <f>10.2+5.3</f>
        <v>15.5</v>
      </c>
      <c r="I1958" s="116"/>
    </row>
    <row r="1959" spans="1:9" s="17" customFormat="1" ht="12.75" customHeight="1" x14ac:dyDescent="0.2">
      <c r="A1959" s="65">
        <v>1950</v>
      </c>
      <c r="B1959" s="60"/>
      <c r="C1959" s="117" t="s">
        <v>564</v>
      </c>
      <c r="D1959" s="118"/>
      <c r="E1959" s="119"/>
      <c r="F1959" s="124" t="s">
        <v>2</v>
      </c>
      <c r="G1959" s="124"/>
      <c r="H1959" s="115">
        <v>16.399999999999999</v>
      </c>
      <c r="I1959" s="116"/>
    </row>
    <row r="1960" spans="1:9" s="17" customFormat="1" ht="12.75" customHeight="1" x14ac:dyDescent="0.2">
      <c r="A1960" s="65">
        <v>1951</v>
      </c>
      <c r="B1960" s="60"/>
      <c r="C1960" s="117" t="s">
        <v>2350</v>
      </c>
      <c r="D1960" s="118"/>
      <c r="E1960" s="119"/>
      <c r="F1960" s="125" t="s">
        <v>76</v>
      </c>
      <c r="G1960" s="125"/>
      <c r="H1960" s="115">
        <f>100.3-10.2-16-34.5+3.6-3.6+9.3-13</f>
        <v>35.899999999999991</v>
      </c>
      <c r="I1960" s="116"/>
    </row>
    <row r="1961" spans="1:9" s="17" customFormat="1" ht="12.75" customHeight="1" x14ac:dyDescent="0.2">
      <c r="A1961" s="65">
        <v>1952</v>
      </c>
      <c r="B1961" s="60"/>
      <c r="C1961" s="117" t="s">
        <v>1145</v>
      </c>
      <c r="D1961" s="118"/>
      <c r="E1961" s="119"/>
      <c r="F1961" s="124" t="s">
        <v>80</v>
      </c>
      <c r="G1961" s="124"/>
      <c r="H1961" s="115">
        <f>250-0.4-1.6-6.6-11.5-6.1</f>
        <v>223.8</v>
      </c>
      <c r="I1961" s="116"/>
    </row>
    <row r="1962" spans="1:9" s="17" customFormat="1" ht="12.75" customHeight="1" x14ac:dyDescent="0.2">
      <c r="A1962" s="65">
        <v>1953</v>
      </c>
      <c r="B1962" s="60"/>
      <c r="C1962" s="117" t="s">
        <v>4084</v>
      </c>
      <c r="D1962" s="118"/>
      <c r="E1962" s="119"/>
      <c r="F1962" s="124" t="s">
        <v>55</v>
      </c>
      <c r="G1962" s="124"/>
      <c r="H1962" s="115">
        <v>97.5</v>
      </c>
      <c r="I1962" s="116"/>
    </row>
    <row r="1963" spans="1:9" s="23" customFormat="1" ht="13.5" customHeight="1" x14ac:dyDescent="0.2">
      <c r="A1963" s="65">
        <v>1954</v>
      </c>
      <c r="B1963" s="60"/>
      <c r="C1963" s="117" t="s">
        <v>565</v>
      </c>
      <c r="D1963" s="118"/>
      <c r="E1963" s="119"/>
      <c r="F1963" s="124" t="s">
        <v>2</v>
      </c>
      <c r="G1963" s="124"/>
      <c r="H1963" s="115">
        <v>8.6999999999999993</v>
      </c>
      <c r="I1963" s="116"/>
    </row>
    <row r="1964" spans="1:9" s="23" customFormat="1" ht="22.5" customHeight="1" x14ac:dyDescent="0.2">
      <c r="A1964" s="65">
        <v>1955</v>
      </c>
      <c r="B1964" s="60"/>
      <c r="C1964" s="128" t="s">
        <v>4093</v>
      </c>
      <c r="D1964" s="126"/>
      <c r="E1964" s="127"/>
      <c r="F1964" s="125" t="s">
        <v>76</v>
      </c>
      <c r="G1964" s="125"/>
      <c r="H1964" s="115">
        <f>88.2+9.7-3.6-6.4+9.3+9.2-59+70+59+49.5-8.1-8.2+3.3+7.9+4.1+4.7-44.4-20+20+7+4.4+75+38-5.4-1+13.8-4.1-19.4-150-4.5+2.4+7.5-22.6-7.6-10+6.4-13.6-8.6+8.6+10.3+2.4+8.6+8.3+4.5+4.1+8.8-14-17.4+6.2+98-22.7+7.8-36-2.3+5-2.6+4.6-2.6-31-4.1</f>
        <v>137.40000000000009</v>
      </c>
      <c r="I1964" s="116"/>
    </row>
    <row r="1965" spans="1:9" s="17" customFormat="1" ht="12.75" customHeight="1" x14ac:dyDescent="0.2">
      <c r="A1965" s="65">
        <v>1956</v>
      </c>
      <c r="B1965" s="60" t="s">
        <v>2225</v>
      </c>
      <c r="C1965" s="130" t="s">
        <v>4576</v>
      </c>
      <c r="D1965" s="131"/>
      <c r="E1965" s="132"/>
      <c r="F1965" s="125" t="s">
        <v>59</v>
      </c>
      <c r="G1965" s="125"/>
      <c r="H1965" s="115">
        <v>54.5</v>
      </c>
      <c r="I1965" s="116"/>
    </row>
    <row r="1966" spans="1:9" s="17" customFormat="1" ht="12.75" customHeight="1" x14ac:dyDescent="0.2">
      <c r="A1966" s="65">
        <v>1957</v>
      </c>
      <c r="B1966" s="60"/>
      <c r="C1966" s="117" t="s">
        <v>1594</v>
      </c>
      <c r="D1966" s="118"/>
      <c r="E1966" s="119"/>
      <c r="F1966" s="121" t="s">
        <v>80</v>
      </c>
      <c r="G1966" s="122"/>
      <c r="H1966" s="115">
        <f>30.7+13.1</f>
        <v>43.8</v>
      </c>
      <c r="I1966" s="116"/>
    </row>
    <row r="1967" spans="1:9" s="17" customFormat="1" ht="12.75" customHeight="1" x14ac:dyDescent="0.2">
      <c r="A1967" s="65">
        <v>1958</v>
      </c>
      <c r="B1967" s="60"/>
      <c r="C1967" s="117" t="s">
        <v>1110</v>
      </c>
      <c r="D1967" s="118"/>
      <c r="E1967" s="119"/>
      <c r="F1967" s="121" t="s">
        <v>80</v>
      </c>
      <c r="G1967" s="122"/>
      <c r="H1967" s="115">
        <f>59-3.5-20.8</f>
        <v>34.700000000000003</v>
      </c>
      <c r="I1967" s="116"/>
    </row>
    <row r="1968" spans="1:9" s="17" customFormat="1" ht="12.75" customHeight="1" x14ac:dyDescent="0.2">
      <c r="A1968" s="65">
        <v>1959</v>
      </c>
      <c r="B1968" s="60"/>
      <c r="C1968" s="117" t="s">
        <v>2704</v>
      </c>
      <c r="D1968" s="118"/>
      <c r="E1968" s="119"/>
      <c r="F1968" s="124" t="s">
        <v>87</v>
      </c>
      <c r="G1968" s="124"/>
      <c r="H1968" s="115">
        <f>19.8-9</f>
        <v>10.8</v>
      </c>
      <c r="I1968" s="116"/>
    </row>
    <row r="1969" spans="1:9" s="17" customFormat="1" ht="12.75" customHeight="1" x14ac:dyDescent="0.2">
      <c r="A1969" s="65">
        <v>1960</v>
      </c>
      <c r="B1969" s="60"/>
      <c r="C1969" s="128" t="s">
        <v>758</v>
      </c>
      <c r="D1969" s="126"/>
      <c r="E1969" s="127"/>
      <c r="F1969" s="124" t="s">
        <v>1007</v>
      </c>
      <c r="G1969" s="125"/>
      <c r="H1969" s="115">
        <v>14.5</v>
      </c>
      <c r="I1969" s="116"/>
    </row>
    <row r="1970" spans="1:9" s="17" customFormat="1" ht="12.75" customHeight="1" x14ac:dyDescent="0.2">
      <c r="A1970" s="65">
        <v>1961</v>
      </c>
      <c r="B1970" s="60">
        <v>7</v>
      </c>
      <c r="C1970" s="128" t="s">
        <v>897</v>
      </c>
      <c r="D1970" s="126"/>
      <c r="E1970" s="127"/>
      <c r="F1970" s="121" t="s">
        <v>317</v>
      </c>
      <c r="G1970" s="122"/>
      <c r="H1970" s="115">
        <f>700-50</f>
        <v>650</v>
      </c>
      <c r="I1970" s="116"/>
    </row>
    <row r="1971" spans="1:9" s="17" customFormat="1" ht="12.75" customHeight="1" x14ac:dyDescent="0.2">
      <c r="A1971" s="65">
        <v>1962</v>
      </c>
      <c r="B1971" s="60"/>
      <c r="C1971" s="117" t="s">
        <v>1836</v>
      </c>
      <c r="D1971" s="118"/>
      <c r="E1971" s="119"/>
      <c r="F1971" s="121" t="s">
        <v>63</v>
      </c>
      <c r="G1971" s="122"/>
      <c r="H1971" s="115">
        <f>37.8-2</f>
        <v>35.799999999999997</v>
      </c>
      <c r="I1971" s="116"/>
    </row>
    <row r="1972" spans="1:9" s="17" customFormat="1" ht="12.75" customHeight="1" x14ac:dyDescent="0.2">
      <c r="A1972" s="65">
        <v>1963</v>
      </c>
      <c r="B1972" s="60"/>
      <c r="C1972" s="117" t="s">
        <v>3475</v>
      </c>
      <c r="D1972" s="118"/>
      <c r="E1972" s="119"/>
      <c r="F1972" s="121" t="s">
        <v>72</v>
      </c>
      <c r="G1972" s="122"/>
      <c r="H1972" s="115">
        <f>7.5-1.9</f>
        <v>5.6</v>
      </c>
      <c r="I1972" s="116"/>
    </row>
    <row r="1973" spans="1:9" s="17" customFormat="1" ht="12.75" customHeight="1" x14ac:dyDescent="0.2">
      <c r="A1973" s="65">
        <v>1964</v>
      </c>
      <c r="B1973" s="60"/>
      <c r="C1973" s="117" t="s">
        <v>566</v>
      </c>
      <c r="D1973" s="118"/>
      <c r="E1973" s="119"/>
      <c r="F1973" s="124" t="s">
        <v>2</v>
      </c>
      <c r="G1973" s="124"/>
      <c r="H1973" s="115">
        <v>5.5</v>
      </c>
      <c r="I1973" s="116"/>
    </row>
    <row r="1974" spans="1:9" s="17" customFormat="1" ht="12.75" customHeight="1" x14ac:dyDescent="0.2">
      <c r="A1974" s="65">
        <v>1965</v>
      </c>
      <c r="B1974" s="60"/>
      <c r="C1974" s="117" t="s">
        <v>3739</v>
      </c>
      <c r="D1974" s="118"/>
      <c r="E1974" s="119"/>
      <c r="F1974" s="124" t="s">
        <v>55</v>
      </c>
      <c r="G1974" s="124"/>
      <c r="H1974" s="115">
        <f>84.4-52.6</f>
        <v>31.800000000000004</v>
      </c>
      <c r="I1974" s="116"/>
    </row>
    <row r="1975" spans="1:9" s="17" customFormat="1" ht="12.75" customHeight="1" x14ac:dyDescent="0.2">
      <c r="A1975" s="65">
        <v>1966</v>
      </c>
      <c r="B1975" s="60"/>
      <c r="C1975" s="117" t="s">
        <v>3193</v>
      </c>
      <c r="D1975" s="118"/>
      <c r="E1975" s="119"/>
      <c r="F1975" s="124" t="s">
        <v>55</v>
      </c>
      <c r="G1975" s="124"/>
      <c r="H1975" s="115">
        <f>204+2.5-75.6-4-10.8-11-2.5-50</f>
        <v>52.600000000000009</v>
      </c>
      <c r="I1975" s="116"/>
    </row>
    <row r="1976" spans="1:9" s="17" customFormat="1" ht="12.75" customHeight="1" x14ac:dyDescent="0.2">
      <c r="A1976" s="65">
        <v>1967</v>
      </c>
      <c r="B1976" s="60"/>
      <c r="C1976" s="117" t="s">
        <v>1405</v>
      </c>
      <c r="D1976" s="118"/>
      <c r="E1976" s="119"/>
      <c r="F1976" s="124" t="s">
        <v>55</v>
      </c>
      <c r="G1976" s="124"/>
      <c r="H1976" s="115">
        <f>180.5-5.4+299.5-31.7-32.5-32.3-139.3+335-10.5+444-11.4+258-32.4+88.8-5.5-85-61.4+111.5-5.5-5.6-50+134.3+142.2-5.6</f>
        <v>1479.7</v>
      </c>
      <c r="I1976" s="116"/>
    </row>
    <row r="1977" spans="1:9" s="17" customFormat="1" ht="12.75" customHeight="1" x14ac:dyDescent="0.2">
      <c r="A1977" s="65">
        <v>1968</v>
      </c>
      <c r="B1977" s="60"/>
      <c r="C1977" s="130" t="s">
        <v>3037</v>
      </c>
      <c r="D1977" s="131"/>
      <c r="E1977" s="132"/>
      <c r="F1977" s="125" t="s">
        <v>62</v>
      </c>
      <c r="G1977" s="125"/>
      <c r="H1977" s="115">
        <f>280-23.4</f>
        <v>256.60000000000002</v>
      </c>
      <c r="I1977" s="116"/>
    </row>
    <row r="1978" spans="1:9" s="17" customFormat="1" ht="12.75" customHeight="1" x14ac:dyDescent="0.2">
      <c r="A1978" s="65">
        <v>1969</v>
      </c>
      <c r="B1978" s="60"/>
      <c r="C1978" s="130" t="s">
        <v>1109</v>
      </c>
      <c r="D1978" s="131"/>
      <c r="E1978" s="132"/>
      <c r="F1978" s="125" t="s">
        <v>76</v>
      </c>
      <c r="G1978" s="125"/>
      <c r="H1978" s="115">
        <f>223.8+24.8-10.2-0.5-1.7</f>
        <v>236.20000000000005</v>
      </c>
      <c r="I1978" s="116"/>
    </row>
    <row r="1979" spans="1:9" s="17" customFormat="1" ht="11.25" x14ac:dyDescent="0.2">
      <c r="A1979" s="65">
        <v>1970</v>
      </c>
      <c r="B1979" s="60"/>
      <c r="C1979" s="130" t="s">
        <v>4900</v>
      </c>
      <c r="D1979" s="131"/>
      <c r="E1979" s="132"/>
      <c r="F1979" s="125" t="s">
        <v>76</v>
      </c>
      <c r="G1979" s="125"/>
      <c r="H1979" s="115">
        <f>3.1+3.4+17.3+11.7+21.5+4+17.4+8+8.9+50.5-6.1+1.7+14.7-2.7-3.6-6.5-11.5-4.6+33-4-14.2-24.8-8-4-19.5-2.6-3.4-5.6</f>
        <v>74.100000000000037</v>
      </c>
      <c r="I1979" s="116"/>
    </row>
    <row r="1980" spans="1:9" s="17" customFormat="1" ht="15" customHeight="1" x14ac:dyDescent="0.2">
      <c r="A1980" s="65">
        <v>1971</v>
      </c>
      <c r="B1980" s="60"/>
      <c r="C1980" s="130" t="s">
        <v>1072</v>
      </c>
      <c r="D1980" s="131"/>
      <c r="E1980" s="132"/>
      <c r="F1980" s="113" t="s">
        <v>29</v>
      </c>
      <c r="G1980" s="114"/>
      <c r="H1980" s="115">
        <f>15.6-1-2.3</f>
        <v>12.3</v>
      </c>
      <c r="I1980" s="116"/>
    </row>
    <row r="1981" spans="1:9" s="17" customFormat="1" ht="12.75" customHeight="1" x14ac:dyDescent="0.2">
      <c r="A1981" s="65">
        <v>1972</v>
      </c>
      <c r="B1981" s="60"/>
      <c r="C1981" s="117" t="s">
        <v>1712</v>
      </c>
      <c r="D1981" s="118"/>
      <c r="E1981" s="119"/>
      <c r="F1981" s="124" t="s">
        <v>80</v>
      </c>
      <c r="G1981" s="124"/>
      <c r="H1981" s="115">
        <f>230.5-33.8-11.4-45.5+325-2-40+48-2-12.5-10.5-0.9-214.7-11.7-11.7-45-3-4-20-23</f>
        <v>111.80000000000001</v>
      </c>
      <c r="I1981" s="116"/>
    </row>
    <row r="1982" spans="1:9" s="17" customFormat="1" ht="12.75" customHeight="1" x14ac:dyDescent="0.2">
      <c r="A1982" s="65">
        <v>1973</v>
      </c>
      <c r="B1982" s="60"/>
      <c r="C1982" s="117" t="s">
        <v>2842</v>
      </c>
      <c r="D1982" s="118"/>
      <c r="E1982" s="119"/>
      <c r="F1982" s="121" t="s">
        <v>835</v>
      </c>
      <c r="G1982" s="122"/>
      <c r="H1982" s="115">
        <f>32.8-2.5</f>
        <v>30.299999999999997</v>
      </c>
      <c r="I1982" s="116"/>
    </row>
    <row r="1983" spans="1:9" s="17" customFormat="1" ht="12.75" customHeight="1" x14ac:dyDescent="0.2">
      <c r="A1983" s="65">
        <v>1974</v>
      </c>
      <c r="B1983" s="60" t="s">
        <v>2225</v>
      </c>
      <c r="C1983" s="117" t="s">
        <v>1946</v>
      </c>
      <c r="D1983" s="118"/>
      <c r="E1983" s="119"/>
      <c r="F1983" s="124" t="s">
        <v>96</v>
      </c>
      <c r="G1983" s="124"/>
      <c r="H1983" s="115">
        <f>140.8+185-1.1-0.8-4-2.2-9.6-18.7-11.8-1-4-2.1-12.5-1.7-1-10-4-11.8</f>
        <v>229.49999999999994</v>
      </c>
      <c r="I1983" s="116"/>
    </row>
    <row r="1984" spans="1:9" s="17" customFormat="1" ht="12.75" customHeight="1" x14ac:dyDescent="0.2">
      <c r="A1984" s="65">
        <v>1975</v>
      </c>
      <c r="B1984" s="60"/>
      <c r="C1984" s="117" t="s">
        <v>5258</v>
      </c>
      <c r="D1984" s="118"/>
      <c r="E1984" s="119"/>
      <c r="F1984" s="121" t="s">
        <v>96</v>
      </c>
      <c r="G1984" s="122"/>
      <c r="H1984" s="115">
        <f>70.8-5.8-6.3-5.4-11.9-5-6.5-6-2.3-6.5</f>
        <v>15.100000000000005</v>
      </c>
      <c r="I1984" s="116"/>
    </row>
    <row r="1985" spans="1:9" s="17" customFormat="1" ht="12.75" customHeight="1" x14ac:dyDescent="0.2">
      <c r="A1985" s="65">
        <v>1976</v>
      </c>
      <c r="B1985" s="60"/>
      <c r="C1985" s="117" t="s">
        <v>2119</v>
      </c>
      <c r="D1985" s="118"/>
      <c r="E1985" s="119"/>
      <c r="F1985" s="124" t="s">
        <v>87</v>
      </c>
      <c r="G1985" s="124"/>
      <c r="H1985" s="115">
        <f>221-2.3-11.8+9.8-60.5</f>
        <v>156.19999999999999</v>
      </c>
      <c r="I1985" s="116"/>
    </row>
    <row r="1986" spans="1:9" s="17" customFormat="1" ht="12.75" customHeight="1" x14ac:dyDescent="0.2">
      <c r="A1986" s="65">
        <v>1977</v>
      </c>
      <c r="B1986" s="60" t="s">
        <v>2225</v>
      </c>
      <c r="C1986" s="117" t="s">
        <v>2445</v>
      </c>
      <c r="D1986" s="118"/>
      <c r="E1986" s="119"/>
      <c r="F1986" s="124" t="s">
        <v>87</v>
      </c>
      <c r="G1986" s="124"/>
      <c r="H1986" s="115">
        <f>100.2-1.8</f>
        <v>98.4</v>
      </c>
      <c r="I1986" s="116"/>
    </row>
    <row r="1987" spans="1:9" s="17" customFormat="1" ht="12.75" customHeight="1" x14ac:dyDescent="0.2">
      <c r="A1987" s="65">
        <v>1978</v>
      </c>
      <c r="B1987" s="60" t="s">
        <v>2258</v>
      </c>
      <c r="C1987" s="117" t="s">
        <v>2293</v>
      </c>
      <c r="D1987" s="118"/>
      <c r="E1987" s="119"/>
      <c r="F1987" s="124" t="s">
        <v>87</v>
      </c>
      <c r="G1987" s="124"/>
      <c r="H1987" s="115">
        <f>390+252</f>
        <v>642</v>
      </c>
      <c r="I1987" s="116"/>
    </row>
    <row r="1988" spans="1:9" s="17" customFormat="1" ht="12.75" customHeight="1" x14ac:dyDescent="0.2">
      <c r="A1988" s="65">
        <v>1979</v>
      </c>
      <c r="B1988" s="60"/>
      <c r="C1988" s="117" t="s">
        <v>1491</v>
      </c>
      <c r="D1988" s="118"/>
      <c r="E1988" s="119"/>
      <c r="F1988" s="124" t="s">
        <v>87</v>
      </c>
      <c r="G1988" s="124"/>
      <c r="H1988" s="115"/>
      <c r="I1988" s="116"/>
    </row>
    <row r="1989" spans="1:9" s="17" customFormat="1" ht="12.75" customHeight="1" x14ac:dyDescent="0.2">
      <c r="A1989" s="65">
        <v>1980</v>
      </c>
      <c r="B1989" s="60"/>
      <c r="C1989" s="117" t="s">
        <v>3244</v>
      </c>
      <c r="D1989" s="118"/>
      <c r="E1989" s="119"/>
      <c r="F1989" s="121" t="s">
        <v>1381</v>
      </c>
      <c r="G1989" s="122"/>
      <c r="H1989" s="115">
        <f>116.5-0.2-4.9-30.8</f>
        <v>80.599999999999994</v>
      </c>
      <c r="I1989" s="116"/>
    </row>
    <row r="1990" spans="1:9" s="17" customFormat="1" ht="12.75" customHeight="1" x14ac:dyDescent="0.2">
      <c r="A1990" s="65">
        <v>1981</v>
      </c>
      <c r="B1990" s="60"/>
      <c r="C1990" s="117" t="s">
        <v>3226</v>
      </c>
      <c r="D1990" s="118"/>
      <c r="E1990" s="119"/>
      <c r="F1990" s="121" t="s">
        <v>3096</v>
      </c>
      <c r="G1990" s="122"/>
      <c r="H1990" s="115">
        <f>67.7-4.8</f>
        <v>62.900000000000006</v>
      </c>
      <c r="I1990" s="116"/>
    </row>
    <row r="1991" spans="1:9" s="17" customFormat="1" ht="12.75" customHeight="1" x14ac:dyDescent="0.2">
      <c r="A1991" s="65">
        <v>1982</v>
      </c>
      <c r="B1991" s="60"/>
      <c r="C1991" s="117" t="s">
        <v>5256</v>
      </c>
      <c r="D1991" s="118"/>
      <c r="E1991" s="119"/>
      <c r="F1991" s="121" t="s">
        <v>56</v>
      </c>
      <c r="G1991" s="122"/>
      <c r="H1991" s="115">
        <f>9.7-0.7-0.6-4</f>
        <v>4.4000000000000004</v>
      </c>
      <c r="I1991" s="116"/>
    </row>
    <row r="1992" spans="1:9" s="17" customFormat="1" ht="12.75" customHeight="1" x14ac:dyDescent="0.2">
      <c r="A1992" s="65">
        <v>1983</v>
      </c>
      <c r="B1992" s="60" t="s">
        <v>3601</v>
      </c>
      <c r="C1992" s="117" t="s">
        <v>4422</v>
      </c>
      <c r="D1992" s="118"/>
      <c r="E1992" s="119"/>
      <c r="F1992" s="121" t="s">
        <v>799</v>
      </c>
      <c r="G1992" s="122"/>
      <c r="H1992" s="115">
        <v>6</v>
      </c>
      <c r="I1992" s="116"/>
    </row>
    <row r="1993" spans="1:9" s="17" customFormat="1" ht="12.75" customHeight="1" x14ac:dyDescent="0.2">
      <c r="A1993" s="65">
        <v>1984</v>
      </c>
      <c r="B1993" s="60"/>
      <c r="C1993" s="117" t="s">
        <v>3369</v>
      </c>
      <c r="D1993" s="118"/>
      <c r="E1993" s="119"/>
      <c r="F1993" s="121" t="s">
        <v>799</v>
      </c>
      <c r="G1993" s="122"/>
      <c r="H1993" s="115">
        <f>44.3-3.4-2.5-0.4</f>
        <v>38</v>
      </c>
      <c r="I1993" s="116"/>
    </row>
    <row r="1994" spans="1:9" s="17" customFormat="1" ht="12.75" customHeight="1" x14ac:dyDescent="0.2">
      <c r="A1994" s="65">
        <v>1985</v>
      </c>
      <c r="B1994" s="60"/>
      <c r="C1994" s="112" t="s">
        <v>1602</v>
      </c>
      <c r="D1994" s="112"/>
      <c r="E1994" s="112"/>
      <c r="F1994" s="124" t="s">
        <v>200</v>
      </c>
      <c r="G1994" s="124"/>
      <c r="H1994" s="115">
        <v>7.4</v>
      </c>
      <c r="I1994" s="116"/>
    </row>
    <row r="1995" spans="1:9" s="17" customFormat="1" ht="12.75" customHeight="1" x14ac:dyDescent="0.2">
      <c r="A1995" s="65">
        <v>1986</v>
      </c>
      <c r="B1995" s="60"/>
      <c r="C1995" s="117" t="s">
        <v>5263</v>
      </c>
      <c r="D1995" s="118"/>
      <c r="E1995" s="119"/>
      <c r="F1995" s="124" t="s">
        <v>2</v>
      </c>
      <c r="G1995" s="124"/>
      <c r="H1995" s="115">
        <f>5.3+10+3.8-3.8</f>
        <v>15.3</v>
      </c>
      <c r="I1995" s="116"/>
    </row>
    <row r="1996" spans="1:9" s="17" customFormat="1" ht="11.25" x14ac:dyDescent="0.2">
      <c r="A1996" s="65">
        <v>1987</v>
      </c>
      <c r="B1996" s="60"/>
      <c r="C1996" s="117" t="s">
        <v>4573</v>
      </c>
      <c r="D1996" s="118"/>
      <c r="E1996" s="119"/>
      <c r="F1996" s="125" t="s">
        <v>140</v>
      </c>
      <c r="G1996" s="125"/>
      <c r="H1996" s="115">
        <v>12.8</v>
      </c>
      <c r="I1996" s="116"/>
    </row>
    <row r="1997" spans="1:9" s="17" customFormat="1" ht="11.25" x14ac:dyDescent="0.2">
      <c r="A1997" s="65">
        <v>1988</v>
      </c>
      <c r="B1997" s="60" t="s">
        <v>3574</v>
      </c>
      <c r="C1997" s="117" t="s">
        <v>4572</v>
      </c>
      <c r="D1997" s="118"/>
      <c r="E1997" s="119"/>
      <c r="F1997" s="125" t="s">
        <v>140</v>
      </c>
      <c r="G1997" s="125"/>
      <c r="H1997" s="115">
        <v>76.5</v>
      </c>
      <c r="I1997" s="116"/>
    </row>
    <row r="1998" spans="1:9" s="17" customFormat="1" ht="12.75" customHeight="1" x14ac:dyDescent="0.2">
      <c r="A1998" s="65">
        <v>1989</v>
      </c>
      <c r="B1998" s="60"/>
      <c r="C1998" s="117" t="s">
        <v>989</v>
      </c>
      <c r="D1998" s="118"/>
      <c r="E1998" s="119"/>
      <c r="F1998" s="124" t="s">
        <v>883</v>
      </c>
      <c r="G1998" s="124"/>
      <c r="H1998" s="115">
        <v>16.3</v>
      </c>
      <c r="I1998" s="116"/>
    </row>
    <row r="1999" spans="1:9" s="17" customFormat="1" ht="12.75" customHeight="1" x14ac:dyDescent="0.2">
      <c r="A1999" s="65">
        <v>1990</v>
      </c>
      <c r="B1999" s="60"/>
      <c r="C1999" s="117" t="s">
        <v>2096</v>
      </c>
      <c r="D1999" s="118"/>
      <c r="E1999" s="119"/>
      <c r="F1999" s="124" t="s">
        <v>883</v>
      </c>
      <c r="G1999" s="124"/>
      <c r="H1999" s="115">
        <f>4.8-2.3</f>
        <v>2.5</v>
      </c>
      <c r="I1999" s="116"/>
    </row>
    <row r="2000" spans="1:9" s="17" customFormat="1" ht="12.75" customHeight="1" x14ac:dyDescent="0.2">
      <c r="A2000" s="65">
        <v>1991</v>
      </c>
      <c r="B2000" s="60"/>
      <c r="C2000" s="117" t="s">
        <v>896</v>
      </c>
      <c r="D2000" s="118"/>
      <c r="E2000" s="119"/>
      <c r="F2000" s="124" t="s">
        <v>1007</v>
      </c>
      <c r="G2000" s="124"/>
      <c r="H2000" s="115">
        <f>212.5-43.3-6.7</f>
        <v>162.5</v>
      </c>
      <c r="I2000" s="116"/>
    </row>
    <row r="2001" spans="1:9" s="17" customFormat="1" ht="12.75" customHeight="1" x14ac:dyDescent="0.2">
      <c r="A2001" s="65">
        <v>1992</v>
      </c>
      <c r="B2001" s="60" t="s">
        <v>3656</v>
      </c>
      <c r="C2001" s="117" t="s">
        <v>4421</v>
      </c>
      <c r="D2001" s="118"/>
      <c r="E2001" s="119"/>
      <c r="F2001" s="121" t="s">
        <v>153</v>
      </c>
      <c r="G2001" s="122"/>
      <c r="H2001" s="115">
        <v>31</v>
      </c>
      <c r="I2001" s="116"/>
    </row>
    <row r="2002" spans="1:9" s="17" customFormat="1" ht="25.5" customHeight="1" x14ac:dyDescent="0.2">
      <c r="A2002" s="65">
        <v>1993</v>
      </c>
      <c r="B2002" s="60"/>
      <c r="C2002" s="117" t="s">
        <v>2313</v>
      </c>
      <c r="D2002" s="118"/>
      <c r="E2002" s="119"/>
      <c r="F2002" s="124" t="s">
        <v>153</v>
      </c>
      <c r="G2002" s="124"/>
      <c r="H2002" s="115"/>
      <c r="I2002" s="116"/>
    </row>
    <row r="2003" spans="1:9" s="17" customFormat="1" ht="12.75" customHeight="1" x14ac:dyDescent="0.2">
      <c r="A2003" s="65">
        <v>1994</v>
      </c>
      <c r="B2003" s="60"/>
      <c r="C2003" s="112" t="s">
        <v>1553</v>
      </c>
      <c r="D2003" s="112"/>
      <c r="E2003" s="112"/>
      <c r="F2003" s="124" t="s">
        <v>200</v>
      </c>
      <c r="G2003" s="124"/>
      <c r="H2003" s="115">
        <v>5</v>
      </c>
      <c r="I2003" s="116"/>
    </row>
    <row r="2004" spans="1:9" s="17" customFormat="1" ht="12.75" customHeight="1" x14ac:dyDescent="0.2">
      <c r="A2004" s="65">
        <v>1995</v>
      </c>
      <c r="B2004" s="60" t="s">
        <v>3540</v>
      </c>
      <c r="C2004" s="117" t="s">
        <v>4424</v>
      </c>
      <c r="D2004" s="118"/>
      <c r="E2004" s="119"/>
      <c r="F2004" s="121" t="s">
        <v>43</v>
      </c>
      <c r="G2004" s="122"/>
      <c r="H2004" s="115">
        <v>4.9000000000000004</v>
      </c>
      <c r="I2004" s="116"/>
    </row>
    <row r="2005" spans="1:9" s="17" customFormat="1" ht="12.75" customHeight="1" x14ac:dyDescent="0.2">
      <c r="A2005" s="65">
        <v>1996</v>
      </c>
      <c r="B2005" s="60"/>
      <c r="C2005" s="117" t="s">
        <v>1129</v>
      </c>
      <c r="D2005" s="118"/>
      <c r="E2005" s="119"/>
      <c r="F2005" s="124" t="s">
        <v>2</v>
      </c>
      <c r="G2005" s="124"/>
      <c r="H2005" s="115">
        <f>43.8+3.9</f>
        <v>47.699999999999996</v>
      </c>
      <c r="I2005" s="116"/>
    </row>
    <row r="2006" spans="1:9" s="17" customFormat="1" ht="12.75" customHeight="1" x14ac:dyDescent="0.2">
      <c r="A2006" s="65">
        <v>1997</v>
      </c>
      <c r="B2006" s="60"/>
      <c r="C2006" s="117" t="s">
        <v>473</v>
      </c>
      <c r="D2006" s="118"/>
      <c r="E2006" s="119"/>
      <c r="F2006" s="124" t="s">
        <v>2</v>
      </c>
      <c r="G2006" s="124"/>
      <c r="H2006" s="115">
        <f>3.8+2.1</f>
        <v>5.9</v>
      </c>
      <c r="I2006" s="116"/>
    </row>
    <row r="2007" spans="1:9" s="17" customFormat="1" ht="21.75" customHeight="1" x14ac:dyDescent="0.2">
      <c r="A2007" s="65">
        <v>1998</v>
      </c>
      <c r="B2007" s="60"/>
      <c r="C2007" s="117" t="s">
        <v>793</v>
      </c>
      <c r="D2007" s="118"/>
      <c r="E2007" s="119"/>
      <c r="F2007" s="124" t="s">
        <v>2</v>
      </c>
      <c r="G2007" s="124"/>
      <c r="H2007" s="115">
        <f>18.5-8.8+4.5+2</f>
        <v>16.2</v>
      </c>
      <c r="I2007" s="116"/>
    </row>
    <row r="2008" spans="1:9" s="17" customFormat="1" ht="12.75" customHeight="1" x14ac:dyDescent="0.2">
      <c r="A2008" s="65">
        <v>1999</v>
      </c>
      <c r="B2008" s="60"/>
      <c r="C2008" s="117" t="s">
        <v>1303</v>
      </c>
      <c r="D2008" s="118"/>
      <c r="E2008" s="119"/>
      <c r="F2008" s="124" t="s">
        <v>2</v>
      </c>
      <c r="G2008" s="124"/>
      <c r="H2008" s="115">
        <f>14.4+9.8-7.3</f>
        <v>16.900000000000002</v>
      </c>
      <c r="I2008" s="116"/>
    </row>
    <row r="2009" spans="1:9" s="17" customFormat="1" ht="12.75" customHeight="1" x14ac:dyDescent="0.2">
      <c r="A2009" s="65">
        <v>2000</v>
      </c>
      <c r="B2009" s="60"/>
      <c r="C2009" s="117" t="s">
        <v>567</v>
      </c>
      <c r="D2009" s="118"/>
      <c r="E2009" s="119"/>
      <c r="F2009" s="124" t="s">
        <v>2</v>
      </c>
      <c r="G2009" s="124"/>
      <c r="H2009" s="115">
        <v>6.7</v>
      </c>
      <c r="I2009" s="116"/>
    </row>
    <row r="2010" spans="1:9" s="17" customFormat="1" ht="12.75" customHeight="1" x14ac:dyDescent="0.2">
      <c r="A2010" s="65">
        <v>2001</v>
      </c>
      <c r="B2010" s="60"/>
      <c r="C2010" s="117" t="s">
        <v>283</v>
      </c>
      <c r="D2010" s="118"/>
      <c r="E2010" s="119"/>
      <c r="F2010" s="124" t="s">
        <v>2</v>
      </c>
      <c r="G2010" s="124"/>
      <c r="H2010" s="115">
        <f>9-2.8</f>
        <v>6.2</v>
      </c>
      <c r="I2010" s="116"/>
    </row>
    <row r="2011" spans="1:9" s="17" customFormat="1" ht="12.75" customHeight="1" x14ac:dyDescent="0.2">
      <c r="A2011" s="65">
        <v>2002</v>
      </c>
      <c r="B2011" s="60"/>
      <c r="C2011" s="117" t="s">
        <v>568</v>
      </c>
      <c r="D2011" s="118"/>
      <c r="E2011" s="119"/>
      <c r="F2011" s="124" t="s">
        <v>2</v>
      </c>
      <c r="G2011" s="124"/>
      <c r="H2011" s="115">
        <v>9.6</v>
      </c>
      <c r="I2011" s="116"/>
    </row>
    <row r="2012" spans="1:9" s="17" customFormat="1" ht="12.75" customHeight="1" x14ac:dyDescent="0.2">
      <c r="A2012" s="65">
        <v>2003</v>
      </c>
      <c r="B2012" s="60"/>
      <c r="C2012" s="117" t="s">
        <v>569</v>
      </c>
      <c r="D2012" s="118"/>
      <c r="E2012" s="119"/>
      <c r="F2012" s="124" t="s">
        <v>2</v>
      </c>
      <c r="G2012" s="124"/>
      <c r="H2012" s="115">
        <f>4.2-2.2</f>
        <v>2</v>
      </c>
      <c r="I2012" s="116"/>
    </row>
    <row r="2013" spans="1:9" s="17" customFormat="1" ht="12.75" customHeight="1" x14ac:dyDescent="0.2">
      <c r="A2013" s="65">
        <v>2004</v>
      </c>
      <c r="B2013" s="60"/>
      <c r="C2013" s="117" t="s">
        <v>570</v>
      </c>
      <c r="D2013" s="118"/>
      <c r="E2013" s="119"/>
      <c r="F2013" s="124" t="s">
        <v>2</v>
      </c>
      <c r="G2013" s="124"/>
      <c r="H2013" s="115">
        <v>4.2</v>
      </c>
      <c r="I2013" s="116"/>
    </row>
    <row r="2014" spans="1:9" s="17" customFormat="1" ht="12.75" customHeight="1" x14ac:dyDescent="0.2">
      <c r="A2014" s="65">
        <v>2005</v>
      </c>
      <c r="B2014" s="60"/>
      <c r="C2014" s="117" t="s">
        <v>3416</v>
      </c>
      <c r="D2014" s="118"/>
      <c r="E2014" s="119"/>
      <c r="F2014" s="125" t="s">
        <v>133</v>
      </c>
      <c r="G2014" s="125"/>
      <c r="H2014" s="115">
        <f>87-6.5-4.7</f>
        <v>75.8</v>
      </c>
      <c r="I2014" s="116"/>
    </row>
    <row r="2015" spans="1:9" s="17" customFormat="1" ht="12.75" customHeight="1" x14ac:dyDescent="0.2">
      <c r="A2015" s="65">
        <v>2006</v>
      </c>
      <c r="B2015" s="60"/>
      <c r="C2015" s="128" t="s">
        <v>3614</v>
      </c>
      <c r="D2015" s="128"/>
      <c r="E2015" s="128"/>
      <c r="F2015" s="124" t="s">
        <v>271</v>
      </c>
      <c r="G2015" s="124"/>
      <c r="H2015" s="115">
        <f>32.3-2.4-1.1-9-5</f>
        <v>14.799999999999997</v>
      </c>
      <c r="I2015" s="116"/>
    </row>
    <row r="2016" spans="1:9" s="17" customFormat="1" ht="24.75" customHeight="1" x14ac:dyDescent="0.2">
      <c r="A2016" s="65">
        <v>2007</v>
      </c>
      <c r="B2016" s="60"/>
      <c r="C2016" s="117" t="s">
        <v>3960</v>
      </c>
      <c r="D2016" s="118"/>
      <c r="E2016" s="119"/>
      <c r="F2016" s="125" t="s">
        <v>29</v>
      </c>
      <c r="G2016" s="125"/>
      <c r="H2016" s="115">
        <f>36.5+2.3-21-8.5-7+4.7+1.9-1.6-2.3-3.1+6.2+8.4-1.9</f>
        <v>14.6</v>
      </c>
      <c r="I2016" s="116"/>
    </row>
    <row r="2017" spans="1:9" s="16" customFormat="1" ht="15.75" x14ac:dyDescent="0.2">
      <c r="A2017" s="65">
        <v>2008</v>
      </c>
      <c r="B2017" s="78"/>
      <c r="C2017" s="165" t="s">
        <v>949</v>
      </c>
      <c r="D2017" s="165"/>
      <c r="E2017" s="165"/>
      <c r="F2017" s="121" t="s">
        <v>521</v>
      </c>
      <c r="G2017" s="122"/>
      <c r="H2017" s="136">
        <v>25.9</v>
      </c>
      <c r="I2017" s="136"/>
    </row>
    <row r="2018" spans="1:9" s="17" customFormat="1" ht="12.75" customHeight="1" x14ac:dyDescent="0.2">
      <c r="A2018" s="65">
        <v>2009</v>
      </c>
      <c r="B2018" s="60"/>
      <c r="C2018" s="117" t="s">
        <v>2951</v>
      </c>
      <c r="D2018" s="118"/>
      <c r="E2018" s="119"/>
      <c r="F2018" s="124" t="s">
        <v>87</v>
      </c>
      <c r="G2018" s="124"/>
      <c r="H2018" s="115">
        <f>315-29.6-14-25-6.6+53.4-13-19.3-7-53.4+15.2-56.2-10.5-10-4.8+68-27.1+6.8+7.1-12.5-42-12.7-7.7-7.1-6.8-32.4-13.6</f>
        <v>54.199999999999953</v>
      </c>
      <c r="I2018" s="116"/>
    </row>
    <row r="2019" spans="1:9" s="17" customFormat="1" x14ac:dyDescent="0.2">
      <c r="A2019" s="65">
        <v>2010</v>
      </c>
      <c r="B2019" s="60" t="s">
        <v>3656</v>
      </c>
      <c r="C2019" s="117" t="s">
        <v>5200</v>
      </c>
      <c r="D2019" s="118"/>
      <c r="E2019" s="119"/>
      <c r="F2019" s="124" t="s">
        <v>135</v>
      </c>
      <c r="G2019" s="124"/>
      <c r="H2019" s="115">
        <f>352+357-10.7-7.5-15.2-46.5-15-349.5-5-30.5+3.6-43-10.3-3-5-6.5-5-5-90.4-30.2+1.5</f>
        <v>35.799999999999883</v>
      </c>
      <c r="I2019" s="116"/>
    </row>
    <row r="2020" spans="1:9" s="17" customFormat="1" ht="12.75" customHeight="1" x14ac:dyDescent="0.2">
      <c r="A2020" s="65">
        <v>2011</v>
      </c>
      <c r="B2020" s="60"/>
      <c r="C2020" s="117" t="s">
        <v>3368</v>
      </c>
      <c r="D2020" s="118"/>
      <c r="E2020" s="119"/>
      <c r="F2020" s="121" t="s">
        <v>799</v>
      </c>
      <c r="G2020" s="122"/>
      <c r="H2020" s="115">
        <f>31.2-5.2</f>
        <v>26</v>
      </c>
      <c r="I2020" s="116"/>
    </row>
    <row r="2021" spans="1:9" s="17" customFormat="1" ht="12.75" customHeight="1" x14ac:dyDescent="0.2">
      <c r="A2021" s="65">
        <v>2012</v>
      </c>
      <c r="B2021" s="60"/>
      <c r="C2021" s="117" t="s">
        <v>715</v>
      </c>
      <c r="D2021" s="118"/>
      <c r="E2021" s="119"/>
      <c r="F2021" s="124" t="s">
        <v>44</v>
      </c>
      <c r="G2021" s="124"/>
      <c r="H2021" s="115">
        <f>70.5-1.7-58</f>
        <v>10.799999999999997</v>
      </c>
      <c r="I2021" s="116"/>
    </row>
    <row r="2022" spans="1:9" s="17" customFormat="1" ht="12.75" customHeight="1" x14ac:dyDescent="0.2">
      <c r="A2022" s="65">
        <v>2013</v>
      </c>
      <c r="B2022" s="60"/>
      <c r="C2022" s="117" t="s">
        <v>911</v>
      </c>
      <c r="D2022" s="118"/>
      <c r="E2022" s="119"/>
      <c r="F2022" s="124" t="s">
        <v>109</v>
      </c>
      <c r="G2022" s="124"/>
      <c r="H2022" s="115">
        <v>3.5</v>
      </c>
      <c r="I2022" s="115"/>
    </row>
    <row r="2023" spans="1:9" s="17" customFormat="1" ht="12.75" customHeight="1" x14ac:dyDescent="0.2">
      <c r="A2023" s="65">
        <v>2014</v>
      </c>
      <c r="B2023" s="60"/>
      <c r="C2023" s="117" t="s">
        <v>846</v>
      </c>
      <c r="D2023" s="118"/>
      <c r="E2023" s="119"/>
      <c r="F2023" s="124" t="s">
        <v>2</v>
      </c>
      <c r="G2023" s="124"/>
      <c r="H2023" s="115">
        <v>3.2</v>
      </c>
      <c r="I2023" s="116"/>
    </row>
    <row r="2024" spans="1:9" s="17" customFormat="1" ht="12.75" customHeight="1" x14ac:dyDescent="0.2">
      <c r="A2024" s="65">
        <v>2015</v>
      </c>
      <c r="B2024" s="60"/>
      <c r="C2024" s="128" t="s">
        <v>1830</v>
      </c>
      <c r="D2024" s="126"/>
      <c r="E2024" s="127"/>
      <c r="F2024" s="125" t="s">
        <v>76</v>
      </c>
      <c r="G2024" s="125"/>
      <c r="H2024" s="115">
        <f>5.4-2.7</f>
        <v>2.7</v>
      </c>
      <c r="I2024" s="116"/>
    </row>
    <row r="2025" spans="1:9" s="17" customFormat="1" ht="12.75" customHeight="1" x14ac:dyDescent="0.2">
      <c r="A2025" s="65">
        <v>2016</v>
      </c>
      <c r="B2025" s="60"/>
      <c r="C2025" s="117" t="s">
        <v>1577</v>
      </c>
      <c r="D2025" s="118"/>
      <c r="E2025" s="119"/>
      <c r="F2025" s="124" t="s">
        <v>109</v>
      </c>
      <c r="G2025" s="124"/>
      <c r="H2025" s="115">
        <f>2.9+10.2-1.1</f>
        <v>12</v>
      </c>
      <c r="I2025" s="116"/>
    </row>
    <row r="2026" spans="1:9" s="17" customFormat="1" ht="12.75" customHeight="1" x14ac:dyDescent="0.2">
      <c r="A2026" s="65">
        <v>2017</v>
      </c>
      <c r="B2026" s="60"/>
      <c r="C2026" s="128" t="s">
        <v>5022</v>
      </c>
      <c r="D2026" s="126"/>
      <c r="E2026" s="127"/>
      <c r="F2026" s="113" t="s">
        <v>29</v>
      </c>
      <c r="G2026" s="114"/>
      <c r="H2026" s="115">
        <f>54.3-10.5+12.6-6+8.5</f>
        <v>58.9</v>
      </c>
      <c r="I2026" s="116"/>
    </row>
    <row r="2027" spans="1:9" s="17" customFormat="1" ht="12.75" customHeight="1" x14ac:dyDescent="0.2">
      <c r="A2027" s="65">
        <v>2018</v>
      </c>
      <c r="B2027" s="60"/>
      <c r="C2027" s="128" t="s">
        <v>4992</v>
      </c>
      <c r="D2027" s="126"/>
      <c r="E2027" s="127"/>
      <c r="F2027" s="113" t="s">
        <v>29</v>
      </c>
      <c r="G2027" s="114"/>
      <c r="H2027" s="115">
        <f>101.5+7.5-11.2-12-7.5-57.3</f>
        <v>21</v>
      </c>
      <c r="I2027" s="116"/>
    </row>
    <row r="2028" spans="1:9" s="17" customFormat="1" ht="11.25" x14ac:dyDescent="0.2">
      <c r="A2028" s="65">
        <v>2019</v>
      </c>
      <c r="B2028" s="60"/>
      <c r="C2028" s="128" t="s">
        <v>1838</v>
      </c>
      <c r="D2028" s="126"/>
      <c r="E2028" s="127"/>
      <c r="F2028" s="125" t="s">
        <v>29</v>
      </c>
      <c r="G2028" s="125"/>
      <c r="H2028" s="115">
        <f>30+13-3.9-11.2+8.6+19.7+4.9-8.2+9.3-4.2+22.7+5-5.8-9.3+43+20.8-10.6-25.8+112-16.9-11.5+6.3+18.2-11.5+18.3+6.8-4.7+10.2-68-6.3-11+5.6+5+11.7+4.8+9-9.1-12.4+10-40.2-9.1-3.5-4.1+3.4-5.1-3.4-5-3.5-11</f>
        <v>83.000000000000014</v>
      </c>
      <c r="I2028" s="116"/>
    </row>
    <row r="2029" spans="1:9" s="17" customFormat="1" ht="12.75" customHeight="1" x14ac:dyDescent="0.2">
      <c r="A2029" s="65">
        <v>2020</v>
      </c>
      <c r="B2029" s="60"/>
      <c r="C2029" s="128" t="s">
        <v>4993</v>
      </c>
      <c r="D2029" s="126"/>
      <c r="E2029" s="127"/>
      <c r="F2029" s="125" t="s">
        <v>29</v>
      </c>
      <c r="G2029" s="125"/>
      <c r="H2029" s="115">
        <f>111-40+12.4-11.6-12.5-7+5.6-30.2+0.5-7.6-5.6+17-2.9-15</f>
        <v>14.100000000000016</v>
      </c>
      <c r="I2029" s="116"/>
    </row>
    <row r="2030" spans="1:9" s="17" customFormat="1" ht="11.25" x14ac:dyDescent="0.2">
      <c r="A2030" s="65">
        <v>2021</v>
      </c>
      <c r="B2030" s="60"/>
      <c r="C2030" s="128" t="s">
        <v>3586</v>
      </c>
      <c r="D2030" s="126"/>
      <c r="E2030" s="127"/>
      <c r="F2030" s="125" t="s">
        <v>29</v>
      </c>
      <c r="G2030" s="125"/>
      <c r="H2030" s="115">
        <f>13+3.1-2.5+3.8+2.4-3.1+2.6-1.8-2+2.4-2.6-2.4-8.1</f>
        <v>4.7999999999999989</v>
      </c>
      <c r="I2030" s="116"/>
    </row>
    <row r="2031" spans="1:9" s="17" customFormat="1" ht="11.25" x14ac:dyDescent="0.2">
      <c r="A2031" s="65">
        <v>2022</v>
      </c>
      <c r="B2031" s="60"/>
      <c r="C2031" s="128" t="s">
        <v>3291</v>
      </c>
      <c r="D2031" s="126"/>
      <c r="E2031" s="127"/>
      <c r="F2031" s="125" t="s">
        <v>59</v>
      </c>
      <c r="G2031" s="125"/>
      <c r="H2031" s="115">
        <f>27.7+5.5-19.4</f>
        <v>13.800000000000004</v>
      </c>
      <c r="I2031" s="116"/>
    </row>
    <row r="2032" spans="1:9" s="17" customFormat="1" ht="11.25" x14ac:dyDescent="0.2">
      <c r="A2032" s="65">
        <v>2023</v>
      </c>
      <c r="B2032" s="60"/>
      <c r="C2032" s="128" t="s">
        <v>5045</v>
      </c>
      <c r="D2032" s="126"/>
      <c r="E2032" s="127"/>
      <c r="F2032" s="125" t="s">
        <v>59</v>
      </c>
      <c r="G2032" s="125"/>
      <c r="H2032" s="115">
        <f>50.2-2.3-6.1-8.4-8.4+0.2-8.4-2.6</f>
        <v>14.200000000000005</v>
      </c>
      <c r="I2032" s="116"/>
    </row>
    <row r="2033" spans="1:9" s="17" customFormat="1" ht="11.25" x14ac:dyDescent="0.2">
      <c r="A2033" s="65">
        <v>2024</v>
      </c>
      <c r="B2033" s="60"/>
      <c r="C2033" s="128" t="s">
        <v>3290</v>
      </c>
      <c r="D2033" s="126"/>
      <c r="E2033" s="127"/>
      <c r="F2033" s="125" t="s">
        <v>59</v>
      </c>
      <c r="G2033" s="125"/>
      <c r="H2033" s="115">
        <f>51-5.7+3.3-1.2-1.2-4.4-4.6-1.2-1.2-1.2-3.3+67+10-22.8+8.4-13.4+46.6+11-5.5+2.5-33.2+5.6-13.4+17.4+5.4-1.2-5.2-1.3-5.8-36.2-1.2-1.2-1.2-11.5-5.5+27-1.2-6.3-18-1.2-4.6-9-3.5-1.2-2.3</f>
        <v>25.299999999999962</v>
      </c>
      <c r="I2033" s="116"/>
    </row>
    <row r="2034" spans="1:9" s="17" customFormat="1" ht="12.75" customHeight="1" x14ac:dyDescent="0.2">
      <c r="A2034" s="65">
        <v>2025</v>
      </c>
      <c r="B2034" s="60"/>
      <c r="C2034" s="117" t="s">
        <v>1351</v>
      </c>
      <c r="D2034" s="118"/>
      <c r="E2034" s="119"/>
      <c r="F2034" s="121" t="s">
        <v>80</v>
      </c>
      <c r="G2034" s="122"/>
      <c r="H2034" s="115">
        <f>6.2+14.7+346-122-20.9+285-196-0.8-49-11.6+196-40-1-5.5-70.5-5.5-46.7-9.3-30-56.5-17.4-5.5-29.6-21.5-4.2-8.3-8.8-5.6-3.3-10.3-17.6-5.5+14.8-7.4-4.7-12.5-8-20.8-6.4</f>
        <v>3.730349362740526E-14</v>
      </c>
      <c r="I2034" s="116"/>
    </row>
    <row r="2035" spans="1:9" s="17" customFormat="1" ht="12.75" customHeight="1" x14ac:dyDescent="0.2">
      <c r="A2035" s="65">
        <v>2026</v>
      </c>
      <c r="B2035" s="60"/>
      <c r="C2035" s="117" t="s">
        <v>1219</v>
      </c>
      <c r="D2035" s="118"/>
      <c r="E2035" s="119"/>
      <c r="F2035" s="121" t="s">
        <v>87</v>
      </c>
      <c r="G2035" s="122"/>
      <c r="H2035" s="115">
        <f>312.6+457-23</f>
        <v>746.6</v>
      </c>
      <c r="I2035" s="116"/>
    </row>
    <row r="2036" spans="1:9" s="17" customFormat="1" ht="12.75" customHeight="1" x14ac:dyDescent="0.2">
      <c r="A2036" s="65">
        <v>2027</v>
      </c>
      <c r="B2036" s="60"/>
      <c r="C2036" s="117" t="s">
        <v>1008</v>
      </c>
      <c r="D2036" s="118"/>
      <c r="E2036" s="119"/>
      <c r="F2036" s="121" t="s">
        <v>1009</v>
      </c>
      <c r="G2036" s="122"/>
      <c r="H2036" s="115">
        <v>60.5</v>
      </c>
      <c r="I2036" s="116"/>
    </row>
    <row r="2037" spans="1:9" s="17" customFormat="1" ht="12.75" customHeight="1" x14ac:dyDescent="0.2">
      <c r="A2037" s="65">
        <v>2028</v>
      </c>
      <c r="B2037" s="60" t="s">
        <v>2241</v>
      </c>
      <c r="C2037" s="128" t="s">
        <v>2915</v>
      </c>
      <c r="D2037" s="126"/>
      <c r="E2037" s="127"/>
      <c r="F2037" s="124" t="s">
        <v>291</v>
      </c>
      <c r="G2037" s="124"/>
      <c r="H2037" s="115">
        <f>17.4-2</f>
        <v>15.399999999999999</v>
      </c>
      <c r="I2037" s="116"/>
    </row>
    <row r="2038" spans="1:9" s="17" customFormat="1" ht="12.75" customHeight="1" x14ac:dyDescent="0.2">
      <c r="A2038" s="65">
        <v>2029</v>
      </c>
      <c r="B2038" s="60"/>
      <c r="C2038" s="128" t="s">
        <v>2921</v>
      </c>
      <c r="D2038" s="126"/>
      <c r="E2038" s="127"/>
      <c r="F2038" s="124" t="s">
        <v>291</v>
      </c>
      <c r="G2038" s="124"/>
      <c r="H2038" s="115">
        <f>16.8-4.8</f>
        <v>12</v>
      </c>
      <c r="I2038" s="116"/>
    </row>
    <row r="2039" spans="1:9" s="17" customFormat="1" ht="12.75" customHeight="1" x14ac:dyDescent="0.2">
      <c r="A2039" s="65">
        <v>2030</v>
      </c>
      <c r="B2039" s="60"/>
      <c r="C2039" s="128" t="s">
        <v>1908</v>
      </c>
      <c r="D2039" s="126"/>
      <c r="E2039" s="127"/>
      <c r="F2039" s="124" t="s">
        <v>271</v>
      </c>
      <c r="G2039" s="124"/>
      <c r="H2039" s="115">
        <f>57.7-1.5-1.5-8.7-3-1.4-1.5-3-1.3</f>
        <v>35.800000000000004</v>
      </c>
      <c r="I2039" s="154"/>
    </row>
    <row r="2040" spans="1:9" s="17" customFormat="1" ht="12.75" customHeight="1" x14ac:dyDescent="0.2">
      <c r="A2040" s="65">
        <v>2031</v>
      </c>
      <c r="B2040" s="60"/>
      <c r="C2040" s="117" t="s">
        <v>3367</v>
      </c>
      <c r="D2040" s="118"/>
      <c r="E2040" s="119"/>
      <c r="F2040" s="121" t="s">
        <v>799</v>
      </c>
      <c r="G2040" s="122"/>
      <c r="H2040" s="115">
        <v>25.7</v>
      </c>
      <c r="I2040" s="116"/>
    </row>
    <row r="2041" spans="1:9" s="17" customFormat="1" ht="12.75" customHeight="1" x14ac:dyDescent="0.2">
      <c r="A2041" s="65">
        <v>2032</v>
      </c>
      <c r="B2041" s="60"/>
      <c r="C2041" s="117" t="s">
        <v>1219</v>
      </c>
      <c r="D2041" s="118"/>
      <c r="E2041" s="119"/>
      <c r="F2041" s="121" t="s">
        <v>4218</v>
      </c>
      <c r="G2041" s="122"/>
      <c r="H2041" s="115">
        <f>312.6+457-23</f>
        <v>746.6</v>
      </c>
      <c r="I2041" s="116"/>
    </row>
    <row r="2042" spans="1:9" s="17" customFormat="1" ht="12.75" customHeight="1" x14ac:dyDescent="0.2">
      <c r="A2042" s="65">
        <v>2033</v>
      </c>
      <c r="B2042" s="60"/>
      <c r="C2042" s="128" t="s">
        <v>5349</v>
      </c>
      <c r="D2042" s="126"/>
      <c r="E2042" s="127"/>
      <c r="F2042" s="121" t="s">
        <v>56</v>
      </c>
      <c r="G2042" s="122"/>
      <c r="H2042" s="115">
        <f>84.2-9.8-33-10.1+6.8-31.5+0.2</f>
        <v>6.8000000000000016</v>
      </c>
      <c r="I2042" s="116"/>
    </row>
    <row r="2043" spans="1:9" s="17" customFormat="1" ht="12.75" customHeight="1" x14ac:dyDescent="0.2">
      <c r="A2043" s="65">
        <v>2034</v>
      </c>
      <c r="B2043" s="60"/>
      <c r="C2043" s="128" t="s">
        <v>5355</v>
      </c>
      <c r="D2043" s="126"/>
      <c r="E2043" s="127"/>
      <c r="F2043" s="124" t="s">
        <v>56</v>
      </c>
      <c r="G2043" s="124"/>
      <c r="H2043" s="115">
        <f>120+5.3-5.7-28.3-1.5</f>
        <v>89.8</v>
      </c>
      <c r="I2043" s="116"/>
    </row>
    <row r="2044" spans="1:9" s="17" customFormat="1" ht="12.75" customHeight="1" x14ac:dyDescent="0.2">
      <c r="A2044" s="65">
        <v>2035</v>
      </c>
      <c r="B2044" s="60"/>
      <c r="C2044" s="128" t="s">
        <v>2786</v>
      </c>
      <c r="D2044" s="126"/>
      <c r="E2044" s="127"/>
      <c r="F2044" s="124" t="s">
        <v>56</v>
      </c>
      <c r="G2044" s="124"/>
      <c r="H2044" s="115">
        <f>49-2.4-2.4-2.3-2.4</f>
        <v>39.500000000000007</v>
      </c>
      <c r="I2044" s="116"/>
    </row>
    <row r="2045" spans="1:9" s="17" customFormat="1" x14ac:dyDescent="0.2">
      <c r="A2045" s="65">
        <v>2036</v>
      </c>
      <c r="B2045" s="60"/>
      <c r="C2045" s="128" t="s">
        <v>4189</v>
      </c>
      <c r="D2045" s="126"/>
      <c r="E2045" s="127"/>
      <c r="F2045" s="124" t="s">
        <v>56</v>
      </c>
      <c r="G2045" s="124"/>
      <c r="H2045" s="115"/>
      <c r="I2045" s="116"/>
    </row>
    <row r="2046" spans="1:9" s="17" customFormat="1" ht="12.75" customHeight="1" x14ac:dyDescent="0.2">
      <c r="A2046" s="65">
        <v>2037</v>
      </c>
      <c r="B2046" s="60"/>
      <c r="C2046" s="117" t="s">
        <v>728</v>
      </c>
      <c r="D2046" s="118"/>
      <c r="E2046" s="119"/>
      <c r="F2046" s="124" t="s">
        <v>44</v>
      </c>
      <c r="G2046" s="124"/>
      <c r="H2046" s="115">
        <f>17.3-8</f>
        <v>9.3000000000000007</v>
      </c>
      <c r="I2046" s="116"/>
    </row>
    <row r="2047" spans="1:9" s="17" customFormat="1" ht="12.75" customHeight="1" x14ac:dyDescent="0.2">
      <c r="A2047" s="65">
        <v>2038</v>
      </c>
      <c r="B2047" s="60"/>
      <c r="C2047" s="117" t="s">
        <v>615</v>
      </c>
      <c r="D2047" s="118"/>
      <c r="E2047" s="119"/>
      <c r="F2047" s="124" t="s">
        <v>69</v>
      </c>
      <c r="G2047" s="124"/>
      <c r="H2047" s="115">
        <v>2.5</v>
      </c>
      <c r="I2047" s="116"/>
    </row>
    <row r="2048" spans="1:9" s="17" customFormat="1" ht="12.75" customHeight="1" x14ac:dyDescent="0.2">
      <c r="A2048" s="65">
        <v>2039</v>
      </c>
      <c r="B2048" s="60"/>
      <c r="C2048" s="117" t="s">
        <v>720</v>
      </c>
      <c r="D2048" s="118"/>
      <c r="E2048" s="119"/>
      <c r="F2048" s="124" t="s">
        <v>69</v>
      </c>
      <c r="G2048" s="124"/>
      <c r="H2048" s="115">
        <f>6+23.2</f>
        <v>29.2</v>
      </c>
      <c r="I2048" s="116"/>
    </row>
    <row r="2049" spans="1:9" s="17" customFormat="1" ht="12.75" customHeight="1" x14ac:dyDescent="0.2">
      <c r="A2049" s="65">
        <v>2040</v>
      </c>
      <c r="B2049" s="60"/>
      <c r="C2049" s="112" t="s">
        <v>2900</v>
      </c>
      <c r="D2049" s="112"/>
      <c r="E2049" s="112"/>
      <c r="F2049" s="124" t="s">
        <v>200</v>
      </c>
      <c r="G2049" s="124"/>
      <c r="H2049" s="115">
        <v>31</v>
      </c>
      <c r="I2049" s="116"/>
    </row>
    <row r="2050" spans="1:9" s="17" customFormat="1" ht="12.75" customHeight="1" x14ac:dyDescent="0.2">
      <c r="A2050" s="65">
        <v>2041</v>
      </c>
      <c r="B2050" s="60"/>
      <c r="C2050" s="117" t="s">
        <v>1059</v>
      </c>
      <c r="D2050" s="118"/>
      <c r="E2050" s="119"/>
      <c r="F2050" s="124" t="s">
        <v>16</v>
      </c>
      <c r="G2050" s="124"/>
      <c r="H2050" s="115">
        <f>360.5-20-23.2-90-39.6-6.9-49.9-99.2-0.2-17.1</f>
        <v>14.400000000000002</v>
      </c>
      <c r="I2050" s="116"/>
    </row>
    <row r="2051" spans="1:9" s="17" customFormat="1" ht="12.75" customHeight="1" x14ac:dyDescent="0.2">
      <c r="A2051" s="65">
        <v>2042</v>
      </c>
      <c r="B2051" s="60"/>
      <c r="C2051" s="117" t="s">
        <v>2537</v>
      </c>
      <c r="D2051" s="118"/>
      <c r="E2051" s="119"/>
      <c r="F2051" s="124" t="s">
        <v>16</v>
      </c>
      <c r="G2051" s="124"/>
      <c r="H2051" s="115">
        <f>16.3+3.9+0.1-8.2</f>
        <v>12.100000000000001</v>
      </c>
      <c r="I2051" s="116"/>
    </row>
    <row r="2052" spans="1:9" s="17" customFormat="1" ht="12.75" customHeight="1" x14ac:dyDescent="0.2">
      <c r="A2052" s="65">
        <v>2043</v>
      </c>
      <c r="B2052" s="60"/>
      <c r="C2052" s="117" t="s">
        <v>2375</v>
      </c>
      <c r="D2052" s="118"/>
      <c r="E2052" s="119"/>
      <c r="F2052" s="121" t="s">
        <v>1106</v>
      </c>
      <c r="G2052" s="122"/>
      <c r="H2052" s="115">
        <v>5.2</v>
      </c>
      <c r="I2052" s="116"/>
    </row>
    <row r="2053" spans="1:9" s="17" customFormat="1" ht="26.25" customHeight="1" x14ac:dyDescent="0.2">
      <c r="A2053" s="65">
        <v>2044</v>
      </c>
      <c r="B2053" s="60"/>
      <c r="C2053" s="128" t="s">
        <v>1956</v>
      </c>
      <c r="D2053" s="126"/>
      <c r="E2053" s="127"/>
      <c r="F2053" s="124" t="s">
        <v>2</v>
      </c>
      <c r="G2053" s="124"/>
      <c r="H2053" s="115">
        <f>34.5-2.9+4.9-1.4-2.5-0.9</f>
        <v>31.700000000000003</v>
      </c>
      <c r="I2053" s="116"/>
    </row>
    <row r="2054" spans="1:9" s="23" customFormat="1" x14ac:dyDescent="0.2">
      <c r="A2054" s="65">
        <v>2045</v>
      </c>
      <c r="B2054" s="60"/>
      <c r="C2054" s="117" t="s">
        <v>4732</v>
      </c>
      <c r="D2054" s="118"/>
      <c r="E2054" s="119"/>
      <c r="F2054" s="124" t="s">
        <v>85</v>
      </c>
      <c r="G2054" s="124"/>
      <c r="H2054" s="115">
        <f>4.5+7.4+3.7+2.8+8.4+40.2-7.4-12.9-2.8</f>
        <v>43.900000000000006</v>
      </c>
      <c r="I2054" s="116"/>
    </row>
    <row r="2055" spans="1:9" s="23" customFormat="1" ht="12.75" customHeight="1" x14ac:dyDescent="0.2">
      <c r="A2055" s="65">
        <v>2046</v>
      </c>
      <c r="B2055" s="60"/>
      <c r="C2055" s="117" t="s">
        <v>2128</v>
      </c>
      <c r="D2055" s="118"/>
      <c r="E2055" s="119"/>
      <c r="F2055" s="124" t="s">
        <v>85</v>
      </c>
      <c r="G2055" s="124"/>
      <c r="H2055" s="115">
        <f>10.5+7.8</f>
        <v>18.3</v>
      </c>
      <c r="I2055" s="116"/>
    </row>
    <row r="2056" spans="1:9" s="23" customFormat="1" ht="12.75" customHeight="1" x14ac:dyDescent="0.2">
      <c r="A2056" s="65">
        <v>2047</v>
      </c>
      <c r="B2056" s="60"/>
      <c r="C2056" s="117" t="s">
        <v>2901</v>
      </c>
      <c r="D2056" s="118"/>
      <c r="E2056" s="119"/>
      <c r="F2056" s="124" t="s">
        <v>85</v>
      </c>
      <c r="G2056" s="124"/>
      <c r="H2056" s="115">
        <v>6.8</v>
      </c>
      <c r="I2056" s="116"/>
    </row>
    <row r="2057" spans="1:9" s="17" customFormat="1" ht="12.75" customHeight="1" x14ac:dyDescent="0.2">
      <c r="A2057" s="65">
        <v>2048</v>
      </c>
      <c r="B2057" s="60"/>
      <c r="C2057" s="112" t="s">
        <v>868</v>
      </c>
      <c r="D2057" s="112"/>
      <c r="E2057" s="112"/>
      <c r="F2057" s="124" t="s">
        <v>200</v>
      </c>
      <c r="G2057" s="124"/>
      <c r="H2057" s="115">
        <v>2.2000000000000002</v>
      </c>
      <c r="I2057" s="116"/>
    </row>
    <row r="2058" spans="1:9" s="17" customFormat="1" ht="12.75" customHeight="1" x14ac:dyDescent="0.2">
      <c r="A2058" s="65">
        <v>2049</v>
      </c>
      <c r="B2058" s="60"/>
      <c r="C2058" s="112" t="s">
        <v>948</v>
      </c>
      <c r="D2058" s="112"/>
      <c r="E2058" s="112"/>
      <c r="F2058" s="124" t="s">
        <v>200</v>
      </c>
      <c r="G2058" s="124"/>
      <c r="H2058" s="115">
        <v>6.1</v>
      </c>
      <c r="I2058" s="116"/>
    </row>
    <row r="2059" spans="1:9" s="17" customFormat="1" ht="12.75" customHeight="1" x14ac:dyDescent="0.2">
      <c r="A2059" s="65">
        <v>2050</v>
      </c>
      <c r="B2059" s="60"/>
      <c r="C2059" s="128" t="s">
        <v>5366</v>
      </c>
      <c r="D2059" s="126"/>
      <c r="E2059" s="127"/>
      <c r="F2059" s="125" t="s">
        <v>29</v>
      </c>
      <c r="G2059" s="125"/>
      <c r="H2059" s="115">
        <f>219.4-21.7-6-6.4-7.1-7.6-8.4-7.4-8.5-16.2-17+0.3-25.5-8.5</f>
        <v>79.40000000000002</v>
      </c>
      <c r="I2059" s="116"/>
    </row>
    <row r="2060" spans="1:9" s="17" customFormat="1" ht="12.75" customHeight="1" x14ac:dyDescent="0.2">
      <c r="A2060" s="65">
        <v>2051</v>
      </c>
      <c r="B2060" s="60"/>
      <c r="C2060" s="128" t="s">
        <v>4097</v>
      </c>
      <c r="D2060" s="126"/>
      <c r="E2060" s="127"/>
      <c r="F2060" s="125" t="s">
        <v>76</v>
      </c>
      <c r="G2060" s="125"/>
      <c r="H2060" s="115">
        <f>5+20.7-1.6-5+3.4-1.6-1.9-1.8</f>
        <v>17.199999999999996</v>
      </c>
      <c r="I2060" s="116"/>
    </row>
    <row r="2061" spans="1:9" s="17" customFormat="1" ht="12.75" customHeight="1" x14ac:dyDescent="0.2">
      <c r="A2061" s="65">
        <v>2052</v>
      </c>
      <c r="B2061" s="60"/>
      <c r="C2061" s="128" t="s">
        <v>1055</v>
      </c>
      <c r="D2061" s="126"/>
      <c r="E2061" s="127"/>
      <c r="F2061" s="125" t="s">
        <v>76</v>
      </c>
      <c r="G2061" s="125"/>
      <c r="H2061" s="115">
        <f>31.2-1.9</f>
        <v>29.3</v>
      </c>
      <c r="I2061" s="116"/>
    </row>
    <row r="2062" spans="1:9" s="17" customFormat="1" ht="12.75" customHeight="1" x14ac:dyDescent="0.2">
      <c r="A2062" s="65">
        <v>2053</v>
      </c>
      <c r="B2062" s="60"/>
      <c r="C2062" s="117" t="s">
        <v>1337</v>
      </c>
      <c r="D2062" s="118"/>
      <c r="E2062" s="119"/>
      <c r="F2062" s="125" t="s">
        <v>59</v>
      </c>
      <c r="G2062" s="125"/>
      <c r="H2062" s="115">
        <f>60+19.2</f>
        <v>79.2</v>
      </c>
      <c r="I2062" s="116"/>
    </row>
    <row r="2063" spans="1:9" s="17" customFormat="1" ht="12.75" customHeight="1" x14ac:dyDescent="0.2">
      <c r="A2063" s="65">
        <v>2054</v>
      </c>
      <c r="B2063" s="60"/>
      <c r="C2063" s="117" t="s">
        <v>3887</v>
      </c>
      <c r="D2063" s="118"/>
      <c r="E2063" s="119"/>
      <c r="F2063" s="125" t="s">
        <v>59</v>
      </c>
      <c r="G2063" s="125"/>
      <c r="H2063" s="115">
        <f>4.9+3.4+20.2+2.2-4.9+4.7-1.8+1.8-2.2</f>
        <v>28.299999999999997</v>
      </c>
      <c r="I2063" s="116"/>
    </row>
    <row r="2064" spans="1:9" s="17" customFormat="1" ht="15" customHeight="1" x14ac:dyDescent="0.2">
      <c r="A2064" s="65">
        <v>2055</v>
      </c>
      <c r="B2064" s="60"/>
      <c r="C2064" s="130" t="s">
        <v>1073</v>
      </c>
      <c r="D2064" s="131"/>
      <c r="E2064" s="132"/>
      <c r="F2064" s="113" t="s">
        <v>59</v>
      </c>
      <c r="G2064" s="114"/>
      <c r="H2064" s="115">
        <v>63</v>
      </c>
      <c r="I2064" s="116"/>
    </row>
    <row r="2065" spans="1:9" s="17" customFormat="1" ht="12.75" customHeight="1" x14ac:dyDescent="0.2">
      <c r="A2065" s="65">
        <v>2056</v>
      </c>
      <c r="B2065" s="60"/>
      <c r="C2065" s="117" t="s">
        <v>798</v>
      </c>
      <c r="D2065" s="118"/>
      <c r="E2065" s="119"/>
      <c r="F2065" s="125" t="s">
        <v>59</v>
      </c>
      <c r="G2065" s="125"/>
      <c r="H2065" s="115"/>
      <c r="I2065" s="116"/>
    </row>
    <row r="2066" spans="1:9" s="17" customFormat="1" ht="12.75" customHeight="1" x14ac:dyDescent="0.2">
      <c r="A2066" s="65">
        <v>2057</v>
      </c>
      <c r="B2066" s="60"/>
      <c r="C2066" s="117" t="s">
        <v>4343</v>
      </c>
      <c r="D2066" s="118"/>
      <c r="E2066" s="119"/>
      <c r="F2066" s="121" t="s">
        <v>80</v>
      </c>
      <c r="G2066" s="122"/>
      <c r="H2066" s="115">
        <f>302-15-6.2-1.5-60.7-20-32.9-13.3-31.6-6.1-16-32-26.2-8+0.5-3.1</f>
        <v>29.900000000000013</v>
      </c>
      <c r="I2066" s="116"/>
    </row>
    <row r="2067" spans="1:9" s="17" customFormat="1" ht="12.75" customHeight="1" x14ac:dyDescent="0.2">
      <c r="A2067" s="65">
        <v>2058</v>
      </c>
      <c r="B2067" s="60" t="s">
        <v>4102</v>
      </c>
      <c r="C2067" s="117" t="s">
        <v>5048</v>
      </c>
      <c r="D2067" s="118"/>
      <c r="E2067" s="119"/>
      <c r="F2067" s="121" t="s">
        <v>80</v>
      </c>
      <c r="G2067" s="122"/>
      <c r="H2067" s="115">
        <f>265.5-7.9-3.2</f>
        <v>254.40000000000003</v>
      </c>
      <c r="I2067" s="116"/>
    </row>
    <row r="2068" spans="1:9" s="17" customFormat="1" ht="12.75" customHeight="1" x14ac:dyDescent="0.2">
      <c r="A2068" s="65">
        <v>2059</v>
      </c>
      <c r="B2068" s="60"/>
      <c r="C2068" s="117" t="s">
        <v>453</v>
      </c>
      <c r="D2068" s="118"/>
      <c r="E2068" s="119"/>
      <c r="F2068" s="121" t="s">
        <v>64</v>
      </c>
      <c r="G2068" s="122"/>
      <c r="H2068" s="115"/>
      <c r="I2068" s="116"/>
    </row>
    <row r="2069" spans="1:9" s="17" customFormat="1" ht="12.75" customHeight="1" x14ac:dyDescent="0.2">
      <c r="A2069" s="65">
        <v>2060</v>
      </c>
      <c r="B2069" s="60"/>
      <c r="C2069" s="117" t="s">
        <v>2470</v>
      </c>
      <c r="D2069" s="118"/>
      <c r="E2069" s="119"/>
      <c r="F2069" s="124" t="s">
        <v>87</v>
      </c>
      <c r="G2069" s="124"/>
      <c r="H2069" s="115">
        <f>60-40+120-17.7+14.8-3.2-6.2-26.2-12.2-6.7-50-4.4-8.2</f>
        <v>19.999999999999996</v>
      </c>
      <c r="I2069" s="116"/>
    </row>
    <row r="2070" spans="1:9" s="17" customFormat="1" ht="12.75" customHeight="1" x14ac:dyDescent="0.2">
      <c r="A2070" s="65">
        <v>2061</v>
      </c>
      <c r="B2070" s="60"/>
      <c r="C2070" s="117" t="s">
        <v>1576</v>
      </c>
      <c r="D2070" s="118"/>
      <c r="E2070" s="119"/>
      <c r="F2070" s="124" t="s">
        <v>87</v>
      </c>
      <c r="G2070" s="124"/>
      <c r="H2070" s="115">
        <v>18.8</v>
      </c>
      <c r="I2070" s="116"/>
    </row>
    <row r="2071" spans="1:9" s="17" customFormat="1" ht="12.75" customHeight="1" x14ac:dyDescent="0.2">
      <c r="A2071" s="65">
        <v>2062</v>
      </c>
      <c r="B2071" s="60"/>
      <c r="C2071" s="117" t="s">
        <v>1029</v>
      </c>
      <c r="D2071" s="118"/>
      <c r="E2071" s="119"/>
      <c r="F2071" s="121" t="s">
        <v>401</v>
      </c>
      <c r="G2071" s="122"/>
      <c r="H2071" s="115">
        <f>3.2+10.8-10.8</f>
        <v>3.1999999999999993</v>
      </c>
      <c r="I2071" s="116"/>
    </row>
    <row r="2072" spans="1:9" s="17" customFormat="1" ht="12.75" customHeight="1" x14ac:dyDescent="0.2">
      <c r="A2072" s="65">
        <v>2063</v>
      </c>
      <c r="B2072" s="60"/>
      <c r="C2072" s="128" t="s">
        <v>3246</v>
      </c>
      <c r="D2072" s="126"/>
      <c r="E2072" s="127"/>
      <c r="F2072" s="121" t="s">
        <v>3245</v>
      </c>
      <c r="G2072" s="122"/>
      <c r="H2072" s="115">
        <v>54.8</v>
      </c>
      <c r="I2072" s="116"/>
    </row>
    <row r="2073" spans="1:9" s="17" customFormat="1" ht="12.75" customHeight="1" x14ac:dyDescent="0.2">
      <c r="A2073" s="65">
        <v>2064</v>
      </c>
      <c r="B2073" s="60"/>
      <c r="C2073" s="128" t="s">
        <v>2565</v>
      </c>
      <c r="D2073" s="126"/>
      <c r="E2073" s="127"/>
      <c r="F2073" s="124" t="s">
        <v>71</v>
      </c>
      <c r="G2073" s="124"/>
      <c r="H2073" s="115">
        <f>82.1-9.1-9.8-1-1</f>
        <v>61.2</v>
      </c>
      <c r="I2073" s="116"/>
    </row>
    <row r="2074" spans="1:9" s="17" customFormat="1" ht="12.75" customHeight="1" x14ac:dyDescent="0.2">
      <c r="A2074" s="65">
        <v>2065</v>
      </c>
      <c r="B2074" s="60"/>
      <c r="C2074" s="117" t="s">
        <v>3366</v>
      </c>
      <c r="D2074" s="118"/>
      <c r="E2074" s="119"/>
      <c r="F2074" s="121" t="s">
        <v>799</v>
      </c>
      <c r="G2074" s="122"/>
      <c r="H2074" s="115">
        <v>22.7</v>
      </c>
      <c r="I2074" s="116"/>
    </row>
    <row r="2075" spans="1:9" s="17" customFormat="1" ht="14.25" customHeight="1" x14ac:dyDescent="0.2">
      <c r="A2075" s="65">
        <v>2066</v>
      </c>
      <c r="B2075" s="60"/>
      <c r="C2075" s="117" t="s">
        <v>3206</v>
      </c>
      <c r="D2075" s="118"/>
      <c r="E2075" s="119"/>
      <c r="F2075" s="124" t="s">
        <v>365</v>
      </c>
      <c r="G2075" s="124"/>
      <c r="H2075" s="115">
        <v>20.3</v>
      </c>
      <c r="I2075" s="116"/>
    </row>
    <row r="2076" spans="1:9" s="17" customFormat="1" ht="14.25" customHeight="1" x14ac:dyDescent="0.2">
      <c r="A2076" s="65">
        <v>2067</v>
      </c>
      <c r="B2076" s="60" t="s">
        <v>3559</v>
      </c>
      <c r="C2076" s="117" t="s">
        <v>5216</v>
      </c>
      <c r="D2076" s="118"/>
      <c r="E2076" s="119"/>
      <c r="F2076" s="124" t="s">
        <v>365</v>
      </c>
      <c r="G2076" s="124"/>
      <c r="H2076" s="115">
        <v>34</v>
      </c>
      <c r="I2076" s="116"/>
    </row>
    <row r="2077" spans="1:9" s="17" customFormat="1" x14ac:dyDescent="0.2">
      <c r="A2077" s="65">
        <v>2068</v>
      </c>
      <c r="B2077" s="60"/>
      <c r="C2077" s="128" t="s">
        <v>3413</v>
      </c>
      <c r="D2077" s="126"/>
      <c r="E2077" s="127"/>
      <c r="F2077" s="121" t="s">
        <v>45</v>
      </c>
      <c r="G2077" s="122"/>
      <c r="H2077" s="115">
        <v>5.9</v>
      </c>
      <c r="I2077" s="116"/>
    </row>
    <row r="2078" spans="1:9" s="17" customFormat="1" ht="18.75" customHeight="1" x14ac:dyDescent="0.2">
      <c r="A2078" s="65">
        <v>2069</v>
      </c>
      <c r="B2078" s="60"/>
      <c r="C2078" s="128" t="s">
        <v>3183</v>
      </c>
      <c r="D2078" s="126"/>
      <c r="E2078" s="127"/>
      <c r="F2078" s="121" t="s">
        <v>45</v>
      </c>
      <c r="G2078" s="122"/>
      <c r="H2078" s="115">
        <f>3.8+2.3-3.8+4.4</f>
        <v>6.7</v>
      </c>
      <c r="I2078" s="116"/>
    </row>
    <row r="2079" spans="1:9" s="17" customFormat="1" ht="12.75" customHeight="1" x14ac:dyDescent="0.2">
      <c r="A2079" s="65">
        <v>2070</v>
      </c>
      <c r="B2079" s="60"/>
      <c r="C2079" s="128" t="s">
        <v>3215</v>
      </c>
      <c r="D2079" s="126"/>
      <c r="E2079" s="127"/>
      <c r="F2079" s="124" t="s">
        <v>56</v>
      </c>
      <c r="G2079" s="124"/>
      <c r="H2079" s="115">
        <v>500</v>
      </c>
      <c r="I2079" s="116"/>
    </row>
    <row r="2080" spans="1:9" s="17" customFormat="1" ht="12.75" customHeight="1" x14ac:dyDescent="0.2">
      <c r="A2080" s="65">
        <v>2071</v>
      </c>
      <c r="B2080" s="60"/>
      <c r="C2080" s="117" t="s">
        <v>2248</v>
      </c>
      <c r="D2080" s="118"/>
      <c r="E2080" s="119"/>
      <c r="F2080" s="124" t="s">
        <v>135</v>
      </c>
      <c r="G2080" s="124"/>
      <c r="H2080" s="115"/>
      <c r="I2080" s="116"/>
    </row>
    <row r="2081" spans="1:9" s="17" customFormat="1" ht="12.75" customHeight="1" x14ac:dyDescent="0.2">
      <c r="A2081" s="65">
        <v>2072</v>
      </c>
      <c r="B2081" s="60"/>
      <c r="C2081" s="117" t="s">
        <v>323</v>
      </c>
      <c r="D2081" s="118"/>
      <c r="E2081" s="119"/>
      <c r="F2081" s="124" t="s">
        <v>51</v>
      </c>
      <c r="G2081" s="124"/>
      <c r="H2081" s="115">
        <v>3.1</v>
      </c>
      <c r="I2081" s="116"/>
    </row>
    <row r="2082" spans="1:9" s="23" customFormat="1" ht="12.75" customHeight="1" x14ac:dyDescent="0.2">
      <c r="A2082" s="65">
        <v>2073</v>
      </c>
      <c r="B2082" s="60"/>
      <c r="C2082" s="117" t="s">
        <v>1460</v>
      </c>
      <c r="D2082" s="118"/>
      <c r="E2082" s="119"/>
      <c r="F2082" s="124" t="s">
        <v>85</v>
      </c>
      <c r="G2082" s="124"/>
      <c r="H2082" s="115">
        <v>5.5</v>
      </c>
      <c r="I2082" s="116"/>
    </row>
    <row r="2083" spans="1:9" s="17" customFormat="1" ht="27.75" customHeight="1" x14ac:dyDescent="0.2">
      <c r="A2083" s="65">
        <v>2074</v>
      </c>
      <c r="B2083" s="60"/>
      <c r="C2083" s="178" t="s">
        <v>1787</v>
      </c>
      <c r="D2083" s="179"/>
      <c r="E2083" s="180"/>
      <c r="F2083" s="124" t="s">
        <v>5</v>
      </c>
      <c r="G2083" s="124"/>
      <c r="H2083" s="140">
        <v>10.8</v>
      </c>
      <c r="I2083" s="141"/>
    </row>
    <row r="2084" spans="1:9" s="17" customFormat="1" ht="12.75" customHeight="1" x14ac:dyDescent="0.2">
      <c r="A2084" s="65">
        <v>2075</v>
      </c>
      <c r="B2084" s="60"/>
      <c r="C2084" s="128" t="s">
        <v>973</v>
      </c>
      <c r="D2084" s="126"/>
      <c r="E2084" s="127"/>
      <c r="F2084" s="125" t="s">
        <v>76</v>
      </c>
      <c r="G2084" s="125"/>
      <c r="H2084" s="115">
        <f>61-22.2-7+7</f>
        <v>38.799999999999997</v>
      </c>
      <c r="I2084" s="116"/>
    </row>
    <row r="2085" spans="1:9" s="17" customFormat="1" ht="12.75" customHeight="1" x14ac:dyDescent="0.2">
      <c r="A2085" s="65">
        <v>2076</v>
      </c>
      <c r="B2085" s="60"/>
      <c r="C2085" s="128" t="s">
        <v>2392</v>
      </c>
      <c r="D2085" s="126"/>
      <c r="E2085" s="127"/>
      <c r="F2085" s="125" t="s">
        <v>29</v>
      </c>
      <c r="G2085" s="125"/>
      <c r="H2085" s="115">
        <f>123-6-3.6-3.6-10</f>
        <v>99.800000000000011</v>
      </c>
      <c r="I2085" s="116"/>
    </row>
    <row r="2086" spans="1:9" s="17" customFormat="1" ht="12.75" customHeight="1" x14ac:dyDescent="0.2">
      <c r="A2086" s="65">
        <v>2077</v>
      </c>
      <c r="B2086" s="60"/>
      <c r="C2086" s="117" t="s">
        <v>1185</v>
      </c>
      <c r="D2086" s="118"/>
      <c r="E2086" s="119"/>
      <c r="F2086" s="113" t="s">
        <v>76</v>
      </c>
      <c r="G2086" s="114"/>
      <c r="H2086" s="115">
        <f>50.3-4-3-2.9+1.6-1.6-4</f>
        <v>36.4</v>
      </c>
      <c r="I2086" s="116"/>
    </row>
    <row r="2087" spans="1:9" s="17" customFormat="1" ht="15" customHeight="1" x14ac:dyDescent="0.2">
      <c r="A2087" s="65">
        <v>2078</v>
      </c>
      <c r="B2087" s="60"/>
      <c r="C2087" s="130" t="s">
        <v>1181</v>
      </c>
      <c r="D2087" s="131"/>
      <c r="E2087" s="132"/>
      <c r="F2087" s="113" t="s">
        <v>59</v>
      </c>
      <c r="G2087" s="114"/>
      <c r="H2087" s="115">
        <f>5.6+78.5-3.7+4.4</f>
        <v>84.8</v>
      </c>
      <c r="I2087" s="116"/>
    </row>
    <row r="2088" spans="1:9" s="17" customFormat="1" ht="12.75" customHeight="1" x14ac:dyDescent="0.2">
      <c r="A2088" s="65">
        <v>2079</v>
      </c>
      <c r="B2088" s="60"/>
      <c r="C2088" s="117" t="s">
        <v>1098</v>
      </c>
      <c r="D2088" s="118"/>
      <c r="E2088" s="119"/>
      <c r="F2088" s="124" t="s">
        <v>153</v>
      </c>
      <c r="G2088" s="124"/>
      <c r="H2088" s="115"/>
      <c r="I2088" s="116"/>
    </row>
    <row r="2089" spans="1:9" s="17" customFormat="1" ht="12.75" customHeight="1" x14ac:dyDescent="0.2">
      <c r="A2089" s="65">
        <v>2080</v>
      </c>
      <c r="B2089" s="60"/>
      <c r="C2089" s="117" t="s">
        <v>2399</v>
      </c>
      <c r="D2089" s="118"/>
      <c r="E2089" s="119"/>
      <c r="F2089" s="124" t="s">
        <v>87</v>
      </c>
      <c r="G2089" s="124"/>
      <c r="H2089" s="115">
        <v>12.2</v>
      </c>
      <c r="I2089" s="116"/>
    </row>
    <row r="2090" spans="1:9" s="17" customFormat="1" ht="12.75" customHeight="1" x14ac:dyDescent="0.2">
      <c r="A2090" s="65">
        <v>2081</v>
      </c>
      <c r="B2090" s="60"/>
      <c r="C2090" s="128" t="s">
        <v>1217</v>
      </c>
      <c r="D2090" s="126"/>
      <c r="E2090" s="127"/>
      <c r="F2090" s="124" t="s">
        <v>56</v>
      </c>
      <c r="G2090" s="124"/>
      <c r="H2090" s="115">
        <v>21.5</v>
      </c>
      <c r="I2090" s="116"/>
    </row>
    <row r="2091" spans="1:9" s="17" customFormat="1" ht="12.75" customHeight="1" x14ac:dyDescent="0.2">
      <c r="A2091" s="65">
        <v>2082</v>
      </c>
      <c r="B2091" s="60"/>
      <c r="C2091" s="117" t="s">
        <v>1011</v>
      </c>
      <c r="D2091" s="118"/>
      <c r="E2091" s="119"/>
      <c r="F2091" s="124" t="s">
        <v>69</v>
      </c>
      <c r="G2091" s="124"/>
      <c r="H2091" s="115">
        <v>3</v>
      </c>
      <c r="I2091" s="116"/>
    </row>
    <row r="2092" spans="1:9" s="17" customFormat="1" ht="12.75" customHeight="1" x14ac:dyDescent="0.2">
      <c r="A2092" s="65">
        <v>2083</v>
      </c>
      <c r="B2092" s="60"/>
      <c r="C2092" s="117" t="s">
        <v>136</v>
      </c>
      <c r="D2092" s="118"/>
      <c r="E2092" s="119"/>
      <c r="F2092" s="124" t="s">
        <v>16</v>
      </c>
      <c r="G2092" s="124"/>
      <c r="H2092" s="115">
        <v>9.5</v>
      </c>
      <c r="I2092" s="116"/>
    </row>
    <row r="2093" spans="1:9" s="17" customFormat="1" ht="12.75" customHeight="1" x14ac:dyDescent="0.2">
      <c r="A2093" s="65">
        <v>2084</v>
      </c>
      <c r="B2093" s="60"/>
      <c r="C2093" s="117" t="s">
        <v>4188</v>
      </c>
      <c r="D2093" s="118"/>
      <c r="E2093" s="119"/>
      <c r="F2093" s="124" t="s">
        <v>295</v>
      </c>
      <c r="G2093" s="124"/>
      <c r="H2093" s="115">
        <v>17.3</v>
      </c>
      <c r="I2093" s="116"/>
    </row>
    <row r="2094" spans="1:9" s="17" customFormat="1" ht="12.75" customHeight="1" x14ac:dyDescent="0.2">
      <c r="A2094" s="65">
        <v>2085</v>
      </c>
      <c r="B2094" s="60"/>
      <c r="C2094" s="117" t="s">
        <v>158</v>
      </c>
      <c r="D2094" s="118"/>
      <c r="E2094" s="119"/>
      <c r="F2094" s="124" t="s">
        <v>295</v>
      </c>
      <c r="G2094" s="124"/>
      <c r="H2094" s="115">
        <v>5.9</v>
      </c>
      <c r="I2094" s="116"/>
    </row>
    <row r="2095" spans="1:9" s="17" customFormat="1" ht="12.75" customHeight="1" x14ac:dyDescent="0.2">
      <c r="A2095" s="65">
        <v>2086</v>
      </c>
      <c r="B2095" s="60"/>
      <c r="C2095" s="128" t="s">
        <v>1091</v>
      </c>
      <c r="D2095" s="126"/>
      <c r="E2095" s="127"/>
      <c r="F2095" s="125" t="s">
        <v>29</v>
      </c>
      <c r="G2095" s="125"/>
      <c r="H2095" s="115">
        <f>341-68.5</f>
        <v>272.5</v>
      </c>
      <c r="I2095" s="116"/>
    </row>
    <row r="2096" spans="1:9" s="17" customFormat="1" ht="12.75" customHeight="1" x14ac:dyDescent="0.2">
      <c r="A2096" s="65">
        <v>2087</v>
      </c>
      <c r="B2096" s="60" t="s">
        <v>2876</v>
      </c>
      <c r="C2096" s="128" t="s">
        <v>2875</v>
      </c>
      <c r="D2096" s="126"/>
      <c r="E2096" s="127"/>
      <c r="F2096" s="125" t="s">
        <v>29</v>
      </c>
      <c r="G2096" s="125"/>
      <c r="H2096" s="115">
        <v>131</v>
      </c>
      <c r="I2096" s="116"/>
    </row>
    <row r="2097" spans="1:9" s="17" customFormat="1" ht="12.75" customHeight="1" x14ac:dyDescent="0.2">
      <c r="A2097" s="65">
        <v>2088</v>
      </c>
      <c r="B2097" s="60"/>
      <c r="C2097" s="128" t="s">
        <v>2877</v>
      </c>
      <c r="D2097" s="126"/>
      <c r="E2097" s="127"/>
      <c r="F2097" s="125" t="s">
        <v>29</v>
      </c>
      <c r="G2097" s="125"/>
      <c r="H2097" s="115">
        <v>10.3</v>
      </c>
      <c r="I2097" s="116"/>
    </row>
    <row r="2098" spans="1:9" s="17" customFormat="1" ht="12.75" customHeight="1" x14ac:dyDescent="0.2">
      <c r="A2098" s="65">
        <v>2089</v>
      </c>
      <c r="B2098" s="60"/>
      <c r="C2098" s="128" t="s">
        <v>1934</v>
      </c>
      <c r="D2098" s="126"/>
      <c r="E2098" s="127"/>
      <c r="F2098" s="125" t="s">
        <v>29</v>
      </c>
      <c r="G2098" s="125"/>
      <c r="H2098" s="115">
        <v>30</v>
      </c>
      <c r="I2098" s="116"/>
    </row>
    <row r="2099" spans="1:9" s="17" customFormat="1" ht="22.5" customHeight="1" x14ac:dyDescent="0.2">
      <c r="A2099" s="65">
        <v>2090</v>
      </c>
      <c r="B2099" s="60"/>
      <c r="C2099" s="128" t="s">
        <v>3533</v>
      </c>
      <c r="D2099" s="126"/>
      <c r="E2099" s="127"/>
      <c r="F2099" s="125" t="s">
        <v>59</v>
      </c>
      <c r="G2099" s="125"/>
      <c r="H2099" s="115">
        <f>62.1+26.6-49.5+0.1+10.7+6.8+13.4-4-13.4-5-4.6-8.3</f>
        <v>34.900000000000006</v>
      </c>
      <c r="I2099" s="116"/>
    </row>
    <row r="2100" spans="1:9" s="17" customFormat="1" ht="12.75" customHeight="1" x14ac:dyDescent="0.2">
      <c r="A2100" s="65">
        <v>2091</v>
      </c>
      <c r="B2100" s="60"/>
      <c r="C2100" s="117" t="s">
        <v>3272</v>
      </c>
      <c r="D2100" s="118"/>
      <c r="E2100" s="119"/>
      <c r="F2100" s="121" t="s">
        <v>80</v>
      </c>
      <c r="G2100" s="122"/>
      <c r="H2100" s="115">
        <f>162.5-7.8-11.4-5+23.8-9.3-7.5-5.3-25.5-25.2-27.6</f>
        <v>61.699999999999967</v>
      </c>
      <c r="I2100" s="116"/>
    </row>
    <row r="2101" spans="1:9" s="17" customFormat="1" ht="12.75" customHeight="1" x14ac:dyDescent="0.2">
      <c r="A2101" s="65">
        <v>2092</v>
      </c>
      <c r="B2101" s="60"/>
      <c r="C2101" s="117" t="s">
        <v>1070</v>
      </c>
      <c r="D2101" s="118"/>
      <c r="E2101" s="119"/>
      <c r="F2101" s="124" t="s">
        <v>260</v>
      </c>
      <c r="G2101" s="124"/>
      <c r="H2101" s="115">
        <f>18.1-2.8</f>
        <v>15.3</v>
      </c>
      <c r="I2101" s="116"/>
    </row>
    <row r="2102" spans="1:9" s="17" customFormat="1" ht="12.75" customHeight="1" x14ac:dyDescent="0.2">
      <c r="A2102" s="65">
        <v>2093</v>
      </c>
      <c r="B2102" s="60"/>
      <c r="C2102" s="117" t="s">
        <v>3398</v>
      </c>
      <c r="D2102" s="118"/>
      <c r="E2102" s="119"/>
      <c r="F2102" s="121" t="s">
        <v>153</v>
      </c>
      <c r="G2102" s="122"/>
      <c r="H2102" s="115">
        <f>290-3.7-2.3-2.3-7.4-4-29.4-14.7-2-7.5-22</f>
        <v>194.70000000000002</v>
      </c>
      <c r="I2102" s="116"/>
    </row>
    <row r="2103" spans="1:9" s="17" customFormat="1" ht="12.75" customHeight="1" x14ac:dyDescent="0.2">
      <c r="A2103" s="65">
        <v>2094</v>
      </c>
      <c r="B2103" s="60" t="s">
        <v>2225</v>
      </c>
      <c r="C2103" s="117" t="s">
        <v>2513</v>
      </c>
      <c r="D2103" s="118"/>
      <c r="E2103" s="119"/>
      <c r="F2103" s="124" t="s">
        <v>87</v>
      </c>
      <c r="G2103" s="124"/>
      <c r="H2103" s="115">
        <f>157.5+149+170-56.3</f>
        <v>420.2</v>
      </c>
      <c r="I2103" s="116"/>
    </row>
    <row r="2104" spans="1:9" s="17" customFormat="1" ht="12.75" customHeight="1" x14ac:dyDescent="0.2">
      <c r="A2104" s="65">
        <v>2095</v>
      </c>
      <c r="B2104" s="60"/>
      <c r="C2104" s="117" t="s">
        <v>4091</v>
      </c>
      <c r="D2104" s="118"/>
      <c r="E2104" s="119"/>
      <c r="F2104" s="124" t="s">
        <v>135</v>
      </c>
      <c r="G2104" s="124"/>
      <c r="H2104" s="115">
        <f>165.5-38-31.4+16.6-25.7-4.6-10-12.7-2</f>
        <v>57.699999999999989</v>
      </c>
      <c r="I2104" s="116"/>
    </row>
    <row r="2105" spans="1:9" s="17" customFormat="1" ht="12.75" customHeight="1" x14ac:dyDescent="0.2">
      <c r="A2105" s="65">
        <v>2096</v>
      </c>
      <c r="B2105" s="60"/>
      <c r="C2105" s="117" t="s">
        <v>4090</v>
      </c>
      <c r="D2105" s="118"/>
      <c r="E2105" s="119"/>
      <c r="F2105" s="124" t="s">
        <v>27</v>
      </c>
      <c r="G2105" s="124"/>
      <c r="H2105" s="115">
        <f>19.6-12.6</f>
        <v>7.0000000000000018</v>
      </c>
      <c r="I2105" s="116"/>
    </row>
    <row r="2106" spans="1:9" s="17" customFormat="1" ht="12.75" customHeight="1" x14ac:dyDescent="0.2">
      <c r="A2106" s="65">
        <v>2097</v>
      </c>
      <c r="B2106" s="60"/>
      <c r="C2106" s="128" t="s">
        <v>2898</v>
      </c>
      <c r="D2106" s="126"/>
      <c r="E2106" s="127"/>
      <c r="F2106" s="124" t="s">
        <v>1</v>
      </c>
      <c r="G2106" s="124"/>
      <c r="H2106" s="115">
        <f>13.7-4.1-3.7</f>
        <v>5.8999999999999995</v>
      </c>
      <c r="I2106" s="116"/>
    </row>
    <row r="2107" spans="1:9" s="17" customFormat="1" ht="12.75" customHeight="1" x14ac:dyDescent="0.2">
      <c r="A2107" s="65">
        <v>2098</v>
      </c>
      <c r="B2107" s="60"/>
      <c r="C2107" s="117" t="s">
        <v>3365</v>
      </c>
      <c r="D2107" s="118"/>
      <c r="E2107" s="119"/>
      <c r="F2107" s="121" t="s">
        <v>799</v>
      </c>
      <c r="G2107" s="122"/>
      <c r="H2107" s="115">
        <v>16.600000000000001</v>
      </c>
      <c r="I2107" s="116"/>
    </row>
    <row r="2108" spans="1:9" s="17" customFormat="1" ht="12.75" customHeight="1" x14ac:dyDescent="0.2">
      <c r="A2108" s="65">
        <v>2099</v>
      </c>
      <c r="B2108" s="60"/>
      <c r="C2108" s="117" t="s">
        <v>571</v>
      </c>
      <c r="D2108" s="118"/>
      <c r="E2108" s="119"/>
      <c r="F2108" s="124" t="s">
        <v>295</v>
      </c>
      <c r="G2108" s="124"/>
      <c r="H2108" s="115">
        <f>64.4-24.1</f>
        <v>40.300000000000004</v>
      </c>
      <c r="I2108" s="116"/>
    </row>
    <row r="2109" spans="1:9" s="17" customFormat="1" ht="12.75" customHeight="1" x14ac:dyDescent="0.2">
      <c r="A2109" s="65">
        <v>2100</v>
      </c>
      <c r="B2109" s="60"/>
      <c r="C2109" s="117" t="s">
        <v>3778</v>
      </c>
      <c r="D2109" s="118"/>
      <c r="E2109" s="119"/>
      <c r="F2109" s="124" t="s">
        <v>2</v>
      </c>
      <c r="G2109" s="124"/>
      <c r="H2109" s="115">
        <v>9</v>
      </c>
      <c r="I2109" s="116"/>
    </row>
    <row r="2110" spans="1:9" s="17" customFormat="1" ht="12.75" customHeight="1" x14ac:dyDescent="0.2">
      <c r="A2110" s="65">
        <v>2101</v>
      </c>
      <c r="B2110" s="60"/>
      <c r="C2110" s="128" t="s">
        <v>1071</v>
      </c>
      <c r="D2110" s="126"/>
      <c r="E2110" s="127"/>
      <c r="F2110" s="125" t="s">
        <v>62</v>
      </c>
      <c r="G2110" s="125"/>
      <c r="H2110" s="115">
        <f>49.7+18.9</f>
        <v>68.599999999999994</v>
      </c>
      <c r="I2110" s="116"/>
    </row>
    <row r="2111" spans="1:9" s="17" customFormat="1" ht="12.75" customHeight="1" x14ac:dyDescent="0.2">
      <c r="A2111" s="65">
        <v>2102</v>
      </c>
      <c r="B2111" s="60"/>
      <c r="C2111" s="128" t="s">
        <v>2882</v>
      </c>
      <c r="D2111" s="126"/>
      <c r="E2111" s="127"/>
      <c r="F2111" s="125" t="s">
        <v>62</v>
      </c>
      <c r="G2111" s="125"/>
      <c r="H2111" s="115">
        <f>135-8+123.7-5.1-8.8+24-8-7.9+7.9-6.2-8-22+8.3+26.8+10+10.3-195.5-26.8-10-10.3-4.1+358.5-5.9+32.2-16.4-51.5-8.3+65-8.3-8-8-8.5-16.7-4.2-2.2</f>
        <v>343.00000000000006</v>
      </c>
      <c r="I2111" s="116"/>
    </row>
    <row r="2112" spans="1:9" s="17" customFormat="1" ht="12.75" customHeight="1" x14ac:dyDescent="0.2">
      <c r="A2112" s="65">
        <v>2103</v>
      </c>
      <c r="B2112" s="60"/>
      <c r="C2112" s="128" t="s">
        <v>2499</v>
      </c>
      <c r="D2112" s="126"/>
      <c r="E2112" s="127"/>
      <c r="F2112" s="125" t="s">
        <v>76</v>
      </c>
      <c r="G2112" s="125"/>
      <c r="H2112" s="115">
        <f>24.1-10.3</f>
        <v>13.8</v>
      </c>
      <c r="I2112" s="116"/>
    </row>
    <row r="2113" spans="1:9" s="17" customFormat="1" ht="12.75" customHeight="1" x14ac:dyDescent="0.2">
      <c r="A2113" s="65">
        <v>2104</v>
      </c>
      <c r="B2113" s="60"/>
      <c r="C2113" s="128" t="s">
        <v>4018</v>
      </c>
      <c r="D2113" s="126"/>
      <c r="E2113" s="127"/>
      <c r="F2113" s="125" t="s">
        <v>76</v>
      </c>
      <c r="G2113" s="125"/>
      <c r="H2113" s="115">
        <f>46-12.3+2.7-4.1-8.6-5.3-5.5-3.3-3.3+27.2-1.8+4.8+3.2-1.9+3.2+3.3-1.9+3-1.8-3.2-4.8-3.2-1.4-3.6-1.8-4.5-5.5-3-1.8-2-1.8</f>
        <v>7.0000000000000044</v>
      </c>
      <c r="I2113" s="116"/>
    </row>
    <row r="2114" spans="1:9" s="17" customFormat="1" ht="12.75" customHeight="1" x14ac:dyDescent="0.2">
      <c r="A2114" s="65">
        <v>2105</v>
      </c>
      <c r="B2114" s="60"/>
      <c r="C2114" s="117" t="s">
        <v>2763</v>
      </c>
      <c r="D2114" s="118"/>
      <c r="E2114" s="119"/>
      <c r="F2114" s="125" t="s">
        <v>59</v>
      </c>
      <c r="G2114" s="125"/>
      <c r="H2114" s="115">
        <f>8+16.4+7.6-16.4+16.4-16.4+2.3+163.8-7.6-33+0.1-8-14.7-25</f>
        <v>93.500000000000014</v>
      </c>
      <c r="I2114" s="116"/>
    </row>
    <row r="2115" spans="1:9" s="17" customFormat="1" ht="12.75" customHeight="1" x14ac:dyDescent="0.2">
      <c r="A2115" s="65">
        <v>2106</v>
      </c>
      <c r="B2115" s="60"/>
      <c r="C2115" s="117" t="s">
        <v>3508</v>
      </c>
      <c r="D2115" s="118"/>
      <c r="E2115" s="119"/>
      <c r="F2115" s="121" t="s">
        <v>80</v>
      </c>
      <c r="G2115" s="122"/>
      <c r="H2115" s="115">
        <f>110-16-16-8-24-8-15.6-2.4-5.2-7.4</f>
        <v>7.4</v>
      </c>
      <c r="I2115" s="116"/>
    </row>
    <row r="2116" spans="1:9" s="17" customFormat="1" ht="12.75" customHeight="1" x14ac:dyDescent="0.2">
      <c r="A2116" s="65">
        <v>2107</v>
      </c>
      <c r="B2116" s="60"/>
      <c r="C2116" s="117" t="s">
        <v>2138</v>
      </c>
      <c r="D2116" s="118"/>
      <c r="E2116" s="119"/>
      <c r="F2116" s="121" t="s">
        <v>153</v>
      </c>
      <c r="G2116" s="122"/>
      <c r="H2116" s="115">
        <v>191</v>
      </c>
      <c r="I2116" s="116"/>
    </row>
    <row r="2117" spans="1:9" s="17" customFormat="1" ht="12.75" customHeight="1" x14ac:dyDescent="0.2">
      <c r="A2117" s="65">
        <v>2108</v>
      </c>
      <c r="B2117" s="60" t="s">
        <v>3656</v>
      </c>
      <c r="C2117" s="117" t="s">
        <v>3517</v>
      </c>
      <c r="D2117" s="118"/>
      <c r="E2117" s="119"/>
      <c r="F2117" s="124" t="s">
        <v>87</v>
      </c>
      <c r="G2117" s="124"/>
      <c r="H2117" s="115">
        <v>23.5</v>
      </c>
      <c r="I2117" s="116"/>
    </row>
    <row r="2118" spans="1:9" s="17" customFormat="1" ht="12.75" customHeight="1" x14ac:dyDescent="0.2">
      <c r="A2118" s="65">
        <v>2109</v>
      </c>
      <c r="B2118" s="60"/>
      <c r="C2118" s="117" t="s">
        <v>2139</v>
      </c>
      <c r="D2118" s="118"/>
      <c r="E2118" s="119"/>
      <c r="F2118" s="124" t="s">
        <v>87</v>
      </c>
      <c r="G2118" s="124"/>
      <c r="H2118" s="115">
        <v>5.3</v>
      </c>
      <c r="I2118" s="116"/>
    </row>
    <row r="2119" spans="1:9" s="17" customFormat="1" ht="12.75" customHeight="1" x14ac:dyDescent="0.2">
      <c r="A2119" s="65">
        <v>2110</v>
      </c>
      <c r="B2119" s="60"/>
      <c r="C2119" s="117" t="s">
        <v>2479</v>
      </c>
      <c r="D2119" s="118"/>
      <c r="E2119" s="119"/>
      <c r="F2119" s="124" t="s">
        <v>401</v>
      </c>
      <c r="G2119" s="124"/>
      <c r="H2119" s="115">
        <f>93+156.5-71.3+154+45-73.5-9.7-19.4-58.7-8.5+8.5-10.5-10.4-32.5-11.2-11.2-10.5-10.8-11.3-87</f>
        <v>20.500000000000057</v>
      </c>
      <c r="I2119" s="116"/>
    </row>
    <row r="2120" spans="1:9" s="17" customFormat="1" ht="12.75" customHeight="1" x14ac:dyDescent="0.2">
      <c r="A2120" s="65">
        <v>2111</v>
      </c>
      <c r="B2120" s="60"/>
      <c r="C2120" s="117" t="s">
        <v>1019</v>
      </c>
      <c r="D2120" s="118"/>
      <c r="E2120" s="119"/>
      <c r="F2120" s="124" t="s">
        <v>135</v>
      </c>
      <c r="G2120" s="124"/>
      <c r="H2120" s="115">
        <f>25.9+101-13.6</f>
        <v>113.30000000000001</v>
      </c>
      <c r="I2120" s="116"/>
    </row>
    <row r="2121" spans="1:9" s="17" customFormat="1" ht="12.75" customHeight="1" x14ac:dyDescent="0.2">
      <c r="A2121" s="65">
        <v>2112</v>
      </c>
      <c r="B2121" s="60"/>
      <c r="C2121" s="117" t="s">
        <v>1980</v>
      </c>
      <c r="D2121" s="118"/>
      <c r="E2121" s="119"/>
      <c r="F2121" s="124" t="s">
        <v>135</v>
      </c>
      <c r="G2121" s="124"/>
      <c r="H2121" s="115">
        <f>580-23.7</f>
        <v>556.29999999999995</v>
      </c>
      <c r="I2121" s="116"/>
    </row>
    <row r="2122" spans="1:9" s="17" customFormat="1" ht="12.75" customHeight="1" x14ac:dyDescent="0.2">
      <c r="A2122" s="65">
        <v>2113</v>
      </c>
      <c r="B2122" s="60"/>
      <c r="C2122" s="128" t="s">
        <v>1637</v>
      </c>
      <c r="D2122" s="126"/>
      <c r="E2122" s="127"/>
      <c r="F2122" s="124" t="s">
        <v>1</v>
      </c>
      <c r="G2122" s="124"/>
      <c r="H2122" s="115">
        <f>6.4+7.3+13.2-13.2-6.4</f>
        <v>7.2999999999999989</v>
      </c>
      <c r="I2122" s="116"/>
    </row>
    <row r="2123" spans="1:9" s="17" customFormat="1" ht="12.75" customHeight="1" x14ac:dyDescent="0.2">
      <c r="A2123" s="65">
        <v>2114</v>
      </c>
      <c r="B2123" s="60"/>
      <c r="C2123" s="117" t="s">
        <v>3364</v>
      </c>
      <c r="D2123" s="118"/>
      <c r="E2123" s="119"/>
      <c r="F2123" s="121" t="s">
        <v>799</v>
      </c>
      <c r="G2123" s="122"/>
      <c r="H2123" s="115">
        <v>28.5</v>
      </c>
      <c r="I2123" s="116"/>
    </row>
    <row r="2124" spans="1:9" s="17" customFormat="1" ht="12.75" customHeight="1" x14ac:dyDescent="0.2">
      <c r="A2124" s="65">
        <v>2115</v>
      </c>
      <c r="B2124" s="60"/>
      <c r="C2124" s="128" t="s">
        <v>2424</v>
      </c>
      <c r="D2124" s="126"/>
      <c r="E2124" s="127"/>
      <c r="F2124" s="121" t="s">
        <v>45</v>
      </c>
      <c r="G2124" s="122"/>
      <c r="H2124" s="115">
        <v>18</v>
      </c>
      <c r="I2124" s="116"/>
    </row>
    <row r="2125" spans="1:9" s="17" customFormat="1" ht="12.75" customHeight="1" x14ac:dyDescent="0.2">
      <c r="A2125" s="65">
        <v>2116</v>
      </c>
      <c r="B2125" s="60"/>
      <c r="C2125" s="128" t="s">
        <v>3082</v>
      </c>
      <c r="D2125" s="126"/>
      <c r="E2125" s="127"/>
      <c r="F2125" s="121" t="s">
        <v>45</v>
      </c>
      <c r="G2125" s="122"/>
      <c r="H2125" s="115">
        <f>28-4.7-4.6-2.4</f>
        <v>16.300000000000004</v>
      </c>
      <c r="I2125" s="116"/>
    </row>
    <row r="2126" spans="1:9" s="17" customFormat="1" ht="12.75" customHeight="1" x14ac:dyDescent="0.2">
      <c r="A2126" s="65">
        <v>2117</v>
      </c>
      <c r="B2126" s="60"/>
      <c r="C2126" s="128" t="s">
        <v>2559</v>
      </c>
      <c r="D2126" s="126"/>
      <c r="E2126" s="127"/>
      <c r="F2126" s="121" t="s">
        <v>56</v>
      </c>
      <c r="G2126" s="122"/>
      <c r="H2126" s="115">
        <v>7.7</v>
      </c>
      <c r="I2126" s="116"/>
    </row>
    <row r="2127" spans="1:9" s="17" customFormat="1" ht="12.75" customHeight="1" x14ac:dyDescent="0.2">
      <c r="A2127" s="65">
        <v>2118</v>
      </c>
      <c r="B2127" s="60"/>
      <c r="C2127" s="128" t="s">
        <v>4350</v>
      </c>
      <c r="D2127" s="126"/>
      <c r="E2127" s="127"/>
      <c r="F2127" s="121" t="s">
        <v>56</v>
      </c>
      <c r="G2127" s="122"/>
      <c r="H2127" s="115">
        <f>11.5-1</f>
        <v>10.5</v>
      </c>
      <c r="I2127" s="116"/>
    </row>
    <row r="2128" spans="1:9" s="17" customFormat="1" ht="12.75" customHeight="1" x14ac:dyDescent="0.2">
      <c r="A2128" s="65">
        <v>2119</v>
      </c>
      <c r="B2128" s="60"/>
      <c r="C2128" s="117" t="s">
        <v>557</v>
      </c>
      <c r="D2128" s="118"/>
      <c r="E2128" s="119"/>
      <c r="F2128" s="124" t="s">
        <v>295</v>
      </c>
      <c r="G2128" s="124"/>
      <c r="H2128" s="115">
        <v>4.5999999999999996</v>
      </c>
      <c r="I2128" s="116"/>
    </row>
    <row r="2129" spans="1:9" s="17" customFormat="1" ht="12.75" customHeight="1" x14ac:dyDescent="0.2">
      <c r="A2129" s="65">
        <v>2120</v>
      </c>
      <c r="B2129" s="60"/>
      <c r="C2129" s="128" t="s">
        <v>4913</v>
      </c>
      <c r="D2129" s="126"/>
      <c r="E2129" s="127"/>
      <c r="F2129" s="125" t="s">
        <v>76</v>
      </c>
      <c r="G2129" s="125"/>
      <c r="H2129" s="115">
        <f>5.8+33.5-6.1+1.9-7.3-20.1</f>
        <v>7.6999999999999922</v>
      </c>
      <c r="I2129" s="116"/>
    </row>
    <row r="2130" spans="1:9" s="17" customFormat="1" ht="12.75" customHeight="1" x14ac:dyDescent="0.2">
      <c r="A2130" s="65">
        <v>2121</v>
      </c>
      <c r="B2130" s="60"/>
      <c r="C2130" s="128" t="s">
        <v>2582</v>
      </c>
      <c r="D2130" s="126"/>
      <c r="E2130" s="127"/>
      <c r="F2130" s="124" t="s">
        <v>271</v>
      </c>
      <c r="G2130" s="124"/>
      <c r="H2130" s="115">
        <f>34-3.5-6.5-3</f>
        <v>21</v>
      </c>
      <c r="I2130" s="116"/>
    </row>
    <row r="2131" spans="1:9" s="17" customFormat="1" ht="12.75" customHeight="1" x14ac:dyDescent="0.2">
      <c r="A2131" s="65">
        <v>2122</v>
      </c>
      <c r="B2131" s="60"/>
      <c r="C2131" s="117" t="s">
        <v>2164</v>
      </c>
      <c r="D2131" s="118"/>
      <c r="E2131" s="119"/>
      <c r="F2131" s="124" t="s">
        <v>2</v>
      </c>
      <c r="G2131" s="124"/>
      <c r="H2131" s="115">
        <v>4.3</v>
      </c>
      <c r="I2131" s="116"/>
    </row>
    <row r="2132" spans="1:9" s="17" customFormat="1" ht="12.75" customHeight="1" x14ac:dyDescent="0.2">
      <c r="A2132" s="65">
        <v>2123</v>
      </c>
      <c r="B2132" s="60"/>
      <c r="C2132" s="128" t="s">
        <v>2632</v>
      </c>
      <c r="D2132" s="126"/>
      <c r="E2132" s="127"/>
      <c r="F2132" s="125" t="s">
        <v>76</v>
      </c>
      <c r="G2132" s="125"/>
      <c r="H2132" s="115">
        <f>94-22.3</f>
        <v>71.7</v>
      </c>
      <c r="I2132" s="116"/>
    </row>
    <row r="2133" spans="1:9" s="17" customFormat="1" ht="12.75" customHeight="1" x14ac:dyDescent="0.2">
      <c r="A2133" s="65">
        <v>2124</v>
      </c>
      <c r="B2133" s="60"/>
      <c r="C2133" s="117" t="s">
        <v>1387</v>
      </c>
      <c r="D2133" s="118"/>
      <c r="E2133" s="119"/>
      <c r="F2133" s="125" t="s">
        <v>76</v>
      </c>
      <c r="G2133" s="125"/>
      <c r="H2133" s="115">
        <f>8.7+9.9-9.9</f>
        <v>8.7000000000000011</v>
      </c>
      <c r="I2133" s="116"/>
    </row>
    <row r="2134" spans="1:9" s="17" customFormat="1" ht="12.75" customHeight="1" x14ac:dyDescent="0.2">
      <c r="A2134" s="65">
        <v>2125</v>
      </c>
      <c r="B2134" s="60"/>
      <c r="C2134" s="117" t="s">
        <v>2947</v>
      </c>
      <c r="D2134" s="118"/>
      <c r="E2134" s="119"/>
      <c r="F2134" s="124" t="s">
        <v>80</v>
      </c>
      <c r="G2134" s="124"/>
      <c r="H2134" s="115">
        <f>81.7-9.5-3.3-8.7</f>
        <v>60.2</v>
      </c>
      <c r="I2134" s="116"/>
    </row>
    <row r="2135" spans="1:9" s="17" customFormat="1" ht="12.75" customHeight="1" x14ac:dyDescent="0.2">
      <c r="A2135" s="65">
        <v>2126</v>
      </c>
      <c r="B2135" s="60"/>
      <c r="C2135" s="117" t="s">
        <v>3635</v>
      </c>
      <c r="D2135" s="118"/>
      <c r="E2135" s="119"/>
      <c r="F2135" s="124" t="s">
        <v>135</v>
      </c>
      <c r="G2135" s="124"/>
      <c r="H2135" s="115">
        <f>13+36.9+98-5.4-7-4.5-24.5-18.5</f>
        <v>88</v>
      </c>
      <c r="I2135" s="116"/>
    </row>
    <row r="2136" spans="1:9" s="17" customFormat="1" ht="12.75" customHeight="1" x14ac:dyDescent="0.2">
      <c r="A2136" s="65">
        <v>2127</v>
      </c>
      <c r="B2136" s="60"/>
      <c r="C2136" s="117" t="s">
        <v>5364</v>
      </c>
      <c r="D2136" s="118"/>
      <c r="E2136" s="119"/>
      <c r="F2136" s="124" t="s">
        <v>135</v>
      </c>
      <c r="G2136" s="124"/>
      <c r="H2136" s="115">
        <f>540-27.8</f>
        <v>512.20000000000005</v>
      </c>
      <c r="I2136" s="116"/>
    </row>
    <row r="2137" spans="1:9" s="17" customFormat="1" ht="12.75" customHeight="1" x14ac:dyDescent="0.2">
      <c r="A2137" s="65">
        <v>2128</v>
      </c>
      <c r="B2137" s="60"/>
      <c r="C2137" s="117" t="s">
        <v>4869</v>
      </c>
      <c r="D2137" s="118"/>
      <c r="E2137" s="119"/>
      <c r="F2137" s="124" t="s">
        <v>963</v>
      </c>
      <c r="G2137" s="124"/>
      <c r="H2137" s="115">
        <f>197-64.2</f>
        <v>132.80000000000001</v>
      </c>
      <c r="I2137" s="116"/>
    </row>
    <row r="2138" spans="1:9" s="17" customFormat="1" ht="12.75" customHeight="1" x14ac:dyDescent="0.2">
      <c r="A2138" s="65">
        <v>2129</v>
      </c>
      <c r="B2138" s="60"/>
      <c r="C2138" s="128" t="s">
        <v>3645</v>
      </c>
      <c r="D2138" s="126"/>
      <c r="E2138" s="127"/>
      <c r="F2138" s="133" t="s">
        <v>76</v>
      </c>
      <c r="G2138" s="134"/>
      <c r="H2138" s="140">
        <f>264.5-5</f>
        <v>259.5</v>
      </c>
      <c r="I2138" s="141"/>
    </row>
    <row r="2139" spans="1:9" s="17" customFormat="1" ht="27" customHeight="1" x14ac:dyDescent="0.2">
      <c r="A2139" s="65">
        <v>2130</v>
      </c>
      <c r="B2139" s="60"/>
      <c r="C2139" s="128" t="s">
        <v>3130</v>
      </c>
      <c r="D2139" s="126"/>
      <c r="E2139" s="127"/>
      <c r="F2139" s="133" t="s">
        <v>76</v>
      </c>
      <c r="G2139" s="134"/>
      <c r="H2139" s="140">
        <f>11.6+58.5+27.6+24.5+9.3+12.1+54+131.4-19.4+8.1+77.3+19.3-17.4-19.8-11.6-12.1-58.5+13.2+10.3-13.2+8.1-10.3-15-8.2-8.1-19.3-17.7-32.8+19.7-19.6+73.9-10+19.2+24-19.2+74+39.5+21.9+12.8-19.7-20.3-16-61.2+9.7-39.5-9.7-48.5-10-37.7+121.8-12.8-33-23-24.4+23.4-14.5+12-26.2+7.9+5.5-33-16+62.5-12+62-10-20+4.9+7.8+34+6.3-22.9-13.1-1.6-40.2-91.5-36.6+4.5-6.3-7.8+45.4-15.7+42.3-5.5+8.7+15.4-15.4+17.6-18.3-8.9+10+46.7-4.9-22+7.2-4.5+6.4-10-13.8-25.3-6.4-7.2+16.2+13.1-13.1-21.2</f>
        <v>129.70000000000002</v>
      </c>
      <c r="I2139" s="141"/>
    </row>
    <row r="2140" spans="1:9" s="17" customFormat="1" ht="12.75" customHeight="1" x14ac:dyDescent="0.2">
      <c r="A2140" s="65">
        <v>2131</v>
      </c>
      <c r="B2140" s="60"/>
      <c r="C2140" s="128" t="s">
        <v>3131</v>
      </c>
      <c r="D2140" s="126"/>
      <c r="E2140" s="127"/>
      <c r="F2140" s="133" t="s">
        <v>76</v>
      </c>
      <c r="G2140" s="134"/>
      <c r="H2140" s="140">
        <f>1025-210-22-122-23-160-215+2-90-22.3-10.4+58.8-18.6-13.5-10.4+10.7-45.4-10.7-12</f>
        <v>111.19999999999995</v>
      </c>
      <c r="I2140" s="141"/>
    </row>
    <row r="2141" spans="1:9" s="17" customFormat="1" ht="15" customHeight="1" x14ac:dyDescent="0.2">
      <c r="A2141" s="65">
        <v>2132</v>
      </c>
      <c r="B2141" s="60"/>
      <c r="C2141" s="130" t="s">
        <v>4271</v>
      </c>
      <c r="D2141" s="131"/>
      <c r="E2141" s="132"/>
      <c r="F2141" s="113" t="s">
        <v>29</v>
      </c>
      <c r="G2141" s="114"/>
      <c r="H2141" s="115">
        <f>59.3-14.8+42-15-9.8-11.4</f>
        <v>50.300000000000004</v>
      </c>
      <c r="I2141" s="116"/>
    </row>
    <row r="2142" spans="1:9" s="17" customFormat="1" ht="12.75" customHeight="1" x14ac:dyDescent="0.2">
      <c r="A2142" s="65">
        <v>2133</v>
      </c>
      <c r="B2142" s="60"/>
      <c r="C2142" s="130" t="s">
        <v>5365</v>
      </c>
      <c r="D2142" s="131"/>
      <c r="E2142" s="132"/>
      <c r="F2142" s="113" t="s">
        <v>62</v>
      </c>
      <c r="G2142" s="114"/>
      <c r="H2142" s="115">
        <f>135-50.6-10.2-10.8</f>
        <v>63.400000000000006</v>
      </c>
      <c r="I2142" s="116"/>
    </row>
    <row r="2143" spans="1:9" s="17" customFormat="1" ht="36.75" customHeight="1" x14ac:dyDescent="0.2">
      <c r="A2143" s="65">
        <v>2134</v>
      </c>
      <c r="B2143" s="60"/>
      <c r="C2143" s="128" t="s">
        <v>3728</v>
      </c>
      <c r="D2143" s="126"/>
      <c r="E2143" s="127"/>
      <c r="F2143" s="135" t="s">
        <v>76</v>
      </c>
      <c r="G2143" s="135"/>
      <c r="H2143" s="140">
        <f>7+1.9+3.7+6.8-2.3+1.6+13.2+2.7-4.1-3-4.1-1.9+28.2+7.2+84.5-5-1.9-2-2.5+7.7-7.8-2.2-7.8+1.9-1.9+7.6+7-18.8+4.5+25.5-1.5-3.2-1.5-1.5+21+5.2-5.2-3.1+4.3-2.7-9.4+4.2+5.7-5.7-3.9-4.1</f>
        <v>144.30000000000001</v>
      </c>
      <c r="I2143" s="141"/>
    </row>
    <row r="2144" spans="1:9" s="17" customFormat="1" ht="12.75" customHeight="1" x14ac:dyDescent="0.2">
      <c r="A2144" s="65">
        <v>2135</v>
      </c>
      <c r="B2144" s="60"/>
      <c r="C2144" s="128" t="s">
        <v>4100</v>
      </c>
      <c r="D2144" s="126"/>
      <c r="E2144" s="127"/>
      <c r="F2144" s="125" t="s">
        <v>59</v>
      </c>
      <c r="G2144" s="125"/>
      <c r="H2144" s="115">
        <f>217.2+75.5-9.6+18.4-49.5-1+60.2-8.4-2.7-29.8-80.4-25-40.3+9.7-20-10.4-20-30+7.8-17.6+9.8-9.7-9.8+3.2+1.6+5.1-1.6-10-10.4+9.7+23-2.6-27.4-7.6-10.2+1.1-3.2+10-5.1+10.9</f>
        <v>20.899999999999956</v>
      </c>
      <c r="I2144" s="116"/>
    </row>
    <row r="2145" spans="1:9" s="17" customFormat="1" ht="12.75" customHeight="1" x14ac:dyDescent="0.2">
      <c r="A2145" s="65">
        <v>2136</v>
      </c>
      <c r="B2145" s="60" t="s">
        <v>3822</v>
      </c>
      <c r="C2145" s="128" t="s">
        <v>4335</v>
      </c>
      <c r="D2145" s="126"/>
      <c r="E2145" s="127"/>
      <c r="F2145" s="125" t="s">
        <v>59</v>
      </c>
      <c r="G2145" s="125"/>
      <c r="H2145" s="115">
        <v>10.3</v>
      </c>
      <c r="I2145" s="116"/>
    </row>
    <row r="2146" spans="1:9" s="17" customFormat="1" ht="12.75" customHeight="1" x14ac:dyDescent="0.2">
      <c r="A2146" s="65">
        <v>2137</v>
      </c>
      <c r="B2146" s="60" t="s">
        <v>2225</v>
      </c>
      <c r="C2146" s="117" t="s">
        <v>4693</v>
      </c>
      <c r="D2146" s="118"/>
      <c r="E2146" s="119"/>
      <c r="F2146" s="121" t="s">
        <v>80</v>
      </c>
      <c r="G2146" s="122"/>
      <c r="H2146" s="115">
        <f>51.5-4.1-5</f>
        <v>42.4</v>
      </c>
      <c r="I2146" s="116"/>
    </row>
    <row r="2147" spans="1:9" s="17" customFormat="1" ht="12.75" customHeight="1" x14ac:dyDescent="0.2">
      <c r="A2147" s="65">
        <v>2138</v>
      </c>
      <c r="B2147" s="60"/>
      <c r="C2147" s="117" t="s">
        <v>886</v>
      </c>
      <c r="D2147" s="118"/>
      <c r="E2147" s="119"/>
      <c r="F2147" s="124" t="s">
        <v>80</v>
      </c>
      <c r="G2147" s="124"/>
      <c r="H2147" s="115"/>
      <c r="I2147" s="116"/>
    </row>
    <row r="2148" spans="1:9" s="17" customFormat="1" ht="12.75" customHeight="1" x14ac:dyDescent="0.2">
      <c r="A2148" s="65">
        <v>2139</v>
      </c>
      <c r="B2148" s="60" t="s">
        <v>3656</v>
      </c>
      <c r="C2148" s="117" t="s">
        <v>3492</v>
      </c>
      <c r="D2148" s="118"/>
      <c r="E2148" s="119"/>
      <c r="F2148" s="124" t="s">
        <v>835</v>
      </c>
      <c r="G2148" s="124"/>
      <c r="H2148" s="115">
        <f>171.4-1.1-17.6-27.6-14.7-10.8-9-6-11.5-14.7-13-7-14.8+1</f>
        <v>24.600000000000019</v>
      </c>
      <c r="I2148" s="116"/>
    </row>
    <row r="2149" spans="1:9" s="17" customFormat="1" ht="12.75" customHeight="1" x14ac:dyDescent="0.2">
      <c r="A2149" s="65">
        <v>2140</v>
      </c>
      <c r="B2149" s="60"/>
      <c r="C2149" s="117" t="s">
        <v>4327</v>
      </c>
      <c r="D2149" s="118"/>
      <c r="E2149" s="119"/>
      <c r="F2149" s="121" t="s">
        <v>96</v>
      </c>
      <c r="G2149" s="122"/>
      <c r="H2149" s="115">
        <v>149.69999999999999</v>
      </c>
      <c r="I2149" s="116"/>
    </row>
    <row r="2150" spans="1:9" s="17" customFormat="1" ht="12.75" customHeight="1" x14ac:dyDescent="0.2">
      <c r="A2150" s="65">
        <v>2141</v>
      </c>
      <c r="B2150" s="60"/>
      <c r="C2150" s="117" t="s">
        <v>1531</v>
      </c>
      <c r="D2150" s="118"/>
      <c r="E2150" s="119"/>
      <c r="F2150" s="121" t="s">
        <v>479</v>
      </c>
      <c r="G2150" s="122"/>
      <c r="H2150" s="115">
        <f>28.5-8.4</f>
        <v>20.100000000000001</v>
      </c>
      <c r="I2150" s="116"/>
    </row>
    <row r="2151" spans="1:9" s="17" customFormat="1" ht="12.75" customHeight="1" x14ac:dyDescent="0.2">
      <c r="A2151" s="65">
        <v>2142</v>
      </c>
      <c r="B2151" s="60"/>
      <c r="C2151" s="117" t="s">
        <v>2824</v>
      </c>
      <c r="D2151" s="118"/>
      <c r="E2151" s="119"/>
      <c r="F2151" s="124" t="s">
        <v>401</v>
      </c>
      <c r="G2151" s="124"/>
      <c r="H2151" s="115">
        <f>368.5-62-88.2-90.2-12.4-15.7-60</f>
        <v>40.000000000000014</v>
      </c>
      <c r="I2151" s="116"/>
    </row>
    <row r="2152" spans="1:9" s="17" customFormat="1" ht="12.75" customHeight="1" x14ac:dyDescent="0.2">
      <c r="A2152" s="65">
        <v>2143</v>
      </c>
      <c r="B2152" s="60" t="s">
        <v>3656</v>
      </c>
      <c r="C2152" s="117" t="s">
        <v>5399</v>
      </c>
      <c r="D2152" s="118"/>
      <c r="E2152" s="119"/>
      <c r="F2152" s="124" t="s">
        <v>55</v>
      </c>
      <c r="G2152" s="124"/>
      <c r="H2152" s="115">
        <f>32-1.6</f>
        <v>30.4</v>
      </c>
      <c r="I2152" s="116"/>
    </row>
    <row r="2153" spans="1:9" s="17" customFormat="1" ht="12.75" customHeight="1" x14ac:dyDescent="0.2">
      <c r="A2153" s="65">
        <v>2144</v>
      </c>
      <c r="B2153" s="60"/>
      <c r="C2153" s="117" t="s">
        <v>1431</v>
      </c>
      <c r="D2153" s="118"/>
      <c r="E2153" s="119"/>
      <c r="F2153" s="124" t="s">
        <v>1432</v>
      </c>
      <c r="G2153" s="124"/>
      <c r="H2153" s="115">
        <v>9.5</v>
      </c>
      <c r="I2153" s="116"/>
    </row>
    <row r="2154" spans="1:9" s="17" customFormat="1" ht="12.75" customHeight="1" x14ac:dyDescent="0.2">
      <c r="A2154" s="65">
        <v>2145</v>
      </c>
      <c r="B2154" s="60"/>
      <c r="C2154" s="117" t="s">
        <v>2490</v>
      </c>
      <c r="D2154" s="118"/>
      <c r="E2154" s="119"/>
      <c r="F2154" s="121" t="s">
        <v>309</v>
      </c>
      <c r="G2154" s="122"/>
      <c r="H2154" s="115">
        <f>26.8-5.7-11.1</f>
        <v>10.000000000000002</v>
      </c>
      <c r="I2154" s="116"/>
    </row>
    <row r="2155" spans="1:9" s="17" customFormat="1" ht="12.75" customHeight="1" x14ac:dyDescent="0.2">
      <c r="A2155" s="65">
        <v>2146</v>
      </c>
      <c r="B2155" s="60"/>
      <c r="C2155" s="128" t="s">
        <v>2896</v>
      </c>
      <c r="D2155" s="126"/>
      <c r="E2155" s="127"/>
      <c r="F2155" s="124" t="s">
        <v>31</v>
      </c>
      <c r="G2155" s="124"/>
      <c r="H2155" s="115">
        <f>77.2-15</f>
        <v>62.2</v>
      </c>
      <c r="I2155" s="116"/>
    </row>
    <row r="2156" spans="1:9" s="17" customFormat="1" ht="12.75" customHeight="1" x14ac:dyDescent="0.2">
      <c r="A2156" s="65">
        <v>2147</v>
      </c>
      <c r="B2156" s="60"/>
      <c r="C2156" s="117" t="s">
        <v>4961</v>
      </c>
      <c r="D2156" s="118"/>
      <c r="E2156" s="119"/>
      <c r="F2156" s="121" t="s">
        <v>799</v>
      </c>
      <c r="G2156" s="122"/>
      <c r="H2156" s="115">
        <f>23.5-9</f>
        <v>14.5</v>
      </c>
      <c r="I2156" s="116"/>
    </row>
    <row r="2157" spans="1:9" s="17" customFormat="1" ht="12.75" customHeight="1" x14ac:dyDescent="0.2">
      <c r="A2157" s="65">
        <v>2148</v>
      </c>
      <c r="B2157" s="60"/>
      <c r="C2157" s="128" t="s">
        <v>5028</v>
      </c>
      <c r="D2157" s="126"/>
      <c r="E2157" s="127"/>
      <c r="F2157" s="121" t="s">
        <v>56</v>
      </c>
      <c r="G2157" s="122"/>
      <c r="H2157" s="115">
        <f>34.2+6.9+14.9-3-6.9+4.3-4.3-9.7-3-3-24.5</f>
        <v>5.9000000000000057</v>
      </c>
      <c r="I2157" s="116"/>
    </row>
    <row r="2158" spans="1:9" s="17" customFormat="1" ht="12.75" customHeight="1" x14ac:dyDescent="0.2">
      <c r="A2158" s="65">
        <v>2149</v>
      </c>
      <c r="B2158" s="60"/>
      <c r="C2158" s="117" t="s">
        <v>1076</v>
      </c>
      <c r="D2158" s="118"/>
      <c r="E2158" s="119"/>
      <c r="F2158" s="124" t="s">
        <v>44</v>
      </c>
      <c r="G2158" s="124"/>
      <c r="H2158" s="115">
        <f>11+6.5</f>
        <v>17.5</v>
      </c>
      <c r="I2158" s="116"/>
    </row>
    <row r="2159" spans="1:9" s="17" customFormat="1" ht="12.75" customHeight="1" x14ac:dyDescent="0.2">
      <c r="A2159" s="65">
        <v>2150</v>
      </c>
      <c r="B2159" s="60"/>
      <c r="C2159" s="112" t="s">
        <v>1016</v>
      </c>
      <c r="D2159" s="112"/>
      <c r="E2159" s="112"/>
      <c r="F2159" s="124" t="s">
        <v>200</v>
      </c>
      <c r="G2159" s="124"/>
      <c r="H2159" s="115">
        <v>14</v>
      </c>
      <c r="I2159" s="116"/>
    </row>
    <row r="2160" spans="1:9" s="17" customFormat="1" ht="12.75" customHeight="1" x14ac:dyDescent="0.2">
      <c r="A2160" s="65">
        <v>2151</v>
      </c>
      <c r="B2160" s="60"/>
      <c r="C2160" s="112" t="s">
        <v>5009</v>
      </c>
      <c r="D2160" s="112"/>
      <c r="E2160" s="112"/>
      <c r="F2160" s="124" t="s">
        <v>200</v>
      </c>
      <c r="G2160" s="124"/>
      <c r="H2160" s="115">
        <f>14.5+4.4</f>
        <v>18.899999999999999</v>
      </c>
      <c r="I2160" s="116"/>
    </row>
    <row r="2161" spans="1:9" s="17" customFormat="1" ht="12.75" customHeight="1" x14ac:dyDescent="0.2">
      <c r="A2161" s="65">
        <v>2152</v>
      </c>
      <c r="B2161" s="60"/>
      <c r="C2161" s="117" t="s">
        <v>374</v>
      </c>
      <c r="D2161" s="118"/>
      <c r="E2161" s="119"/>
      <c r="F2161" s="124" t="s">
        <v>32</v>
      </c>
      <c r="G2161" s="124"/>
      <c r="H2161" s="115">
        <v>15</v>
      </c>
      <c r="I2161" s="116"/>
    </row>
    <row r="2162" spans="1:9" s="17" customFormat="1" ht="12.75" customHeight="1" x14ac:dyDescent="0.2">
      <c r="A2162" s="65">
        <v>2153</v>
      </c>
      <c r="B2162" s="60"/>
      <c r="C2162" s="117" t="s">
        <v>1875</v>
      </c>
      <c r="D2162" s="118"/>
      <c r="E2162" s="119"/>
      <c r="F2162" s="121" t="s">
        <v>657</v>
      </c>
      <c r="G2162" s="122"/>
      <c r="H2162" s="115">
        <v>10.6</v>
      </c>
      <c r="I2162" s="116"/>
    </row>
    <row r="2163" spans="1:9" s="17" customFormat="1" ht="12.75" customHeight="1" x14ac:dyDescent="0.2">
      <c r="A2163" s="65">
        <v>2154</v>
      </c>
      <c r="B2163" s="60"/>
      <c r="C2163" s="117" t="s">
        <v>2597</v>
      </c>
      <c r="D2163" s="118"/>
      <c r="E2163" s="119"/>
      <c r="F2163" s="124" t="s">
        <v>43</v>
      </c>
      <c r="G2163" s="124"/>
      <c r="H2163" s="115">
        <v>11.6</v>
      </c>
      <c r="I2163" s="116"/>
    </row>
    <row r="2164" spans="1:9" s="17" customFormat="1" ht="12.75" customHeight="1" x14ac:dyDescent="0.2">
      <c r="A2164" s="65">
        <v>2155</v>
      </c>
      <c r="B2164" s="60"/>
      <c r="C2164" s="117" t="s">
        <v>587</v>
      </c>
      <c r="D2164" s="118"/>
      <c r="E2164" s="119"/>
      <c r="F2164" s="124" t="s">
        <v>2</v>
      </c>
      <c r="G2164" s="124"/>
      <c r="H2164" s="115">
        <f>21.7-5.3-5.5+7.4+6.3-0.1</f>
        <v>24.499999999999996</v>
      </c>
      <c r="I2164" s="116"/>
    </row>
    <row r="2165" spans="1:9" s="23" customFormat="1" ht="12.75" customHeight="1" x14ac:dyDescent="0.2">
      <c r="A2165" s="65">
        <v>2156</v>
      </c>
      <c r="B2165" s="60"/>
      <c r="C2165" s="117" t="s">
        <v>1892</v>
      </c>
      <c r="D2165" s="118"/>
      <c r="E2165" s="119"/>
      <c r="F2165" s="124" t="s">
        <v>85</v>
      </c>
      <c r="G2165" s="124"/>
      <c r="H2165" s="115">
        <v>14.7</v>
      </c>
      <c r="I2165" s="116"/>
    </row>
    <row r="2166" spans="1:9" s="23" customFormat="1" ht="13.5" customHeight="1" x14ac:dyDescent="0.2">
      <c r="A2166" s="65">
        <v>2157</v>
      </c>
      <c r="B2166" s="60"/>
      <c r="C2166" s="117" t="s">
        <v>748</v>
      </c>
      <c r="D2166" s="118"/>
      <c r="E2166" s="119"/>
      <c r="F2166" s="124" t="s">
        <v>749</v>
      </c>
      <c r="G2166" s="124"/>
      <c r="H2166" s="115">
        <v>31.4</v>
      </c>
      <c r="I2166" s="116"/>
    </row>
    <row r="2167" spans="1:9" s="17" customFormat="1" ht="15" customHeight="1" x14ac:dyDescent="0.2">
      <c r="A2167" s="65">
        <v>2158</v>
      </c>
      <c r="B2167" s="60"/>
      <c r="C2167" s="130" t="s">
        <v>4168</v>
      </c>
      <c r="D2167" s="131"/>
      <c r="E2167" s="132"/>
      <c r="F2167" s="113" t="s">
        <v>133</v>
      </c>
      <c r="G2167" s="114"/>
      <c r="H2167" s="115">
        <v>11.8</v>
      </c>
      <c r="I2167" s="116"/>
    </row>
    <row r="2168" spans="1:9" s="17" customFormat="1" ht="15" customHeight="1" x14ac:dyDescent="0.2">
      <c r="A2168" s="65">
        <v>2159</v>
      </c>
      <c r="B2168" s="60"/>
      <c r="C2168" s="130" t="s">
        <v>1323</v>
      </c>
      <c r="D2168" s="131"/>
      <c r="E2168" s="132"/>
      <c r="F2168" s="113" t="s">
        <v>59</v>
      </c>
      <c r="G2168" s="114"/>
      <c r="H2168" s="115">
        <v>6</v>
      </c>
      <c r="I2168" s="116"/>
    </row>
    <row r="2169" spans="1:9" s="17" customFormat="1" ht="15" customHeight="1" x14ac:dyDescent="0.2">
      <c r="A2169" s="65">
        <v>2160</v>
      </c>
      <c r="B2169" s="60"/>
      <c r="C2169" s="130" t="s">
        <v>978</v>
      </c>
      <c r="D2169" s="131"/>
      <c r="E2169" s="132"/>
      <c r="F2169" s="113" t="s">
        <v>59</v>
      </c>
      <c r="G2169" s="114"/>
      <c r="H2169" s="115">
        <f>136.5-2.8-2.8-23.3-2.8-2.8</f>
        <v>101.99999999999999</v>
      </c>
      <c r="I2169" s="116"/>
    </row>
    <row r="2170" spans="1:9" s="17" customFormat="1" ht="12.75" customHeight="1" x14ac:dyDescent="0.2">
      <c r="A2170" s="65">
        <v>2161</v>
      </c>
      <c r="B2170" s="60" t="s">
        <v>2225</v>
      </c>
      <c r="C2170" s="117" t="s">
        <v>3516</v>
      </c>
      <c r="D2170" s="118"/>
      <c r="E2170" s="119"/>
      <c r="F2170" s="121" t="s">
        <v>80</v>
      </c>
      <c r="G2170" s="122"/>
      <c r="H2170" s="115">
        <v>275</v>
      </c>
      <c r="I2170" s="116"/>
    </row>
    <row r="2171" spans="1:9" s="17" customFormat="1" ht="12.75" customHeight="1" x14ac:dyDescent="0.2">
      <c r="A2171" s="65">
        <v>2162</v>
      </c>
      <c r="B2171" s="60"/>
      <c r="C2171" s="117" t="s">
        <v>3363</v>
      </c>
      <c r="D2171" s="118"/>
      <c r="E2171" s="119"/>
      <c r="F2171" s="121" t="s">
        <v>799</v>
      </c>
      <c r="G2171" s="122"/>
      <c r="H2171" s="115">
        <v>10.8</v>
      </c>
      <c r="I2171" s="116"/>
    </row>
    <row r="2172" spans="1:9" s="17" customFormat="1" ht="12.75" customHeight="1" x14ac:dyDescent="0.2">
      <c r="A2172" s="65">
        <v>2163</v>
      </c>
      <c r="B2172" s="60"/>
      <c r="C2172" s="117" t="s">
        <v>649</v>
      </c>
      <c r="D2172" s="118"/>
      <c r="E2172" s="119"/>
      <c r="F2172" s="124" t="s">
        <v>69</v>
      </c>
      <c r="G2172" s="124"/>
      <c r="H2172" s="115">
        <f>16.3+5.4-8.7</f>
        <v>13.000000000000004</v>
      </c>
      <c r="I2172" s="116"/>
    </row>
    <row r="2173" spans="1:9" s="17" customFormat="1" ht="12.75" customHeight="1" x14ac:dyDescent="0.2">
      <c r="A2173" s="65">
        <v>2164</v>
      </c>
      <c r="B2173" s="60"/>
      <c r="C2173" s="117" t="s">
        <v>1631</v>
      </c>
      <c r="D2173" s="118"/>
      <c r="E2173" s="119"/>
      <c r="F2173" s="124" t="s">
        <v>69</v>
      </c>
      <c r="G2173" s="124"/>
      <c r="H2173" s="115">
        <v>7.5</v>
      </c>
      <c r="I2173" s="116"/>
    </row>
    <row r="2174" spans="1:9" s="17" customFormat="1" ht="12.75" customHeight="1" x14ac:dyDescent="0.2">
      <c r="A2174" s="65">
        <v>2165</v>
      </c>
      <c r="B2174" s="60"/>
      <c r="C2174" s="117" t="s">
        <v>2410</v>
      </c>
      <c r="D2174" s="118"/>
      <c r="E2174" s="119"/>
      <c r="F2174" s="124" t="s">
        <v>672</v>
      </c>
      <c r="G2174" s="124"/>
      <c r="H2174" s="115">
        <f>20.4-12.3</f>
        <v>8.0999999999999979</v>
      </c>
      <c r="I2174" s="116"/>
    </row>
    <row r="2175" spans="1:9" s="17" customFormat="1" ht="15" customHeight="1" x14ac:dyDescent="0.2">
      <c r="A2175" s="65">
        <v>2166</v>
      </c>
      <c r="B2175" s="60"/>
      <c r="C2175" s="130" t="s">
        <v>3907</v>
      </c>
      <c r="D2175" s="131"/>
      <c r="E2175" s="132"/>
      <c r="F2175" s="113" t="s">
        <v>140</v>
      </c>
      <c r="G2175" s="114"/>
      <c r="H2175" s="115">
        <v>3.9</v>
      </c>
      <c r="I2175" s="116"/>
    </row>
    <row r="2176" spans="1:9" s="17" customFormat="1" ht="12.75" customHeight="1" x14ac:dyDescent="0.2">
      <c r="A2176" s="65">
        <v>2167</v>
      </c>
      <c r="B2176" s="60"/>
      <c r="C2176" s="160" t="s">
        <v>2010</v>
      </c>
      <c r="D2176" s="161"/>
      <c r="E2176" s="162"/>
      <c r="F2176" s="125" t="s">
        <v>76</v>
      </c>
      <c r="G2176" s="125"/>
      <c r="H2176" s="115">
        <f>9.3+10.9-9.3+13.7-10.9-2.7</f>
        <v>11</v>
      </c>
      <c r="I2176" s="116"/>
    </row>
    <row r="2177" spans="1:9" s="17" customFormat="1" ht="12.75" customHeight="1" x14ac:dyDescent="0.2">
      <c r="A2177" s="65">
        <v>2168</v>
      </c>
      <c r="B2177" s="60"/>
      <c r="C2177" s="128" t="s">
        <v>1944</v>
      </c>
      <c r="D2177" s="126"/>
      <c r="E2177" s="127"/>
      <c r="F2177" s="125" t="s">
        <v>76</v>
      </c>
      <c r="G2177" s="125"/>
      <c r="H2177" s="115">
        <f>51.6-6-4.9+1.8-3.5+5.5-1.8-5.5-6-6-3.5-3.9-3.3-0.2</f>
        <v>14.300000000000004</v>
      </c>
      <c r="I2177" s="116"/>
    </row>
    <row r="2178" spans="1:9" s="17" customFormat="1" ht="12.75" customHeight="1" x14ac:dyDescent="0.2">
      <c r="A2178" s="65">
        <v>2169</v>
      </c>
      <c r="B2178" s="60"/>
      <c r="C2178" s="128" t="s">
        <v>2169</v>
      </c>
      <c r="D2178" s="126"/>
      <c r="E2178" s="127"/>
      <c r="F2178" s="125" t="s">
        <v>76</v>
      </c>
      <c r="G2178" s="125"/>
      <c r="H2178" s="115">
        <v>33.700000000000003</v>
      </c>
      <c r="I2178" s="116"/>
    </row>
    <row r="2179" spans="1:9" s="17" customFormat="1" ht="11.25" x14ac:dyDescent="0.2">
      <c r="A2179" s="65">
        <v>2170</v>
      </c>
      <c r="B2179" s="60"/>
      <c r="C2179" s="128" t="s">
        <v>4167</v>
      </c>
      <c r="D2179" s="126"/>
      <c r="E2179" s="127"/>
      <c r="F2179" s="125" t="s">
        <v>76</v>
      </c>
      <c r="G2179" s="125"/>
      <c r="H2179" s="115">
        <f>16.5+9.2+11.3-16.5+13.8+13.2+14.2-14.2</f>
        <v>47.5</v>
      </c>
      <c r="I2179" s="116"/>
    </row>
    <row r="2180" spans="1:9" s="17" customFormat="1" ht="11.25" x14ac:dyDescent="0.2">
      <c r="A2180" s="65">
        <v>2171</v>
      </c>
      <c r="B2180" s="60"/>
      <c r="C2180" s="128" t="s">
        <v>3630</v>
      </c>
      <c r="D2180" s="126"/>
      <c r="E2180" s="127"/>
      <c r="F2180" s="125" t="s">
        <v>59</v>
      </c>
      <c r="G2180" s="125"/>
      <c r="H2180" s="115">
        <f>4.9+18-9.4+9.3-8.6+27.9+11.9+6.2-27.9+12.5+24.7+2.4-12.5-2.4-6.2-2-5.5-6.4</f>
        <v>36.900000000000006</v>
      </c>
      <c r="I2180" s="116"/>
    </row>
    <row r="2181" spans="1:9" s="17" customFormat="1" ht="11.25" x14ac:dyDescent="0.2">
      <c r="A2181" s="65">
        <v>2172</v>
      </c>
      <c r="B2181" s="60"/>
      <c r="C2181" s="128" t="s">
        <v>2195</v>
      </c>
      <c r="D2181" s="126"/>
      <c r="E2181" s="127"/>
      <c r="F2181" s="125" t="s">
        <v>59</v>
      </c>
      <c r="G2181" s="125"/>
      <c r="H2181" s="115">
        <v>65.900000000000006</v>
      </c>
      <c r="I2181" s="116"/>
    </row>
    <row r="2182" spans="1:9" s="17" customFormat="1" ht="12.75" customHeight="1" x14ac:dyDescent="0.2">
      <c r="A2182" s="65">
        <v>2173</v>
      </c>
      <c r="B2182" s="60" t="s">
        <v>3822</v>
      </c>
      <c r="C2182" s="128" t="s">
        <v>3998</v>
      </c>
      <c r="D2182" s="126"/>
      <c r="E2182" s="127"/>
      <c r="F2182" s="113" t="s">
        <v>57</v>
      </c>
      <c r="G2182" s="114"/>
      <c r="H2182" s="115">
        <v>23.6</v>
      </c>
      <c r="I2182" s="116"/>
    </row>
    <row r="2183" spans="1:9" s="17" customFormat="1" ht="12.75" customHeight="1" x14ac:dyDescent="0.2">
      <c r="A2183" s="65">
        <v>2174</v>
      </c>
      <c r="B2183" s="60"/>
      <c r="C2183" s="128" t="s">
        <v>398</v>
      </c>
      <c r="D2183" s="126"/>
      <c r="E2183" s="127"/>
      <c r="F2183" s="125" t="s">
        <v>29</v>
      </c>
      <c r="G2183" s="125"/>
      <c r="H2183" s="115"/>
      <c r="I2183" s="116"/>
    </row>
    <row r="2184" spans="1:9" s="17" customFormat="1" ht="12.75" customHeight="1" x14ac:dyDescent="0.2">
      <c r="A2184" s="65">
        <v>2175</v>
      </c>
      <c r="B2184" s="60"/>
      <c r="C2184" s="117" t="s">
        <v>2027</v>
      </c>
      <c r="D2184" s="118"/>
      <c r="E2184" s="119"/>
      <c r="F2184" s="124" t="s">
        <v>80</v>
      </c>
      <c r="G2184" s="124"/>
      <c r="H2184" s="115">
        <f>231.5+12+12-24-83.7-21-31.5-10.6-10.5+25-3.8-12-6.7</f>
        <v>76.700000000000017</v>
      </c>
      <c r="I2184" s="116"/>
    </row>
    <row r="2185" spans="1:9" s="17" customFormat="1" ht="12.75" customHeight="1" x14ac:dyDescent="0.2">
      <c r="A2185" s="65">
        <v>2176</v>
      </c>
      <c r="B2185" s="60"/>
      <c r="C2185" s="117" t="s">
        <v>1809</v>
      </c>
      <c r="D2185" s="118"/>
      <c r="E2185" s="119"/>
      <c r="F2185" s="124" t="s">
        <v>80</v>
      </c>
      <c r="G2185" s="124"/>
      <c r="H2185" s="115">
        <v>43</v>
      </c>
      <c r="I2185" s="116"/>
    </row>
    <row r="2186" spans="1:9" s="17" customFormat="1" ht="12.75" customHeight="1" x14ac:dyDescent="0.2">
      <c r="A2186" s="65">
        <v>2177</v>
      </c>
      <c r="B2186" s="60"/>
      <c r="C2186" s="117" t="s">
        <v>5141</v>
      </c>
      <c r="D2186" s="118"/>
      <c r="E2186" s="119"/>
      <c r="F2186" s="121" t="s">
        <v>153</v>
      </c>
      <c r="G2186" s="122"/>
      <c r="H2186" s="115">
        <f>88.7-4-13.5</f>
        <v>71.2</v>
      </c>
      <c r="I2186" s="116"/>
    </row>
    <row r="2187" spans="1:9" s="17" customFormat="1" x14ac:dyDescent="0.2">
      <c r="A2187" s="65">
        <v>2178</v>
      </c>
      <c r="B2187" s="60" t="s">
        <v>3656</v>
      </c>
      <c r="C2187" s="117" t="s">
        <v>4941</v>
      </c>
      <c r="D2187" s="118"/>
      <c r="E2187" s="119"/>
      <c r="F2187" s="121" t="s">
        <v>87</v>
      </c>
      <c r="G2187" s="122"/>
      <c r="H2187" s="115">
        <v>16.3</v>
      </c>
      <c r="I2187" s="116"/>
    </row>
    <row r="2188" spans="1:9" s="17" customFormat="1" ht="12.75" customHeight="1" x14ac:dyDescent="0.2">
      <c r="A2188" s="65">
        <v>2179</v>
      </c>
      <c r="B2188" s="60"/>
      <c r="C2188" s="117" t="s">
        <v>5101</v>
      </c>
      <c r="D2188" s="118"/>
      <c r="E2188" s="119"/>
      <c r="F2188" s="121" t="s">
        <v>5102</v>
      </c>
      <c r="G2188" s="122"/>
      <c r="H2188" s="115">
        <v>27.8</v>
      </c>
      <c r="I2188" s="116"/>
    </row>
    <row r="2189" spans="1:9" s="17" customFormat="1" ht="12.75" customHeight="1" x14ac:dyDescent="0.2">
      <c r="A2189" s="65">
        <v>2180</v>
      </c>
      <c r="B2189" s="60">
        <v>7</v>
      </c>
      <c r="C2189" s="117" t="s">
        <v>5103</v>
      </c>
      <c r="D2189" s="118"/>
      <c r="E2189" s="119"/>
      <c r="F2189" s="121" t="s">
        <v>5102</v>
      </c>
      <c r="G2189" s="122"/>
      <c r="H2189" s="115">
        <v>150</v>
      </c>
      <c r="I2189" s="116"/>
    </row>
    <row r="2190" spans="1:9" s="17" customFormat="1" ht="12.75" customHeight="1" x14ac:dyDescent="0.2">
      <c r="A2190" s="65">
        <v>2181</v>
      </c>
      <c r="B2190" s="60"/>
      <c r="C2190" s="117" t="s">
        <v>2032</v>
      </c>
      <c r="D2190" s="118"/>
      <c r="E2190" s="119"/>
      <c r="F2190" s="121" t="s">
        <v>6</v>
      </c>
      <c r="G2190" s="122"/>
      <c r="H2190" s="115">
        <f>16.5-6.3</f>
        <v>10.199999999999999</v>
      </c>
      <c r="I2190" s="116"/>
    </row>
    <row r="2191" spans="1:9" s="17" customFormat="1" ht="12.75" customHeight="1" x14ac:dyDescent="0.2">
      <c r="A2191" s="65">
        <v>2182</v>
      </c>
      <c r="B2191" s="60"/>
      <c r="C2191" s="128" t="s">
        <v>2897</v>
      </c>
      <c r="D2191" s="126"/>
      <c r="E2191" s="127"/>
      <c r="F2191" s="124" t="s">
        <v>2505</v>
      </c>
      <c r="G2191" s="124"/>
      <c r="H2191" s="115">
        <f>8.9-8.1</f>
        <v>0.80000000000000071</v>
      </c>
      <c r="I2191" s="116"/>
    </row>
    <row r="2192" spans="1:9" s="17" customFormat="1" ht="12.75" customHeight="1" x14ac:dyDescent="0.2">
      <c r="A2192" s="65">
        <v>2183</v>
      </c>
      <c r="B2192" s="60"/>
      <c r="C2192" s="117" t="s">
        <v>924</v>
      </c>
      <c r="D2192" s="118"/>
      <c r="E2192" s="119"/>
      <c r="F2192" s="121" t="s">
        <v>925</v>
      </c>
      <c r="G2192" s="122"/>
      <c r="H2192" s="115">
        <v>22.5</v>
      </c>
      <c r="I2192" s="116"/>
    </row>
    <row r="2193" spans="1:9" s="17" customFormat="1" ht="12.75" customHeight="1" x14ac:dyDescent="0.2">
      <c r="A2193" s="65">
        <v>2184</v>
      </c>
      <c r="B2193" s="60"/>
      <c r="C2193" s="128" t="s">
        <v>249</v>
      </c>
      <c r="D2193" s="126"/>
      <c r="E2193" s="127"/>
      <c r="F2193" s="121" t="s">
        <v>212</v>
      </c>
      <c r="G2193" s="122"/>
      <c r="H2193" s="140">
        <v>13.7</v>
      </c>
      <c r="I2193" s="141"/>
    </row>
    <row r="2194" spans="1:9" s="17" customFormat="1" ht="12.75" customHeight="1" x14ac:dyDescent="0.2">
      <c r="A2194" s="65">
        <v>2185</v>
      </c>
      <c r="B2194" s="60"/>
      <c r="C2194" s="117" t="s">
        <v>572</v>
      </c>
      <c r="D2194" s="118"/>
      <c r="E2194" s="119"/>
      <c r="F2194" s="121" t="s">
        <v>43</v>
      </c>
      <c r="G2194" s="122"/>
      <c r="H2194" s="115">
        <v>50.4</v>
      </c>
      <c r="I2194" s="116"/>
    </row>
    <row r="2195" spans="1:9" s="17" customFormat="1" ht="12.75" customHeight="1" x14ac:dyDescent="0.2">
      <c r="A2195" s="65">
        <v>2186</v>
      </c>
      <c r="B2195" s="60"/>
      <c r="C2195" s="128" t="s">
        <v>1839</v>
      </c>
      <c r="D2195" s="126"/>
      <c r="E2195" s="127"/>
      <c r="F2195" s="121" t="s">
        <v>109</v>
      </c>
      <c r="G2195" s="122"/>
      <c r="H2195" s="140">
        <f>15.7-2.3-0.2</f>
        <v>13.2</v>
      </c>
      <c r="I2195" s="141"/>
    </row>
    <row r="2196" spans="1:9" s="17" customFormat="1" ht="12.75" customHeight="1" x14ac:dyDescent="0.2">
      <c r="A2196" s="65">
        <v>2187</v>
      </c>
      <c r="B2196" s="60"/>
      <c r="C2196" s="117" t="s">
        <v>1724</v>
      </c>
      <c r="D2196" s="118"/>
      <c r="E2196" s="119"/>
      <c r="F2196" s="121" t="s">
        <v>2</v>
      </c>
      <c r="G2196" s="122"/>
      <c r="H2196" s="115">
        <f>18.8+6.7-6.4+0.1-6.7+14.8-7</f>
        <v>20.300000000000004</v>
      </c>
      <c r="I2196" s="116"/>
    </row>
    <row r="2197" spans="1:9" s="17" customFormat="1" ht="12.75" customHeight="1" x14ac:dyDescent="0.2">
      <c r="A2197" s="65">
        <v>2188</v>
      </c>
      <c r="B2197" s="60"/>
      <c r="C2197" s="130" t="s">
        <v>2086</v>
      </c>
      <c r="D2197" s="131"/>
      <c r="E2197" s="132"/>
      <c r="F2197" s="113" t="s">
        <v>76</v>
      </c>
      <c r="G2197" s="114"/>
      <c r="H2197" s="115">
        <v>21.7</v>
      </c>
      <c r="I2197" s="116"/>
    </row>
    <row r="2198" spans="1:9" s="17" customFormat="1" ht="12.75" customHeight="1" x14ac:dyDescent="0.2">
      <c r="A2198" s="65">
        <v>2189</v>
      </c>
      <c r="B2198" s="60"/>
      <c r="C2198" s="117" t="s">
        <v>1365</v>
      </c>
      <c r="D2198" s="118"/>
      <c r="E2198" s="119"/>
      <c r="F2198" s="113" t="s">
        <v>76</v>
      </c>
      <c r="G2198" s="114"/>
      <c r="H2198" s="115">
        <v>21.6</v>
      </c>
      <c r="I2198" s="116"/>
    </row>
    <row r="2199" spans="1:9" s="17" customFormat="1" ht="12.75" customHeight="1" x14ac:dyDescent="0.2">
      <c r="A2199" s="65">
        <v>2190</v>
      </c>
      <c r="B2199" s="60"/>
      <c r="C2199" s="117" t="s">
        <v>227</v>
      </c>
      <c r="D2199" s="118"/>
      <c r="E2199" s="119"/>
      <c r="F2199" s="113" t="s">
        <v>76</v>
      </c>
      <c r="G2199" s="114"/>
      <c r="H2199" s="115"/>
      <c r="I2199" s="116"/>
    </row>
    <row r="2200" spans="1:9" s="17" customFormat="1" ht="12.75" customHeight="1" x14ac:dyDescent="0.2">
      <c r="A2200" s="65">
        <v>2191</v>
      </c>
      <c r="B2200" s="60"/>
      <c r="C2200" s="130" t="s">
        <v>1599</v>
      </c>
      <c r="D2200" s="131"/>
      <c r="E2200" s="132"/>
      <c r="F2200" s="113" t="s">
        <v>59</v>
      </c>
      <c r="G2200" s="114"/>
      <c r="H2200" s="115">
        <v>13.4</v>
      </c>
      <c r="I2200" s="116"/>
    </row>
    <row r="2201" spans="1:9" s="17" customFormat="1" ht="12.75" customHeight="1" x14ac:dyDescent="0.2">
      <c r="A2201" s="65">
        <v>2192</v>
      </c>
      <c r="B2201" s="60"/>
      <c r="C2201" s="117" t="s">
        <v>237</v>
      </c>
      <c r="D2201" s="118"/>
      <c r="E2201" s="119"/>
      <c r="F2201" s="158" t="s">
        <v>212</v>
      </c>
      <c r="G2201" s="159"/>
      <c r="H2201" s="115">
        <v>47.1</v>
      </c>
      <c r="I2201" s="116"/>
    </row>
    <row r="2202" spans="1:9" s="17" customFormat="1" ht="12.75" customHeight="1" x14ac:dyDescent="0.2">
      <c r="A2202" s="65">
        <v>2193</v>
      </c>
      <c r="B2202" s="60"/>
      <c r="C2202" s="128" t="s">
        <v>415</v>
      </c>
      <c r="D2202" s="126"/>
      <c r="E2202" s="127"/>
      <c r="F2202" s="121" t="s">
        <v>212</v>
      </c>
      <c r="G2202" s="122"/>
      <c r="H2202" s="140">
        <v>16.5</v>
      </c>
      <c r="I2202" s="141"/>
    </row>
    <row r="2203" spans="1:9" s="17" customFormat="1" ht="12.75" customHeight="1" x14ac:dyDescent="0.2">
      <c r="A2203" s="65">
        <v>2194</v>
      </c>
      <c r="B2203" s="60"/>
      <c r="C2203" s="130" t="s">
        <v>2978</v>
      </c>
      <c r="D2203" s="131"/>
      <c r="E2203" s="132"/>
      <c r="F2203" s="113" t="s">
        <v>29</v>
      </c>
      <c r="G2203" s="114"/>
      <c r="H2203" s="115">
        <v>7.9</v>
      </c>
      <c r="I2203" s="116"/>
    </row>
    <row r="2204" spans="1:9" s="17" customFormat="1" ht="12.75" customHeight="1" x14ac:dyDescent="0.2">
      <c r="A2204" s="65">
        <v>2195</v>
      </c>
      <c r="B2204" s="60"/>
      <c r="C2204" s="130" t="s">
        <v>1590</v>
      </c>
      <c r="D2204" s="131"/>
      <c r="E2204" s="132"/>
      <c r="F2204" s="113" t="s">
        <v>59</v>
      </c>
      <c r="G2204" s="114"/>
      <c r="H2204" s="115">
        <f>17.4-8.4</f>
        <v>8.9999999999999982</v>
      </c>
      <c r="I2204" s="116"/>
    </row>
    <row r="2205" spans="1:9" s="17" customFormat="1" ht="15" customHeight="1" x14ac:dyDescent="0.2">
      <c r="A2205" s="65">
        <v>2196</v>
      </c>
      <c r="B2205" s="60"/>
      <c r="C2205" s="130" t="s">
        <v>1636</v>
      </c>
      <c r="D2205" s="131"/>
      <c r="E2205" s="132"/>
      <c r="F2205" s="113" t="s">
        <v>29</v>
      </c>
      <c r="G2205" s="114"/>
      <c r="H2205" s="115">
        <v>46.2</v>
      </c>
      <c r="I2205" s="116"/>
    </row>
    <row r="2206" spans="1:9" s="17" customFormat="1" ht="21.75" customHeight="1" x14ac:dyDescent="0.2">
      <c r="A2206" s="65">
        <v>2197</v>
      </c>
      <c r="B2206" s="60"/>
      <c r="C2206" s="130" t="s">
        <v>681</v>
      </c>
      <c r="D2206" s="131"/>
      <c r="E2206" s="132"/>
      <c r="F2206" s="113" t="s">
        <v>76</v>
      </c>
      <c r="G2206" s="114"/>
      <c r="H2206" s="115">
        <f>7.1+26-26+3.6</f>
        <v>10.700000000000001</v>
      </c>
      <c r="I2206" s="116"/>
    </row>
    <row r="2207" spans="1:9" s="17" customFormat="1" ht="29.25" customHeight="1" x14ac:dyDescent="0.2">
      <c r="A2207" s="65">
        <v>2198</v>
      </c>
      <c r="B2207" s="60"/>
      <c r="C2207" s="130" t="s">
        <v>2894</v>
      </c>
      <c r="D2207" s="131"/>
      <c r="E2207" s="132"/>
      <c r="F2207" s="113" t="s">
        <v>59</v>
      </c>
      <c r="G2207" s="114"/>
      <c r="H2207" s="115">
        <f>47.9+7.2+32.3+78.3+101-2-2.4-3.6</f>
        <v>258.7</v>
      </c>
      <c r="I2207" s="116"/>
    </row>
    <row r="2208" spans="1:9" s="17" customFormat="1" ht="12.75" customHeight="1" x14ac:dyDescent="0.2">
      <c r="A2208" s="65">
        <v>2199</v>
      </c>
      <c r="B2208" s="60"/>
      <c r="C2208" s="117" t="s">
        <v>2310</v>
      </c>
      <c r="D2208" s="118"/>
      <c r="E2208" s="119"/>
      <c r="F2208" s="121" t="s">
        <v>80</v>
      </c>
      <c r="G2208" s="122"/>
      <c r="H2208" s="115">
        <f>86.7+28.2+14.2-8.7-5.5-28.5-28.2-14.2</f>
        <v>43.999999999999986</v>
      </c>
      <c r="I2208" s="116"/>
    </row>
    <row r="2209" spans="1:9" s="17" customFormat="1" ht="12.75" customHeight="1" x14ac:dyDescent="0.2">
      <c r="A2209" s="65">
        <v>2200</v>
      </c>
      <c r="B2209" s="60"/>
      <c r="C2209" s="117" t="s">
        <v>877</v>
      </c>
      <c r="D2209" s="118"/>
      <c r="E2209" s="119"/>
      <c r="F2209" s="124" t="s">
        <v>69</v>
      </c>
      <c r="G2209" s="124"/>
      <c r="H2209" s="115">
        <v>5</v>
      </c>
      <c r="I2209" s="116"/>
    </row>
    <row r="2210" spans="1:9" s="17" customFormat="1" ht="12.75" customHeight="1" x14ac:dyDescent="0.2">
      <c r="A2210" s="65">
        <v>2201</v>
      </c>
      <c r="B2210" s="60"/>
      <c r="C2210" s="117" t="s">
        <v>2981</v>
      </c>
      <c r="D2210" s="118"/>
      <c r="E2210" s="119"/>
      <c r="F2210" s="124" t="s">
        <v>892</v>
      </c>
      <c r="G2210" s="124"/>
      <c r="H2210" s="115">
        <v>35.200000000000003</v>
      </c>
      <c r="I2210" s="116"/>
    </row>
    <row r="2211" spans="1:9" s="17" customFormat="1" ht="12.75" customHeight="1" x14ac:dyDescent="0.2">
      <c r="A2211" s="65">
        <v>2202</v>
      </c>
      <c r="B2211" s="60"/>
      <c r="C2211" s="130" t="s">
        <v>782</v>
      </c>
      <c r="D2211" s="131"/>
      <c r="E2211" s="132"/>
      <c r="F2211" s="113" t="s">
        <v>29</v>
      </c>
      <c r="G2211" s="114"/>
      <c r="H2211" s="115">
        <v>24</v>
      </c>
      <c r="I2211" s="116"/>
    </row>
    <row r="2212" spans="1:9" s="17" customFormat="1" ht="15" customHeight="1" x14ac:dyDescent="0.2">
      <c r="A2212" s="65">
        <v>2203</v>
      </c>
      <c r="B2212" s="60"/>
      <c r="C2212" s="130" t="s">
        <v>1087</v>
      </c>
      <c r="D2212" s="131"/>
      <c r="E2212" s="132"/>
      <c r="F2212" s="113" t="s">
        <v>59</v>
      </c>
      <c r="G2212" s="114"/>
      <c r="H2212" s="115">
        <v>13.2</v>
      </c>
      <c r="I2212" s="116"/>
    </row>
    <row r="2213" spans="1:9" s="17" customFormat="1" ht="12.75" customHeight="1" x14ac:dyDescent="0.2">
      <c r="A2213" s="65">
        <v>2204</v>
      </c>
      <c r="B2213" s="60"/>
      <c r="C2213" s="128" t="s">
        <v>4575</v>
      </c>
      <c r="D2213" s="126"/>
      <c r="E2213" s="127"/>
      <c r="F2213" s="125" t="s">
        <v>140</v>
      </c>
      <c r="G2213" s="125"/>
      <c r="H2213" s="115">
        <v>62.8</v>
      </c>
      <c r="I2213" s="116"/>
    </row>
    <row r="2214" spans="1:9" s="17" customFormat="1" ht="35.25" customHeight="1" x14ac:dyDescent="0.2">
      <c r="A2214" s="65">
        <v>2205</v>
      </c>
      <c r="B2214" s="60"/>
      <c r="C2214" s="130" t="s">
        <v>3760</v>
      </c>
      <c r="D2214" s="131"/>
      <c r="E2214" s="132"/>
      <c r="F2214" s="113" t="s">
        <v>29</v>
      </c>
      <c r="G2214" s="114"/>
      <c r="H2214" s="115">
        <f>7.2+93-19.8-16.3+13-16.3-32+0.5+78.5-6.7+13.4+13+5.9+43.6+43.8-43.6-15.7-43.8-15.6-15.7-15.7+10.5+34.7-13+11.5-15.8+47+9.5+9.3+8.7+23.2+9-11.5+19+18.2-94-16.3-53.4+11.2+52-9.3-8.7+40.7+7.6-6.3+33.1+27.8-18.6+24.6+11.5-78.4+25.5+13-66.2-7.6+68.6-9.1-9.1+14.2+17+11.6-30-20.6+12.9+25.6-17-9.5-14.2+16.6+21.4-11.2+21.7-43.1+10.6+15-65-5.9-10.6</f>
        <v>109.09999999999997</v>
      </c>
      <c r="I2214" s="116"/>
    </row>
    <row r="2215" spans="1:9" s="17" customFormat="1" ht="15" customHeight="1" x14ac:dyDescent="0.2">
      <c r="A2215" s="65">
        <v>2206</v>
      </c>
      <c r="B2215" s="60"/>
      <c r="C2215" s="130" t="s">
        <v>2707</v>
      </c>
      <c r="D2215" s="131"/>
      <c r="E2215" s="132"/>
      <c r="F2215" s="113" t="s">
        <v>29</v>
      </c>
      <c r="G2215" s="114"/>
      <c r="H2215" s="115">
        <v>15</v>
      </c>
      <c r="I2215" s="116"/>
    </row>
    <row r="2216" spans="1:9" s="17" customFormat="1" ht="15" customHeight="1" x14ac:dyDescent="0.2">
      <c r="A2216" s="65">
        <v>2207</v>
      </c>
      <c r="B2216" s="60"/>
      <c r="C2216" s="130" t="s">
        <v>3073</v>
      </c>
      <c r="D2216" s="131"/>
      <c r="E2216" s="132"/>
      <c r="F2216" s="113" t="s">
        <v>140</v>
      </c>
      <c r="G2216" s="114"/>
      <c r="H2216" s="115">
        <f>49.2-18-16</f>
        <v>15.200000000000003</v>
      </c>
      <c r="I2216" s="116"/>
    </row>
    <row r="2217" spans="1:9" s="17" customFormat="1" ht="15" customHeight="1" x14ac:dyDescent="0.2">
      <c r="A2217" s="65">
        <v>2208</v>
      </c>
      <c r="B2217" s="60"/>
      <c r="C2217" s="130" t="s">
        <v>4098</v>
      </c>
      <c r="D2217" s="131"/>
      <c r="E2217" s="132"/>
      <c r="F2217" s="113" t="s">
        <v>140</v>
      </c>
      <c r="G2217" s="114"/>
      <c r="H2217" s="115">
        <f>218.7-32-92</f>
        <v>94.699999999999989</v>
      </c>
      <c r="I2217" s="116"/>
    </row>
    <row r="2218" spans="1:9" s="17" customFormat="1" ht="12.75" customHeight="1" x14ac:dyDescent="0.2">
      <c r="A2218" s="65">
        <v>2209</v>
      </c>
      <c r="B2218" s="60"/>
      <c r="C2218" s="130" t="s">
        <v>3587</v>
      </c>
      <c r="D2218" s="131"/>
      <c r="E2218" s="132"/>
      <c r="F2218" s="113" t="s">
        <v>140</v>
      </c>
      <c r="G2218" s="114"/>
      <c r="H2218" s="115">
        <f>95+32.6-14.7+0.1</f>
        <v>112.99999999999999</v>
      </c>
      <c r="I2218" s="116"/>
    </row>
    <row r="2219" spans="1:9" s="17" customFormat="1" ht="15" customHeight="1" x14ac:dyDescent="0.2">
      <c r="A2219" s="65">
        <v>2210</v>
      </c>
      <c r="B2219" s="60"/>
      <c r="C2219" s="130" t="s">
        <v>2263</v>
      </c>
      <c r="D2219" s="131"/>
      <c r="E2219" s="132"/>
      <c r="F2219" s="113" t="s">
        <v>29</v>
      </c>
      <c r="G2219" s="114"/>
      <c r="H2219" s="115">
        <v>26.3</v>
      </c>
      <c r="I2219" s="116"/>
    </row>
    <row r="2220" spans="1:9" s="17" customFormat="1" ht="11.25" x14ac:dyDescent="0.2">
      <c r="A2220" s="65">
        <v>2211</v>
      </c>
      <c r="B2220" s="60"/>
      <c r="C2220" s="130" t="s">
        <v>5396</v>
      </c>
      <c r="D2220" s="131"/>
      <c r="E2220" s="132"/>
      <c r="F2220" s="113" t="s">
        <v>29</v>
      </c>
      <c r="G2220" s="114"/>
      <c r="H2220" s="115">
        <f>10.7+285.8-6.3-4.7-119-12.7-6.3+4.8+6.6+9-5.6+6.8-11.1-5.3</f>
        <v>152.70000000000002</v>
      </c>
      <c r="I2220" s="116"/>
    </row>
    <row r="2221" spans="1:9" s="17" customFormat="1" ht="15" customHeight="1" x14ac:dyDescent="0.2">
      <c r="A2221" s="65">
        <v>2212</v>
      </c>
      <c r="B2221" s="60"/>
      <c r="C2221" s="130" t="s">
        <v>5395</v>
      </c>
      <c r="D2221" s="131"/>
      <c r="E2221" s="132"/>
      <c r="F2221" s="113" t="s">
        <v>29</v>
      </c>
      <c r="G2221" s="114"/>
      <c r="H2221" s="115">
        <f>5.2+33.8+4.7-2.6+5+5.2-2.6-4.7+22.7+5.5+6.9-3.5+5.1+2.2-5.5-5-6.9-12.5-5.7+3.1-5.1-10.2-3.5+2.4-2.6-10-2.2+2.8-6.6-3.1-2.4-2.8+3+53.3-3-2.8+5.5-4-3.1-2.7-4.1-4.6-5.5</f>
        <v>39.099999999999987</v>
      </c>
      <c r="I2221" s="116"/>
    </row>
    <row r="2222" spans="1:9" s="17" customFormat="1" ht="15" customHeight="1" x14ac:dyDescent="0.2">
      <c r="A2222" s="65">
        <v>2213</v>
      </c>
      <c r="B2222" s="60"/>
      <c r="C2222" s="130" t="s">
        <v>3756</v>
      </c>
      <c r="D2222" s="131"/>
      <c r="E2222" s="132"/>
      <c r="F2222" s="113" t="s">
        <v>59</v>
      </c>
      <c r="G2222" s="114"/>
      <c r="H2222" s="115">
        <f>12.7+15.4+7.2-12.7-15.4</f>
        <v>7.2000000000000046</v>
      </c>
      <c r="I2222" s="116"/>
    </row>
    <row r="2223" spans="1:9" s="17" customFormat="1" ht="15" customHeight="1" x14ac:dyDescent="0.2">
      <c r="A2223" s="65">
        <v>2214</v>
      </c>
      <c r="B2223" s="60"/>
      <c r="C2223" s="130" t="s">
        <v>2230</v>
      </c>
      <c r="D2223" s="131"/>
      <c r="E2223" s="132"/>
      <c r="F2223" s="113" t="s">
        <v>59</v>
      </c>
      <c r="G2223" s="114"/>
      <c r="H2223" s="115">
        <f>4.5+4.6+4.3+3.9-3.9</f>
        <v>13.399999999999997</v>
      </c>
      <c r="I2223" s="116"/>
    </row>
    <row r="2224" spans="1:9" s="17" customFormat="1" ht="15" customHeight="1" x14ac:dyDescent="0.2">
      <c r="A2224" s="65">
        <v>2215</v>
      </c>
      <c r="B2224" s="60"/>
      <c r="C2224" s="130" t="s">
        <v>2261</v>
      </c>
      <c r="D2224" s="131"/>
      <c r="E2224" s="132"/>
      <c r="F2224" s="113" t="s">
        <v>29</v>
      </c>
      <c r="G2224" s="114"/>
      <c r="H2224" s="115">
        <f>48+11.7</f>
        <v>59.7</v>
      </c>
      <c r="I2224" s="116"/>
    </row>
    <row r="2225" spans="1:9" s="17" customFormat="1" ht="12.75" customHeight="1" x14ac:dyDescent="0.2">
      <c r="A2225" s="65">
        <v>2216</v>
      </c>
      <c r="B2225" s="60"/>
      <c r="C2225" s="117" t="s">
        <v>997</v>
      </c>
      <c r="D2225" s="118"/>
      <c r="E2225" s="119"/>
      <c r="F2225" s="113" t="s">
        <v>76</v>
      </c>
      <c r="G2225" s="114"/>
      <c r="H2225" s="115">
        <v>3.4</v>
      </c>
      <c r="I2225" s="116"/>
    </row>
    <row r="2226" spans="1:9" s="16" customFormat="1" ht="15.75" customHeight="1" x14ac:dyDescent="0.2">
      <c r="A2226" s="65">
        <v>2217</v>
      </c>
      <c r="B2226" s="78"/>
      <c r="C2226" s="175" t="s">
        <v>1340</v>
      </c>
      <c r="D2226" s="176"/>
      <c r="E2226" s="177"/>
      <c r="F2226" s="121" t="s">
        <v>521</v>
      </c>
      <c r="G2226" s="122"/>
      <c r="H2226" s="155">
        <v>12.8</v>
      </c>
      <c r="I2226" s="156"/>
    </row>
    <row r="2227" spans="1:9" s="17" customFormat="1" x14ac:dyDescent="0.2">
      <c r="A2227" s="65">
        <v>2218</v>
      </c>
      <c r="B2227" s="60"/>
      <c r="C2227" s="117" t="s">
        <v>4369</v>
      </c>
      <c r="D2227" s="118"/>
      <c r="E2227" s="119"/>
      <c r="F2227" s="121" t="s">
        <v>80</v>
      </c>
      <c r="G2227" s="122"/>
      <c r="H2227" s="115">
        <f>176.4-45.7-44.5+22.8+92.4-42.5-1.2-89.9+161.4-8-14.2-14.8-19.4+82-8.8-8.4-15.1+133.4-11.2-44-15.2-89.8-28.4-14.3-6.1</f>
        <v>146.89999999999998</v>
      </c>
      <c r="I2227" s="116"/>
    </row>
    <row r="2228" spans="1:9" s="17" customFormat="1" ht="12.75" customHeight="1" x14ac:dyDescent="0.2">
      <c r="A2228" s="65">
        <v>2219</v>
      </c>
      <c r="B2228" s="60">
        <v>6</v>
      </c>
      <c r="C2228" s="117" t="s">
        <v>2046</v>
      </c>
      <c r="D2228" s="118"/>
      <c r="E2228" s="119"/>
      <c r="F2228" s="121" t="s">
        <v>80</v>
      </c>
      <c r="G2228" s="122"/>
      <c r="H2228" s="115">
        <f>1880-225-82-133-540</f>
        <v>900</v>
      </c>
      <c r="I2228" s="116"/>
    </row>
    <row r="2229" spans="1:9" s="17" customFormat="1" ht="12.75" customHeight="1" x14ac:dyDescent="0.2">
      <c r="A2229" s="65">
        <v>2220</v>
      </c>
      <c r="B2229" s="60"/>
      <c r="C2229" s="117" t="s">
        <v>2103</v>
      </c>
      <c r="D2229" s="118"/>
      <c r="E2229" s="119"/>
      <c r="F2229" s="121" t="s">
        <v>479</v>
      </c>
      <c r="G2229" s="122"/>
      <c r="H2229" s="115">
        <f>94-15.3</f>
        <v>78.7</v>
      </c>
      <c r="I2229" s="116"/>
    </row>
    <row r="2230" spans="1:9" s="17" customFormat="1" x14ac:dyDescent="0.2">
      <c r="A2230" s="65">
        <v>2221</v>
      </c>
      <c r="B2230" s="60"/>
      <c r="C2230" s="117" t="s">
        <v>3509</v>
      </c>
      <c r="D2230" s="118"/>
      <c r="E2230" s="119"/>
      <c r="F2230" s="121" t="s">
        <v>87</v>
      </c>
      <c r="G2230" s="122"/>
      <c r="H2230" s="115">
        <f>244-15.2-42.7-3.1-15.2-22-4</f>
        <v>141.80000000000004</v>
      </c>
      <c r="I2230" s="116"/>
    </row>
    <row r="2231" spans="1:9" s="17" customFormat="1" x14ac:dyDescent="0.2">
      <c r="A2231" s="65">
        <v>2222</v>
      </c>
      <c r="B2231" s="60" t="s">
        <v>2225</v>
      </c>
      <c r="C2231" s="117" t="s">
        <v>3973</v>
      </c>
      <c r="D2231" s="118"/>
      <c r="E2231" s="119"/>
      <c r="F2231" s="121" t="s">
        <v>87</v>
      </c>
      <c r="G2231" s="122"/>
      <c r="H2231" s="115">
        <v>36.1</v>
      </c>
      <c r="I2231" s="116"/>
    </row>
    <row r="2232" spans="1:9" s="17" customFormat="1" ht="12.75" customHeight="1" x14ac:dyDescent="0.2">
      <c r="A2232" s="65">
        <v>2223</v>
      </c>
      <c r="B2232" s="60"/>
      <c r="C2232" s="117" t="s">
        <v>3207</v>
      </c>
      <c r="D2232" s="118"/>
      <c r="E2232" s="119"/>
      <c r="F2232" s="124" t="s">
        <v>55</v>
      </c>
      <c r="G2232" s="124"/>
      <c r="H2232" s="115">
        <f>288-3.5+38.8-4.8-19-94.2-19.6</f>
        <v>185.70000000000002</v>
      </c>
      <c r="I2232" s="116"/>
    </row>
    <row r="2233" spans="1:9" s="17" customFormat="1" ht="12.75" customHeight="1" x14ac:dyDescent="0.2">
      <c r="A2233" s="65">
        <v>2224</v>
      </c>
      <c r="B2233" s="60"/>
      <c r="C2233" s="117" t="s">
        <v>1627</v>
      </c>
      <c r="D2233" s="118"/>
      <c r="E2233" s="119"/>
      <c r="F2233" s="124" t="s">
        <v>55</v>
      </c>
      <c r="G2233" s="124"/>
      <c r="H2233" s="115">
        <v>43.5</v>
      </c>
      <c r="I2233" s="116"/>
    </row>
    <row r="2234" spans="1:9" s="17" customFormat="1" ht="12.75" customHeight="1" x14ac:dyDescent="0.2">
      <c r="A2234" s="65">
        <v>2225</v>
      </c>
      <c r="B2234" s="60"/>
      <c r="C2234" s="128" t="s">
        <v>684</v>
      </c>
      <c r="D2234" s="126"/>
      <c r="E2234" s="127"/>
      <c r="F2234" s="121" t="s">
        <v>102</v>
      </c>
      <c r="G2234" s="122"/>
      <c r="H2234" s="140">
        <f>36+34.7-17.4</f>
        <v>53.300000000000004</v>
      </c>
      <c r="I2234" s="141"/>
    </row>
    <row r="2235" spans="1:9" s="17" customFormat="1" ht="12.75" customHeight="1" x14ac:dyDescent="0.2">
      <c r="A2235" s="65">
        <v>2226</v>
      </c>
      <c r="B2235" s="60"/>
      <c r="C2235" s="128" t="s">
        <v>826</v>
      </c>
      <c r="D2235" s="126"/>
      <c r="E2235" s="127"/>
      <c r="F2235" s="124" t="s">
        <v>482</v>
      </c>
      <c r="G2235" s="124"/>
      <c r="H2235" s="115">
        <v>12</v>
      </c>
      <c r="I2235" s="116"/>
    </row>
    <row r="2236" spans="1:9" s="17" customFormat="1" ht="12.75" customHeight="1" x14ac:dyDescent="0.2">
      <c r="A2236" s="65">
        <v>2227</v>
      </c>
      <c r="B2236" s="60"/>
      <c r="C2236" s="112" t="s">
        <v>1067</v>
      </c>
      <c r="D2236" s="112"/>
      <c r="E2236" s="112"/>
      <c r="F2236" s="124" t="s">
        <v>200</v>
      </c>
      <c r="G2236" s="124"/>
      <c r="H2236" s="115">
        <v>10.7</v>
      </c>
      <c r="I2236" s="116"/>
    </row>
    <row r="2237" spans="1:9" s="23" customFormat="1" ht="12.75" customHeight="1" x14ac:dyDescent="0.2">
      <c r="A2237" s="65">
        <v>2228</v>
      </c>
      <c r="B2237" s="60"/>
      <c r="C2237" s="117" t="s">
        <v>2356</v>
      </c>
      <c r="D2237" s="118"/>
      <c r="E2237" s="119"/>
      <c r="F2237" s="124" t="s">
        <v>85</v>
      </c>
      <c r="G2237" s="124"/>
      <c r="H2237" s="115">
        <v>78</v>
      </c>
      <c r="I2237" s="116"/>
    </row>
    <row r="2238" spans="1:9" s="23" customFormat="1" ht="12.75" customHeight="1" x14ac:dyDescent="0.2">
      <c r="A2238" s="65">
        <v>2229</v>
      </c>
      <c r="B2238" s="60"/>
      <c r="C2238" s="117" t="s">
        <v>2391</v>
      </c>
      <c r="D2238" s="118"/>
      <c r="E2238" s="119"/>
      <c r="F2238" s="124" t="s">
        <v>85</v>
      </c>
      <c r="G2238" s="124"/>
      <c r="H2238" s="115">
        <v>21</v>
      </c>
      <c r="I2238" s="116"/>
    </row>
    <row r="2239" spans="1:9" s="23" customFormat="1" ht="12.75" customHeight="1" x14ac:dyDescent="0.2">
      <c r="A2239" s="65">
        <v>2230</v>
      </c>
      <c r="B2239" s="60"/>
      <c r="C2239" s="117" t="s">
        <v>1461</v>
      </c>
      <c r="D2239" s="118"/>
      <c r="E2239" s="119"/>
      <c r="F2239" s="124" t="s">
        <v>85</v>
      </c>
      <c r="G2239" s="124"/>
      <c r="H2239" s="115">
        <v>13.6</v>
      </c>
      <c r="I2239" s="116"/>
    </row>
    <row r="2240" spans="1:9" s="17" customFormat="1" ht="12.75" customHeight="1" x14ac:dyDescent="0.2">
      <c r="A2240" s="65">
        <v>2231</v>
      </c>
      <c r="B2240" s="60"/>
      <c r="C2240" s="117" t="s">
        <v>2547</v>
      </c>
      <c r="D2240" s="118"/>
      <c r="E2240" s="119"/>
      <c r="F2240" s="124" t="s">
        <v>2548</v>
      </c>
      <c r="G2240" s="124"/>
      <c r="H2240" s="115">
        <v>6.7</v>
      </c>
      <c r="I2240" s="116"/>
    </row>
    <row r="2241" spans="1:9" s="17" customFormat="1" ht="12.75" customHeight="1" x14ac:dyDescent="0.2">
      <c r="A2241" s="65">
        <v>2232</v>
      </c>
      <c r="B2241" s="60"/>
      <c r="C2241" s="117" t="s">
        <v>2154</v>
      </c>
      <c r="D2241" s="118"/>
      <c r="E2241" s="119"/>
      <c r="F2241" s="121" t="s">
        <v>799</v>
      </c>
      <c r="G2241" s="122"/>
      <c r="H2241" s="115">
        <f>33.3+58+23.4+152.5+9.4+29.2-5-3.2-124-10</f>
        <v>163.59999999999997</v>
      </c>
      <c r="I2241" s="116"/>
    </row>
    <row r="2242" spans="1:9" s="17" customFormat="1" ht="12.75" customHeight="1" x14ac:dyDescent="0.2">
      <c r="A2242" s="65">
        <v>2233</v>
      </c>
      <c r="B2242" s="60"/>
      <c r="C2242" s="128" t="s">
        <v>2987</v>
      </c>
      <c r="D2242" s="126"/>
      <c r="E2242" s="127"/>
      <c r="F2242" s="124" t="s">
        <v>31</v>
      </c>
      <c r="G2242" s="124"/>
      <c r="H2242" s="115">
        <f>16.6+13.2-16.6</f>
        <v>13.2</v>
      </c>
      <c r="I2242" s="116"/>
    </row>
    <row r="2243" spans="1:9" s="17" customFormat="1" ht="12.75" customHeight="1" x14ac:dyDescent="0.2">
      <c r="A2243" s="65">
        <v>2234</v>
      </c>
      <c r="B2243" s="60"/>
      <c r="C2243" s="117" t="s">
        <v>1957</v>
      </c>
      <c r="D2243" s="118"/>
      <c r="E2243" s="119"/>
      <c r="F2243" s="121" t="s">
        <v>342</v>
      </c>
      <c r="G2243" s="122"/>
      <c r="H2243" s="115">
        <f>8.5-4.3+0.1</f>
        <v>4.3</v>
      </c>
      <c r="I2243" s="116"/>
    </row>
    <row r="2244" spans="1:9" s="17" customFormat="1" ht="12.75" customHeight="1" x14ac:dyDescent="0.2">
      <c r="A2244" s="65">
        <v>2235</v>
      </c>
      <c r="B2244" s="60"/>
      <c r="C2244" s="117" t="s">
        <v>573</v>
      </c>
      <c r="D2244" s="118"/>
      <c r="E2244" s="119"/>
      <c r="F2244" s="121" t="s">
        <v>239</v>
      </c>
      <c r="G2244" s="122"/>
      <c r="H2244" s="115">
        <v>6.7</v>
      </c>
      <c r="I2244" s="116"/>
    </row>
    <row r="2245" spans="1:9" s="17" customFormat="1" ht="12.75" customHeight="1" x14ac:dyDescent="0.2">
      <c r="A2245" s="65">
        <v>2236</v>
      </c>
      <c r="B2245" s="60"/>
      <c r="C2245" s="128" t="s">
        <v>1180</v>
      </c>
      <c r="D2245" s="126"/>
      <c r="E2245" s="127"/>
      <c r="F2245" s="121" t="s">
        <v>317</v>
      </c>
      <c r="G2245" s="122"/>
      <c r="H2245" s="115">
        <v>10.4</v>
      </c>
      <c r="I2245" s="116"/>
    </row>
    <row r="2246" spans="1:9" s="17" customFormat="1" ht="12.75" customHeight="1" x14ac:dyDescent="0.2">
      <c r="A2246" s="65">
        <v>2237</v>
      </c>
      <c r="B2246" s="60"/>
      <c r="C2246" s="112" t="s">
        <v>2986</v>
      </c>
      <c r="D2246" s="112"/>
      <c r="E2246" s="112"/>
      <c r="F2246" s="124" t="s">
        <v>200</v>
      </c>
      <c r="G2246" s="124"/>
      <c r="H2246" s="115">
        <f>300-19-45-56.5-74-72+1.3-16.3</f>
        <v>18.499999999999996</v>
      </c>
      <c r="I2246" s="116"/>
    </row>
    <row r="2247" spans="1:9" s="17" customFormat="1" ht="12.75" customHeight="1" x14ac:dyDescent="0.2">
      <c r="A2247" s="65">
        <v>2238</v>
      </c>
      <c r="B2247" s="60"/>
      <c r="C2247" s="117" t="s">
        <v>4123</v>
      </c>
      <c r="D2247" s="118"/>
      <c r="E2247" s="119"/>
      <c r="F2247" s="113" t="s">
        <v>76</v>
      </c>
      <c r="G2247" s="114"/>
      <c r="H2247" s="115">
        <f>60-29.8</f>
        <v>30.2</v>
      </c>
      <c r="I2247" s="116"/>
    </row>
    <row r="2248" spans="1:9" s="17" customFormat="1" ht="12.75" customHeight="1" x14ac:dyDescent="0.2">
      <c r="A2248" s="65">
        <v>2239</v>
      </c>
      <c r="B2248" s="60"/>
      <c r="C2248" s="117" t="s">
        <v>2953</v>
      </c>
      <c r="D2248" s="118"/>
      <c r="E2248" s="119"/>
      <c r="F2248" s="113" t="s">
        <v>62</v>
      </c>
      <c r="G2248" s="114"/>
      <c r="H2248" s="115">
        <f>113.4-3.8-14.5-38.2</f>
        <v>56.900000000000006</v>
      </c>
      <c r="I2248" s="116"/>
    </row>
    <row r="2249" spans="1:9" s="17" customFormat="1" ht="12.75" customHeight="1" x14ac:dyDescent="0.2">
      <c r="A2249" s="65">
        <v>2240</v>
      </c>
      <c r="B2249" s="60"/>
      <c r="C2249" s="117" t="s">
        <v>5350</v>
      </c>
      <c r="D2249" s="118"/>
      <c r="E2249" s="119"/>
      <c r="F2249" s="113" t="s">
        <v>59</v>
      </c>
      <c r="G2249" s="114"/>
      <c r="H2249" s="115">
        <f>31.4+17.8-8.5-9.3</f>
        <v>31.400000000000002</v>
      </c>
      <c r="I2249" s="116"/>
    </row>
    <row r="2250" spans="1:9" s="17" customFormat="1" ht="12.75" customHeight="1" x14ac:dyDescent="0.2">
      <c r="A2250" s="65">
        <v>2241</v>
      </c>
      <c r="B2250" s="60"/>
      <c r="C2250" s="117" t="s">
        <v>3122</v>
      </c>
      <c r="D2250" s="118"/>
      <c r="E2250" s="119"/>
      <c r="F2250" s="113" t="s">
        <v>62</v>
      </c>
      <c r="G2250" s="114"/>
      <c r="H2250" s="115">
        <f>18.9-2.4-7.2+0.1-2.4</f>
        <v>7</v>
      </c>
      <c r="I2250" s="116"/>
    </row>
    <row r="2251" spans="1:9" s="17" customFormat="1" ht="12.75" customHeight="1" x14ac:dyDescent="0.2">
      <c r="A2251" s="65">
        <v>2242</v>
      </c>
      <c r="B2251" s="60"/>
      <c r="C2251" s="117" t="s">
        <v>1484</v>
      </c>
      <c r="D2251" s="118"/>
      <c r="E2251" s="119"/>
      <c r="F2251" s="113" t="s">
        <v>76</v>
      </c>
      <c r="G2251" s="114"/>
      <c r="H2251" s="115"/>
      <c r="I2251" s="116"/>
    </row>
    <row r="2252" spans="1:9" s="17" customFormat="1" ht="12.75" customHeight="1" x14ac:dyDescent="0.2">
      <c r="A2252" s="65">
        <v>2243</v>
      </c>
      <c r="B2252" s="60"/>
      <c r="C2252" s="117" t="s">
        <v>3784</v>
      </c>
      <c r="D2252" s="118"/>
      <c r="E2252" s="119"/>
      <c r="F2252" s="121" t="s">
        <v>80</v>
      </c>
      <c r="G2252" s="122"/>
      <c r="H2252" s="115">
        <f>91.5-9.7</f>
        <v>81.8</v>
      </c>
      <c r="I2252" s="116"/>
    </row>
    <row r="2253" spans="1:9" s="17" customFormat="1" x14ac:dyDescent="0.2">
      <c r="A2253" s="65">
        <v>2244</v>
      </c>
      <c r="B2253" s="60"/>
      <c r="C2253" s="117" t="s">
        <v>4270</v>
      </c>
      <c r="D2253" s="118"/>
      <c r="E2253" s="119"/>
      <c r="F2253" s="121" t="s">
        <v>87</v>
      </c>
      <c r="G2253" s="122"/>
      <c r="H2253" s="115">
        <f>134.7-99.7-7.8</f>
        <v>27.199999999999985</v>
      </c>
      <c r="I2253" s="116"/>
    </row>
    <row r="2254" spans="1:9" s="17" customFormat="1" ht="27" customHeight="1" x14ac:dyDescent="0.2">
      <c r="A2254" s="65">
        <v>2245</v>
      </c>
      <c r="B2254" s="60"/>
      <c r="C2254" s="117" t="s">
        <v>2023</v>
      </c>
      <c r="D2254" s="118"/>
      <c r="E2254" s="119"/>
      <c r="F2254" s="124" t="s">
        <v>55</v>
      </c>
      <c r="G2254" s="124"/>
      <c r="H2254" s="115">
        <v>276</v>
      </c>
      <c r="I2254" s="116"/>
    </row>
    <row r="2255" spans="1:9" s="17" customFormat="1" ht="12.75" customHeight="1" x14ac:dyDescent="0.2">
      <c r="A2255" s="65">
        <v>2246</v>
      </c>
      <c r="B2255" s="60"/>
      <c r="C2255" s="117" t="s">
        <v>3362</v>
      </c>
      <c r="D2255" s="118"/>
      <c r="E2255" s="119"/>
      <c r="F2255" s="121" t="s">
        <v>799</v>
      </c>
      <c r="G2255" s="122"/>
      <c r="H2255" s="115">
        <v>9.8000000000000007</v>
      </c>
      <c r="I2255" s="116"/>
    </row>
    <row r="2256" spans="1:9" s="17" customFormat="1" ht="12.75" customHeight="1" x14ac:dyDescent="0.2">
      <c r="A2256" s="65">
        <v>2247</v>
      </c>
      <c r="B2256" s="60"/>
      <c r="C2256" s="117" t="s">
        <v>775</v>
      </c>
      <c r="D2256" s="118"/>
      <c r="E2256" s="119"/>
      <c r="F2256" s="121" t="s">
        <v>774</v>
      </c>
      <c r="G2256" s="122"/>
      <c r="H2256" s="115">
        <v>10.9</v>
      </c>
      <c r="I2256" s="116"/>
    </row>
    <row r="2257" spans="1:9" s="17" customFormat="1" ht="12.75" customHeight="1" x14ac:dyDescent="0.2">
      <c r="A2257" s="65">
        <v>2248</v>
      </c>
      <c r="B2257" s="60"/>
      <c r="C2257" s="117" t="s">
        <v>574</v>
      </c>
      <c r="D2257" s="118"/>
      <c r="E2257" s="119"/>
      <c r="F2257" s="121" t="s">
        <v>43</v>
      </c>
      <c r="G2257" s="122"/>
      <c r="H2257" s="115">
        <v>37.700000000000003</v>
      </c>
      <c r="I2257" s="116"/>
    </row>
    <row r="2258" spans="1:9" s="17" customFormat="1" ht="12.75" customHeight="1" x14ac:dyDescent="0.2">
      <c r="A2258" s="65">
        <v>2249</v>
      </c>
      <c r="B2258" s="60"/>
      <c r="C2258" s="117" t="s">
        <v>3081</v>
      </c>
      <c r="D2258" s="118"/>
      <c r="E2258" s="119"/>
      <c r="F2258" s="121" t="s">
        <v>43</v>
      </c>
      <c r="G2258" s="121"/>
      <c r="H2258" s="115">
        <f>85.2-7.8</f>
        <v>77.400000000000006</v>
      </c>
      <c r="I2258" s="116"/>
    </row>
    <row r="2259" spans="1:9" s="17" customFormat="1" ht="12.75" customHeight="1" x14ac:dyDescent="0.2">
      <c r="A2259" s="65">
        <v>2250</v>
      </c>
      <c r="B2259" s="60"/>
      <c r="C2259" s="117" t="s">
        <v>2521</v>
      </c>
      <c r="D2259" s="118"/>
      <c r="E2259" s="119"/>
      <c r="F2259" s="121" t="s">
        <v>2</v>
      </c>
      <c r="G2259" s="122"/>
      <c r="H2259" s="115">
        <f>33.3+14.5-4.7+21.9+15.5+9-14.5-9</f>
        <v>66</v>
      </c>
      <c r="I2259" s="116"/>
    </row>
    <row r="2260" spans="1:9" s="17" customFormat="1" ht="12.75" customHeight="1" x14ac:dyDescent="0.2">
      <c r="A2260" s="65">
        <v>2251</v>
      </c>
      <c r="B2260" s="60"/>
      <c r="C2260" s="117" t="s">
        <v>1102</v>
      </c>
      <c r="D2260" s="118"/>
      <c r="E2260" s="119"/>
      <c r="F2260" s="124" t="s">
        <v>44</v>
      </c>
      <c r="G2260" s="124"/>
      <c r="H2260" s="115">
        <v>6.9</v>
      </c>
      <c r="I2260" s="116"/>
    </row>
    <row r="2261" spans="1:9" s="17" customFormat="1" ht="12.75" customHeight="1" x14ac:dyDescent="0.2">
      <c r="A2261" s="65">
        <v>2252</v>
      </c>
      <c r="B2261" s="60"/>
      <c r="C2261" s="128" t="s">
        <v>630</v>
      </c>
      <c r="D2261" s="126"/>
      <c r="E2261" s="127"/>
      <c r="F2261" s="113" t="s">
        <v>59</v>
      </c>
      <c r="G2261" s="114"/>
      <c r="H2261" s="115">
        <v>7.3</v>
      </c>
      <c r="I2261" s="116"/>
    </row>
    <row r="2262" spans="1:9" s="17" customFormat="1" ht="12.75" customHeight="1" x14ac:dyDescent="0.2">
      <c r="A2262" s="65">
        <v>2253</v>
      </c>
      <c r="B2262" s="60"/>
      <c r="C2262" s="128" t="s">
        <v>606</v>
      </c>
      <c r="D2262" s="126"/>
      <c r="E2262" s="127"/>
      <c r="F2262" s="113" t="s">
        <v>76</v>
      </c>
      <c r="G2262" s="114"/>
      <c r="H2262" s="115">
        <f>49.2-4.1</f>
        <v>45.1</v>
      </c>
      <c r="I2262" s="116"/>
    </row>
    <row r="2263" spans="1:9" s="17" customFormat="1" ht="12.75" customHeight="1" x14ac:dyDescent="0.2">
      <c r="A2263" s="65">
        <v>2254</v>
      </c>
      <c r="B2263" s="60"/>
      <c r="C2263" s="128" t="s">
        <v>279</v>
      </c>
      <c r="D2263" s="126"/>
      <c r="E2263" s="127"/>
      <c r="F2263" s="121" t="s">
        <v>102</v>
      </c>
      <c r="G2263" s="122"/>
      <c r="H2263" s="140">
        <v>71.2</v>
      </c>
      <c r="I2263" s="141"/>
    </row>
    <row r="2264" spans="1:9" s="17" customFormat="1" ht="12.75" customHeight="1" x14ac:dyDescent="0.2">
      <c r="A2264" s="65">
        <v>2255</v>
      </c>
      <c r="B2264" s="60"/>
      <c r="C2264" s="117" t="s">
        <v>2853</v>
      </c>
      <c r="D2264" s="118"/>
      <c r="E2264" s="119"/>
      <c r="F2264" s="113" t="s">
        <v>59</v>
      </c>
      <c r="G2264" s="114"/>
      <c r="H2264" s="115">
        <v>13.6</v>
      </c>
      <c r="I2264" s="116"/>
    </row>
    <row r="2265" spans="1:9" s="17" customFormat="1" ht="15" customHeight="1" x14ac:dyDescent="0.2">
      <c r="A2265" s="65">
        <v>2256</v>
      </c>
      <c r="B2265" s="60"/>
      <c r="C2265" s="130" t="s">
        <v>2330</v>
      </c>
      <c r="D2265" s="131"/>
      <c r="E2265" s="132"/>
      <c r="F2265" s="113" t="s">
        <v>29</v>
      </c>
      <c r="G2265" s="114"/>
      <c r="H2265" s="115">
        <v>107.5</v>
      </c>
      <c r="I2265" s="116"/>
    </row>
    <row r="2266" spans="1:9" s="17" customFormat="1" ht="15" customHeight="1" x14ac:dyDescent="0.2">
      <c r="A2266" s="65">
        <v>2257</v>
      </c>
      <c r="B2266" s="60"/>
      <c r="C2266" s="130" t="s">
        <v>5023</v>
      </c>
      <c r="D2266" s="131"/>
      <c r="E2266" s="132"/>
      <c r="F2266" s="113" t="s">
        <v>140</v>
      </c>
      <c r="G2266" s="114"/>
      <c r="H2266" s="115">
        <v>67.599999999999994</v>
      </c>
      <c r="I2266" s="116"/>
    </row>
    <row r="2267" spans="1:9" s="17" customFormat="1" ht="15" customHeight="1" x14ac:dyDescent="0.2">
      <c r="A2267" s="65">
        <v>2258</v>
      </c>
      <c r="B2267" s="60"/>
      <c r="C2267" s="130" t="s">
        <v>2398</v>
      </c>
      <c r="D2267" s="131"/>
      <c r="E2267" s="132"/>
      <c r="F2267" s="113" t="s">
        <v>29</v>
      </c>
      <c r="G2267" s="114"/>
      <c r="H2267" s="115">
        <v>63.4</v>
      </c>
      <c r="I2267" s="116"/>
    </row>
    <row r="2268" spans="1:9" s="17" customFormat="1" ht="12.75" customHeight="1" x14ac:dyDescent="0.2">
      <c r="A2268" s="65">
        <v>2259</v>
      </c>
      <c r="B2268" s="60"/>
      <c r="C2268" s="117" t="s">
        <v>5123</v>
      </c>
      <c r="D2268" s="118"/>
      <c r="E2268" s="119"/>
      <c r="F2268" s="113" t="s">
        <v>311</v>
      </c>
      <c r="G2268" s="114"/>
      <c r="H2268" s="115">
        <f>109.3-16.8-16.9-12.7-15-15.7-3.2-12.3</f>
        <v>16.699999999999989</v>
      </c>
      <c r="I2268" s="116"/>
    </row>
    <row r="2269" spans="1:9" s="17" customFormat="1" ht="12.75" customHeight="1" x14ac:dyDescent="0.2">
      <c r="A2269" s="65">
        <v>2260</v>
      </c>
      <c r="B2269" s="60"/>
      <c r="C2269" s="128" t="s">
        <v>1862</v>
      </c>
      <c r="D2269" s="126"/>
      <c r="E2269" s="127"/>
      <c r="F2269" s="113" t="s">
        <v>57</v>
      </c>
      <c r="G2269" s="114"/>
      <c r="H2269" s="115">
        <f>91.4-22.3+202.6-202.6+66.9-23.3+37+46.8-66.9+133.6-33+12.8-37-12.8-22.3-33.8-23.5-82.7+0.5+41.7+39.3-22-19.7+5.2-5.2</f>
        <v>70.69999999999996</v>
      </c>
      <c r="I2269" s="116"/>
    </row>
    <row r="2270" spans="1:9" s="17" customFormat="1" ht="12.75" customHeight="1" x14ac:dyDescent="0.2">
      <c r="A2270" s="65">
        <v>2261</v>
      </c>
      <c r="B2270" s="60"/>
      <c r="C2270" s="117" t="s">
        <v>2963</v>
      </c>
      <c r="D2270" s="118"/>
      <c r="E2270" s="119"/>
      <c r="F2270" s="113" t="s">
        <v>57</v>
      </c>
      <c r="G2270" s="114"/>
      <c r="H2270" s="115">
        <f>15.8+31.3+8.1-15.8+15.8+9.4-9.4-8.1-15.8+39.5-39.5+66.2+22.9</f>
        <v>120.4</v>
      </c>
      <c r="I2270" s="116"/>
    </row>
    <row r="2271" spans="1:9" s="17" customFormat="1" ht="12.75" customHeight="1" x14ac:dyDescent="0.2">
      <c r="A2271" s="65">
        <v>2262</v>
      </c>
      <c r="B2271" s="60"/>
      <c r="C2271" s="117" t="s">
        <v>536</v>
      </c>
      <c r="D2271" s="118"/>
      <c r="E2271" s="119"/>
      <c r="F2271" s="113" t="s">
        <v>76</v>
      </c>
      <c r="G2271" s="114"/>
      <c r="H2271" s="115"/>
      <c r="I2271" s="116"/>
    </row>
    <row r="2272" spans="1:9" s="17" customFormat="1" ht="12.75" customHeight="1" x14ac:dyDescent="0.2">
      <c r="A2272" s="65">
        <v>2263</v>
      </c>
      <c r="B2272" s="60" t="s">
        <v>3656</v>
      </c>
      <c r="C2272" s="117" t="s">
        <v>4329</v>
      </c>
      <c r="D2272" s="118"/>
      <c r="E2272" s="119"/>
      <c r="F2272" s="121" t="s">
        <v>125</v>
      </c>
      <c r="G2272" s="122"/>
      <c r="H2272" s="115">
        <v>33.200000000000003</v>
      </c>
      <c r="I2272" s="116"/>
    </row>
    <row r="2273" spans="1:9" s="17" customFormat="1" ht="12.75" customHeight="1" x14ac:dyDescent="0.2">
      <c r="A2273" s="65">
        <v>2264</v>
      </c>
      <c r="B2273" s="60"/>
      <c r="C2273" s="117" t="s">
        <v>4330</v>
      </c>
      <c r="D2273" s="118"/>
      <c r="E2273" s="119"/>
      <c r="F2273" s="121" t="s">
        <v>80</v>
      </c>
      <c r="G2273" s="122"/>
      <c r="H2273" s="115">
        <v>39</v>
      </c>
      <c r="I2273" s="116"/>
    </row>
    <row r="2274" spans="1:9" s="17" customFormat="1" ht="24" customHeight="1" x14ac:dyDescent="0.2">
      <c r="A2274" s="65">
        <v>2265</v>
      </c>
      <c r="B2274" s="60"/>
      <c r="C2274" s="117" t="s">
        <v>1014</v>
      </c>
      <c r="D2274" s="118"/>
      <c r="E2274" s="119"/>
      <c r="F2274" s="121" t="s">
        <v>921</v>
      </c>
      <c r="G2274" s="122"/>
      <c r="H2274" s="115">
        <v>129.69999999999999</v>
      </c>
      <c r="I2274" s="116"/>
    </row>
    <row r="2275" spans="1:9" s="17" customFormat="1" ht="12.75" customHeight="1" x14ac:dyDescent="0.2">
      <c r="A2275" s="65">
        <v>2266</v>
      </c>
      <c r="B2275" s="60"/>
      <c r="C2275" s="117" t="s">
        <v>1137</v>
      </c>
      <c r="D2275" s="118"/>
      <c r="E2275" s="119"/>
      <c r="F2275" s="121" t="s">
        <v>1136</v>
      </c>
      <c r="G2275" s="122"/>
      <c r="H2275" s="115">
        <v>22.2</v>
      </c>
      <c r="I2275" s="116"/>
    </row>
    <row r="2276" spans="1:9" s="17" customFormat="1" x14ac:dyDescent="0.2">
      <c r="A2276" s="65">
        <v>2267</v>
      </c>
      <c r="B2276" s="60"/>
      <c r="C2276" s="117" t="s">
        <v>1763</v>
      </c>
      <c r="D2276" s="118"/>
      <c r="E2276" s="119"/>
      <c r="F2276" s="121" t="s">
        <v>87</v>
      </c>
      <c r="G2276" s="122"/>
      <c r="H2276" s="115">
        <v>245.7</v>
      </c>
      <c r="I2276" s="116"/>
    </row>
    <row r="2277" spans="1:9" s="17" customFormat="1" x14ac:dyDescent="0.2">
      <c r="A2277" s="65">
        <v>2268</v>
      </c>
      <c r="B2277" s="60"/>
      <c r="C2277" s="117" t="s">
        <v>3785</v>
      </c>
      <c r="D2277" s="118"/>
      <c r="E2277" s="119"/>
      <c r="F2277" s="121" t="s">
        <v>401</v>
      </c>
      <c r="G2277" s="122"/>
      <c r="H2277" s="115">
        <f>308.4-131.4-118.5-21.8</f>
        <v>36.699999999999974</v>
      </c>
      <c r="I2277" s="116"/>
    </row>
    <row r="2278" spans="1:9" s="17" customFormat="1" ht="12.75" customHeight="1" x14ac:dyDescent="0.2">
      <c r="A2278" s="65">
        <v>2269</v>
      </c>
      <c r="B2278" s="60"/>
      <c r="C2278" s="117" t="s">
        <v>3663</v>
      </c>
      <c r="D2278" s="118"/>
      <c r="E2278" s="119"/>
      <c r="F2278" s="124" t="s">
        <v>55</v>
      </c>
      <c r="G2278" s="124"/>
      <c r="H2278" s="115">
        <f>189-59</f>
        <v>130</v>
      </c>
      <c r="I2278" s="116"/>
    </row>
    <row r="2279" spans="1:9" s="17" customFormat="1" ht="12.75" customHeight="1" x14ac:dyDescent="0.2">
      <c r="A2279" s="65">
        <v>2270</v>
      </c>
      <c r="B2279" s="60"/>
      <c r="C2279" s="117" t="s">
        <v>3336</v>
      </c>
      <c r="D2279" s="118"/>
      <c r="E2279" s="119"/>
      <c r="F2279" s="124" t="s">
        <v>55</v>
      </c>
      <c r="G2279" s="124"/>
      <c r="H2279" s="115">
        <f>187-31.7+35.6-32.5-4.6</f>
        <v>153.80000000000001</v>
      </c>
      <c r="I2279" s="116"/>
    </row>
    <row r="2280" spans="1:9" s="17" customFormat="1" ht="26.25" customHeight="1" x14ac:dyDescent="0.2">
      <c r="A2280" s="65">
        <v>2271</v>
      </c>
      <c r="B2280" s="60"/>
      <c r="C2280" s="117" t="s">
        <v>3738</v>
      </c>
      <c r="D2280" s="118"/>
      <c r="E2280" s="119"/>
      <c r="F2280" s="124" t="s">
        <v>55</v>
      </c>
      <c r="G2280" s="124"/>
      <c r="H2280" s="115">
        <f>352-42.2-33.5</f>
        <v>276.3</v>
      </c>
      <c r="I2280" s="116"/>
    </row>
    <row r="2281" spans="1:9" s="17" customFormat="1" ht="12.75" customHeight="1" x14ac:dyDescent="0.2">
      <c r="A2281" s="65">
        <v>2272</v>
      </c>
      <c r="B2281" s="60"/>
      <c r="C2281" s="117" t="s">
        <v>5136</v>
      </c>
      <c r="D2281" s="118"/>
      <c r="E2281" s="119"/>
      <c r="F2281" s="121" t="s">
        <v>4383</v>
      </c>
      <c r="G2281" s="122"/>
      <c r="H2281" s="115">
        <v>44.8</v>
      </c>
      <c r="I2281" s="116"/>
    </row>
    <row r="2282" spans="1:9" s="17" customFormat="1" ht="12.75" customHeight="1" x14ac:dyDescent="0.2">
      <c r="A2282" s="65">
        <v>2273</v>
      </c>
      <c r="B2282" s="60"/>
      <c r="C2282" s="117" t="s">
        <v>1873</v>
      </c>
      <c r="D2282" s="118"/>
      <c r="E2282" s="119"/>
      <c r="F2282" s="121" t="s">
        <v>1381</v>
      </c>
      <c r="G2282" s="122"/>
      <c r="H2282" s="115">
        <f>125-0.7-64.2</f>
        <v>60.099999999999994</v>
      </c>
      <c r="I2282" s="116"/>
    </row>
    <row r="2283" spans="1:9" s="17" customFormat="1" ht="12.75" customHeight="1" x14ac:dyDescent="0.2">
      <c r="A2283" s="65">
        <v>2274</v>
      </c>
      <c r="B2283" s="60"/>
      <c r="C2283" s="117" t="s">
        <v>1017</v>
      </c>
      <c r="D2283" s="118"/>
      <c r="E2283" s="119"/>
      <c r="F2283" s="121" t="s">
        <v>6</v>
      </c>
      <c r="G2283" s="122"/>
      <c r="H2283" s="115">
        <f>94.9+44-44</f>
        <v>94.9</v>
      </c>
      <c r="I2283" s="116"/>
    </row>
    <row r="2284" spans="1:9" s="17" customFormat="1" ht="12.75" customHeight="1" x14ac:dyDescent="0.2">
      <c r="A2284" s="65">
        <v>2275</v>
      </c>
      <c r="B2284" s="60"/>
      <c r="C2284" s="117" t="s">
        <v>3015</v>
      </c>
      <c r="D2284" s="118"/>
      <c r="E2284" s="119"/>
      <c r="F2284" s="121" t="s">
        <v>3016</v>
      </c>
      <c r="G2284" s="122"/>
      <c r="H2284" s="115">
        <v>62</v>
      </c>
      <c r="I2284" s="116"/>
    </row>
    <row r="2285" spans="1:9" s="17" customFormat="1" ht="12.75" customHeight="1" x14ac:dyDescent="0.2">
      <c r="A2285" s="65">
        <v>2276</v>
      </c>
      <c r="B2285" s="60"/>
      <c r="C2285" s="117" t="s">
        <v>1013</v>
      </c>
      <c r="D2285" s="118"/>
      <c r="E2285" s="119"/>
      <c r="F2285" s="121" t="s">
        <v>3096</v>
      </c>
      <c r="G2285" s="122"/>
      <c r="H2285" s="115">
        <v>67</v>
      </c>
      <c r="I2285" s="116"/>
    </row>
    <row r="2286" spans="1:9" s="17" customFormat="1" ht="12.75" customHeight="1" x14ac:dyDescent="0.2">
      <c r="A2286" s="65">
        <v>2277</v>
      </c>
      <c r="B2286" s="60"/>
      <c r="C2286" s="128" t="s">
        <v>2430</v>
      </c>
      <c r="D2286" s="126"/>
      <c r="E2286" s="127"/>
      <c r="F2286" s="124" t="s">
        <v>42</v>
      </c>
      <c r="G2286" s="124"/>
      <c r="H2286" s="115">
        <v>17</v>
      </c>
      <c r="I2286" s="116"/>
    </row>
    <row r="2287" spans="1:9" s="17" customFormat="1" ht="12.75" customHeight="1" x14ac:dyDescent="0.2">
      <c r="A2287" s="65">
        <v>2278</v>
      </c>
      <c r="B2287" s="60"/>
      <c r="C2287" s="117" t="s">
        <v>2175</v>
      </c>
      <c r="D2287" s="118"/>
      <c r="E2287" s="119"/>
      <c r="F2287" s="121" t="s">
        <v>799</v>
      </c>
      <c r="G2287" s="122"/>
      <c r="H2287" s="115">
        <f>140-22.3-44.8+4.9-4.9</f>
        <v>72.900000000000006</v>
      </c>
      <c r="I2287" s="116"/>
    </row>
    <row r="2288" spans="1:9" s="17" customFormat="1" ht="12.75" customHeight="1" x14ac:dyDescent="0.2">
      <c r="A2288" s="65">
        <v>2279</v>
      </c>
      <c r="B2288" s="60"/>
      <c r="C2288" s="117" t="s">
        <v>2962</v>
      </c>
      <c r="D2288" s="118"/>
      <c r="E2288" s="119"/>
      <c r="F2288" s="121" t="s">
        <v>799</v>
      </c>
      <c r="G2288" s="122"/>
      <c r="H2288" s="115">
        <f>34+52.7</f>
        <v>86.7</v>
      </c>
      <c r="I2288" s="116"/>
    </row>
    <row r="2289" spans="1:9" s="17" customFormat="1" x14ac:dyDescent="0.2">
      <c r="A2289" s="65">
        <v>2280</v>
      </c>
      <c r="B2289" s="60"/>
      <c r="C2289" s="128" t="s">
        <v>5356</v>
      </c>
      <c r="D2289" s="126"/>
      <c r="E2289" s="127"/>
      <c r="F2289" s="121" t="s">
        <v>56</v>
      </c>
      <c r="G2289" s="122"/>
      <c r="H2289" s="115">
        <f>34.7-10+28.3+5.7+10-4.1-28.3-12.9-5.7</f>
        <v>17.700000000000014</v>
      </c>
      <c r="I2289" s="116"/>
    </row>
    <row r="2290" spans="1:9" s="17" customFormat="1" x14ac:dyDescent="0.2">
      <c r="A2290" s="65">
        <v>2281</v>
      </c>
      <c r="B2290" s="60"/>
      <c r="C2290" s="128" t="s">
        <v>3236</v>
      </c>
      <c r="D2290" s="126"/>
      <c r="E2290" s="127"/>
      <c r="F2290" s="121" t="s">
        <v>56</v>
      </c>
      <c r="G2290" s="122"/>
      <c r="H2290" s="115">
        <v>16.8</v>
      </c>
      <c r="I2290" s="116"/>
    </row>
    <row r="2291" spans="1:9" s="79" customFormat="1" x14ac:dyDescent="0.2">
      <c r="A2291" s="65">
        <v>2282</v>
      </c>
      <c r="B2291" s="60"/>
      <c r="C2291" s="117" t="s">
        <v>3577</v>
      </c>
      <c r="D2291" s="118"/>
      <c r="E2291" s="119"/>
      <c r="F2291" s="121" t="s">
        <v>45</v>
      </c>
      <c r="G2291" s="122"/>
      <c r="H2291" s="115">
        <f>244.1-40-47.4-5.6-51.9-21.8</f>
        <v>77.399999999999991</v>
      </c>
      <c r="I2291" s="116"/>
    </row>
    <row r="2292" spans="1:9" s="79" customFormat="1" ht="24" customHeight="1" x14ac:dyDescent="0.2">
      <c r="A2292" s="65">
        <v>2283</v>
      </c>
      <c r="B2292" s="60"/>
      <c r="C2292" s="117" t="s">
        <v>3576</v>
      </c>
      <c r="D2292" s="118"/>
      <c r="E2292" s="119"/>
      <c r="F2292" s="121" t="s">
        <v>45</v>
      </c>
      <c r="G2292" s="122"/>
      <c r="H2292" s="115">
        <f>40+11.6+78.9+16.5+30.6+50.9-36.2-1.9-3.1-26+5.4-47.8-13.6</f>
        <v>105.30000000000003</v>
      </c>
      <c r="I2292" s="116"/>
    </row>
    <row r="2293" spans="1:9" s="79" customFormat="1" x14ac:dyDescent="0.2">
      <c r="A2293" s="65">
        <v>2284</v>
      </c>
      <c r="B2293" s="60"/>
      <c r="C2293" s="117" t="s">
        <v>3956</v>
      </c>
      <c r="D2293" s="118"/>
      <c r="E2293" s="119"/>
      <c r="F2293" s="121" t="s">
        <v>45</v>
      </c>
      <c r="G2293" s="122"/>
      <c r="H2293" s="115">
        <v>14.8</v>
      </c>
      <c r="I2293" s="116"/>
    </row>
    <row r="2294" spans="1:9" s="17" customFormat="1" ht="12.75" customHeight="1" x14ac:dyDescent="0.2">
      <c r="A2294" s="65">
        <v>2285</v>
      </c>
      <c r="B2294" s="60"/>
      <c r="C2294" s="112" t="s">
        <v>1433</v>
      </c>
      <c r="D2294" s="112"/>
      <c r="E2294" s="112"/>
      <c r="F2294" s="124" t="s">
        <v>200</v>
      </c>
      <c r="G2294" s="124"/>
      <c r="H2294" s="115">
        <v>11.5</v>
      </c>
      <c r="I2294" s="116"/>
    </row>
    <row r="2295" spans="1:9" s="17" customFormat="1" ht="12.75" customHeight="1" x14ac:dyDescent="0.2">
      <c r="A2295" s="65">
        <v>2286</v>
      </c>
      <c r="B2295" s="60"/>
      <c r="C2295" s="117" t="s">
        <v>670</v>
      </c>
      <c r="D2295" s="118"/>
      <c r="E2295" s="119"/>
      <c r="F2295" s="121" t="s">
        <v>427</v>
      </c>
      <c r="G2295" s="122"/>
      <c r="H2295" s="115">
        <v>18.7</v>
      </c>
      <c r="I2295" s="116"/>
    </row>
    <row r="2296" spans="1:9" s="17" customFormat="1" x14ac:dyDescent="0.2">
      <c r="A2296" s="65">
        <v>2287</v>
      </c>
      <c r="B2296" s="60"/>
      <c r="C2296" s="128" t="s">
        <v>1886</v>
      </c>
      <c r="D2296" s="126"/>
      <c r="E2296" s="127"/>
      <c r="F2296" s="121" t="s">
        <v>56</v>
      </c>
      <c r="G2296" s="122"/>
      <c r="H2296" s="115">
        <v>10.7</v>
      </c>
      <c r="I2296" s="116"/>
    </row>
    <row r="2297" spans="1:9" s="17" customFormat="1" ht="12.75" customHeight="1" x14ac:dyDescent="0.2">
      <c r="A2297" s="65">
        <v>2288</v>
      </c>
      <c r="B2297" s="60"/>
      <c r="C2297" s="128" t="s">
        <v>2431</v>
      </c>
      <c r="D2297" s="126"/>
      <c r="E2297" s="127"/>
      <c r="F2297" s="124" t="s">
        <v>42</v>
      </c>
      <c r="G2297" s="124"/>
      <c r="H2297" s="115">
        <v>19.7</v>
      </c>
      <c r="I2297" s="116"/>
    </row>
    <row r="2298" spans="1:9" s="17" customFormat="1" ht="12.75" customHeight="1" x14ac:dyDescent="0.2">
      <c r="A2298" s="65">
        <v>2289</v>
      </c>
      <c r="B2298" s="60"/>
      <c r="C2298" s="128" t="s">
        <v>3075</v>
      </c>
      <c r="D2298" s="126"/>
      <c r="E2298" s="127"/>
      <c r="F2298" s="113" t="s">
        <v>57</v>
      </c>
      <c r="G2298" s="114"/>
      <c r="H2298" s="115">
        <f>290.5-26.7-27.9-80.4-79.1-0.1+7.4-7.4-8</f>
        <v>68.300000000000011</v>
      </c>
      <c r="I2298" s="116"/>
    </row>
    <row r="2299" spans="1:9" s="17" customFormat="1" ht="12.75" customHeight="1" x14ac:dyDescent="0.2">
      <c r="A2299" s="65">
        <v>2290</v>
      </c>
      <c r="B2299" s="60"/>
      <c r="C2299" s="117" t="s">
        <v>2339</v>
      </c>
      <c r="D2299" s="118"/>
      <c r="E2299" s="119"/>
      <c r="F2299" s="124" t="s">
        <v>80</v>
      </c>
      <c r="G2299" s="124"/>
      <c r="H2299" s="115">
        <f>59.5+70.8+152+23+22.9+51-25.5-15-10-26.4-22.9+25.4-34.5-13-80.8-1.7</f>
        <v>174.8</v>
      </c>
      <c r="I2299" s="116"/>
    </row>
    <row r="2300" spans="1:9" s="17" customFormat="1" x14ac:dyDescent="0.2">
      <c r="A2300" s="65">
        <v>2291</v>
      </c>
      <c r="B2300" s="60"/>
      <c r="C2300" s="117" t="s">
        <v>2232</v>
      </c>
      <c r="D2300" s="118"/>
      <c r="E2300" s="119"/>
      <c r="F2300" s="121" t="s">
        <v>64</v>
      </c>
      <c r="G2300" s="122"/>
      <c r="H2300" s="115">
        <f>254.6-172.1-41</f>
        <v>41.5</v>
      </c>
      <c r="I2300" s="116"/>
    </row>
    <row r="2301" spans="1:9" s="17" customFormat="1" ht="12.75" customHeight="1" x14ac:dyDescent="0.2">
      <c r="A2301" s="65">
        <v>2292</v>
      </c>
      <c r="B2301" s="60"/>
      <c r="C2301" s="117" t="s">
        <v>4923</v>
      </c>
      <c r="D2301" s="118"/>
      <c r="E2301" s="119"/>
      <c r="F2301" s="121" t="s">
        <v>96</v>
      </c>
      <c r="G2301" s="122"/>
      <c r="H2301" s="115">
        <f>304-19-19-19-57+393-226-19.1-38-57.1-19.1-19.2-18.6-75.7-19.2-19.2</f>
        <v>71.8</v>
      </c>
      <c r="I2301" s="116"/>
    </row>
    <row r="2302" spans="1:9" s="17" customFormat="1" ht="12.75" customHeight="1" x14ac:dyDescent="0.2">
      <c r="A2302" s="65">
        <v>2293</v>
      </c>
      <c r="B2302" s="60"/>
      <c r="C2302" s="117" t="s">
        <v>1147</v>
      </c>
      <c r="D2302" s="118"/>
      <c r="E2302" s="119"/>
      <c r="F2302" s="124" t="s">
        <v>130</v>
      </c>
      <c r="G2302" s="124"/>
      <c r="H2302" s="115">
        <v>251.8</v>
      </c>
      <c r="I2302" s="116"/>
    </row>
    <row r="2303" spans="1:9" s="17" customFormat="1" ht="12.75" customHeight="1" x14ac:dyDescent="0.2">
      <c r="A2303" s="65">
        <v>2294</v>
      </c>
      <c r="B2303" s="60"/>
      <c r="C2303" s="117" t="s">
        <v>920</v>
      </c>
      <c r="D2303" s="118"/>
      <c r="E2303" s="119"/>
      <c r="F2303" s="121" t="s">
        <v>921</v>
      </c>
      <c r="G2303" s="122"/>
      <c r="H2303" s="115">
        <v>42</v>
      </c>
      <c r="I2303" s="116"/>
    </row>
    <row r="2304" spans="1:9" s="17" customFormat="1" ht="12.75" customHeight="1" x14ac:dyDescent="0.2">
      <c r="A2304" s="65">
        <v>2295</v>
      </c>
      <c r="B2304" s="60"/>
      <c r="C2304" s="117" t="s">
        <v>922</v>
      </c>
      <c r="D2304" s="118"/>
      <c r="E2304" s="119"/>
      <c r="F2304" s="121" t="s">
        <v>921</v>
      </c>
      <c r="G2304" s="122"/>
      <c r="H2304" s="115">
        <v>45.7</v>
      </c>
      <c r="I2304" s="116"/>
    </row>
    <row r="2305" spans="1:9" s="17" customFormat="1" ht="25.5" customHeight="1" x14ac:dyDescent="0.2">
      <c r="A2305" s="65">
        <v>2296</v>
      </c>
      <c r="B2305" s="60"/>
      <c r="C2305" s="117" t="s">
        <v>1762</v>
      </c>
      <c r="D2305" s="118"/>
      <c r="E2305" s="119"/>
      <c r="F2305" s="121" t="s">
        <v>87</v>
      </c>
      <c r="G2305" s="122"/>
      <c r="H2305" s="115">
        <v>592.6</v>
      </c>
      <c r="I2305" s="116"/>
    </row>
    <row r="2306" spans="1:9" s="17" customFormat="1" ht="12.75" customHeight="1" x14ac:dyDescent="0.2">
      <c r="A2306" s="65">
        <v>2297</v>
      </c>
      <c r="B2306" s="60"/>
      <c r="C2306" s="117" t="s">
        <v>5135</v>
      </c>
      <c r="D2306" s="118"/>
      <c r="E2306" s="119"/>
      <c r="F2306" s="121" t="s">
        <v>4383</v>
      </c>
      <c r="G2306" s="122"/>
      <c r="H2306" s="115">
        <v>43.6</v>
      </c>
      <c r="I2306" s="116"/>
    </row>
    <row r="2307" spans="1:9" s="17" customFormat="1" ht="12.75" customHeight="1" x14ac:dyDescent="0.2">
      <c r="A2307" s="65">
        <v>2298</v>
      </c>
      <c r="B2307" s="60"/>
      <c r="C2307" s="117" t="s">
        <v>1088</v>
      </c>
      <c r="D2307" s="118"/>
      <c r="E2307" s="119"/>
      <c r="F2307" s="121" t="s">
        <v>55</v>
      </c>
      <c r="G2307" s="122"/>
      <c r="H2307" s="115">
        <v>60</v>
      </c>
      <c r="I2307" s="116"/>
    </row>
    <row r="2308" spans="1:9" s="17" customFormat="1" ht="12.75" customHeight="1" x14ac:dyDescent="0.2">
      <c r="A2308" s="65">
        <v>2299</v>
      </c>
      <c r="B2308" s="60"/>
      <c r="C2308" s="117" t="s">
        <v>1749</v>
      </c>
      <c r="D2308" s="118"/>
      <c r="E2308" s="119"/>
      <c r="F2308" s="124" t="s">
        <v>55</v>
      </c>
      <c r="G2308" s="124"/>
      <c r="H2308" s="115">
        <f>216-35</f>
        <v>181</v>
      </c>
      <c r="I2308" s="116"/>
    </row>
    <row r="2309" spans="1:9" s="17" customFormat="1" ht="24" customHeight="1" x14ac:dyDescent="0.2">
      <c r="A2309" s="65">
        <v>2300</v>
      </c>
      <c r="B2309" s="60"/>
      <c r="C2309" s="117" t="s">
        <v>5400</v>
      </c>
      <c r="D2309" s="118"/>
      <c r="E2309" s="119"/>
      <c r="F2309" s="124" t="s">
        <v>55</v>
      </c>
      <c r="G2309" s="124"/>
      <c r="H2309" s="115">
        <f>479-6.8</f>
        <v>472.2</v>
      </c>
      <c r="I2309" s="116"/>
    </row>
    <row r="2310" spans="1:9" s="17" customFormat="1" x14ac:dyDescent="0.2">
      <c r="A2310" s="65">
        <v>2301</v>
      </c>
      <c r="B2310" s="60"/>
      <c r="C2310" s="117" t="s">
        <v>2257</v>
      </c>
      <c r="D2310" s="118"/>
      <c r="E2310" s="119"/>
      <c r="F2310" s="124" t="s">
        <v>55</v>
      </c>
      <c r="G2310" s="124"/>
      <c r="H2310" s="115">
        <v>36.799999999999997</v>
      </c>
      <c r="I2310" s="116"/>
    </row>
    <row r="2311" spans="1:9" s="17" customFormat="1" ht="12.75" customHeight="1" x14ac:dyDescent="0.2">
      <c r="A2311" s="65">
        <v>2302</v>
      </c>
      <c r="B2311" s="60"/>
      <c r="C2311" s="117" t="s">
        <v>3704</v>
      </c>
      <c r="D2311" s="118"/>
      <c r="E2311" s="119"/>
      <c r="F2311" s="121" t="s">
        <v>1381</v>
      </c>
      <c r="G2311" s="122"/>
      <c r="H2311" s="115">
        <f>157+31.8-1-3.1-1.6</f>
        <v>183.10000000000002</v>
      </c>
      <c r="I2311" s="116"/>
    </row>
    <row r="2312" spans="1:9" s="17" customFormat="1" ht="12.75" customHeight="1" x14ac:dyDescent="0.2">
      <c r="A2312" s="65">
        <v>2303</v>
      </c>
      <c r="B2312" s="60"/>
      <c r="C2312" s="117" t="s">
        <v>515</v>
      </c>
      <c r="D2312" s="118"/>
      <c r="E2312" s="119"/>
      <c r="F2312" s="121" t="s">
        <v>68</v>
      </c>
      <c r="G2312" s="122"/>
      <c r="H2312" s="115">
        <v>25.8</v>
      </c>
      <c r="I2312" s="116"/>
    </row>
    <row r="2313" spans="1:9" s="17" customFormat="1" ht="24" customHeight="1" x14ac:dyDescent="0.2">
      <c r="A2313" s="65">
        <v>2304</v>
      </c>
      <c r="B2313" s="60"/>
      <c r="C2313" s="128" t="s">
        <v>4823</v>
      </c>
      <c r="D2313" s="126"/>
      <c r="E2313" s="127"/>
      <c r="F2313" s="121" t="s">
        <v>986</v>
      </c>
      <c r="G2313" s="122"/>
      <c r="H2313" s="115">
        <f>385.3-32.7-28.5-23.8-68.5-12.3</f>
        <v>219.5</v>
      </c>
      <c r="I2313" s="116"/>
    </row>
    <row r="2314" spans="1:9" s="17" customFormat="1" ht="12.75" customHeight="1" x14ac:dyDescent="0.2">
      <c r="A2314" s="65">
        <v>2305</v>
      </c>
      <c r="B2314" s="60"/>
      <c r="C2314" s="128" t="s">
        <v>3407</v>
      </c>
      <c r="D2314" s="126"/>
      <c r="E2314" s="127"/>
      <c r="F2314" s="121" t="s">
        <v>56</v>
      </c>
      <c r="G2314" s="122"/>
      <c r="H2314" s="115">
        <f>116.3-25.9+22.3-12.9-22.3-25.9-25.9+10-10+22.2+12.8-12.8-22.2</f>
        <v>25.700000000000006</v>
      </c>
      <c r="I2314" s="116"/>
    </row>
    <row r="2315" spans="1:9" s="79" customFormat="1" ht="12.75" customHeight="1" x14ac:dyDescent="0.2">
      <c r="A2315" s="65">
        <v>2306</v>
      </c>
      <c r="B2315" s="60"/>
      <c r="C2315" s="117" t="s">
        <v>3408</v>
      </c>
      <c r="D2315" s="118"/>
      <c r="E2315" s="119"/>
      <c r="F2315" s="121" t="s">
        <v>45</v>
      </c>
      <c r="G2315" s="122"/>
      <c r="H2315" s="115">
        <f>44.6-16-8</f>
        <v>20.6</v>
      </c>
      <c r="I2315" s="116"/>
    </row>
    <row r="2316" spans="1:9" s="17" customFormat="1" ht="12.75" customHeight="1" x14ac:dyDescent="0.2">
      <c r="A2316" s="65">
        <v>2307</v>
      </c>
      <c r="B2316" s="60"/>
      <c r="C2316" s="117" t="s">
        <v>5099</v>
      </c>
      <c r="D2316" s="118"/>
      <c r="E2316" s="119"/>
      <c r="F2316" s="121" t="s">
        <v>530</v>
      </c>
      <c r="G2316" s="122"/>
      <c r="H2316" s="115">
        <v>12</v>
      </c>
      <c r="I2316" s="116"/>
    </row>
    <row r="2317" spans="1:9" s="17" customFormat="1" ht="12.75" customHeight="1" x14ac:dyDescent="0.2">
      <c r="A2317" s="65">
        <v>2308</v>
      </c>
      <c r="B2317" s="60"/>
      <c r="C2317" s="117" t="s">
        <v>5098</v>
      </c>
      <c r="D2317" s="118"/>
      <c r="E2317" s="119"/>
      <c r="F2317" s="121" t="s">
        <v>921</v>
      </c>
      <c r="G2317" s="122"/>
      <c r="H2317" s="115">
        <v>13.8</v>
      </c>
      <c r="I2317" s="116"/>
    </row>
    <row r="2318" spans="1:9" s="17" customFormat="1" ht="12.75" customHeight="1" x14ac:dyDescent="0.2">
      <c r="A2318" s="65">
        <v>2309</v>
      </c>
      <c r="B2318" s="60"/>
      <c r="C2318" s="117" t="s">
        <v>5100</v>
      </c>
      <c r="D2318" s="118"/>
      <c r="E2318" s="119"/>
      <c r="F2318" s="113" t="s">
        <v>76</v>
      </c>
      <c r="G2318" s="114"/>
      <c r="H2318" s="115">
        <v>22.7</v>
      </c>
      <c r="I2318" s="116"/>
    </row>
    <row r="2319" spans="1:9" s="17" customFormat="1" ht="12.75" customHeight="1" x14ac:dyDescent="0.2">
      <c r="A2319" s="65">
        <v>2310</v>
      </c>
      <c r="B2319" s="60"/>
      <c r="C2319" s="117" t="s">
        <v>4010</v>
      </c>
      <c r="D2319" s="118"/>
      <c r="E2319" s="119"/>
      <c r="F2319" s="113" t="s">
        <v>62</v>
      </c>
      <c r="G2319" s="114"/>
      <c r="H2319" s="115">
        <f>20+3.3-3.3-2.5</f>
        <v>17.5</v>
      </c>
      <c r="I2319" s="116"/>
    </row>
    <row r="2320" spans="1:9" s="17" customFormat="1" ht="11.25" x14ac:dyDescent="0.2">
      <c r="A2320" s="65">
        <v>2311</v>
      </c>
      <c r="B2320" s="60"/>
      <c r="C2320" s="128" t="s">
        <v>3746</v>
      </c>
      <c r="D2320" s="126"/>
      <c r="E2320" s="127"/>
      <c r="F2320" s="113" t="s">
        <v>59</v>
      </c>
      <c r="G2320" s="114"/>
      <c r="H2320" s="115">
        <f>30.8-15.4</f>
        <v>15.4</v>
      </c>
      <c r="I2320" s="116"/>
    </row>
    <row r="2321" spans="1:9" s="17" customFormat="1" ht="11.25" x14ac:dyDescent="0.2">
      <c r="A2321" s="65">
        <v>2312</v>
      </c>
      <c r="B2321" s="60"/>
      <c r="C2321" s="128" t="s">
        <v>1841</v>
      </c>
      <c r="D2321" s="126"/>
      <c r="E2321" s="127"/>
      <c r="F2321" s="113" t="s">
        <v>59</v>
      </c>
      <c r="G2321" s="114"/>
      <c r="H2321" s="115">
        <f>11.7+5.6-11.7+19.8+21.2+10.6-10.6+91.7-10.6+10.6+18.2+21.4+10.6-19.8-131.3</f>
        <v>37.399999999999977</v>
      </c>
      <c r="I2321" s="116"/>
    </row>
    <row r="2322" spans="1:9" s="17" customFormat="1" ht="12.75" customHeight="1" x14ac:dyDescent="0.2">
      <c r="A2322" s="65">
        <v>2313</v>
      </c>
      <c r="B2322" s="60"/>
      <c r="C2322" s="128" t="s">
        <v>429</v>
      </c>
      <c r="D2322" s="126"/>
      <c r="E2322" s="127"/>
      <c r="F2322" s="113" t="s">
        <v>76</v>
      </c>
      <c r="G2322" s="114"/>
      <c r="H2322" s="115"/>
      <c r="I2322" s="116"/>
    </row>
    <row r="2323" spans="1:9" s="17" customFormat="1" ht="12.75" customHeight="1" x14ac:dyDescent="0.2">
      <c r="A2323" s="65">
        <v>2314</v>
      </c>
      <c r="B2323" s="60"/>
      <c r="C2323" s="117" t="s">
        <v>820</v>
      </c>
      <c r="D2323" s="118"/>
      <c r="E2323" s="119"/>
      <c r="F2323" s="121" t="s">
        <v>58</v>
      </c>
      <c r="G2323" s="122"/>
      <c r="H2323" s="115">
        <v>11.8</v>
      </c>
      <c r="I2323" s="116"/>
    </row>
    <row r="2324" spans="1:9" s="17" customFormat="1" ht="12.75" customHeight="1" x14ac:dyDescent="0.2">
      <c r="A2324" s="65">
        <v>2315</v>
      </c>
      <c r="B2324" s="60"/>
      <c r="C2324" s="117" t="s">
        <v>1358</v>
      </c>
      <c r="D2324" s="118"/>
      <c r="E2324" s="119"/>
      <c r="F2324" s="121" t="s">
        <v>80</v>
      </c>
      <c r="G2324" s="122"/>
      <c r="H2324" s="115">
        <f>227.5-6+53.3-83.5+82.5-6.1-82.5-47.2-23.6</f>
        <v>114.4</v>
      </c>
      <c r="I2324" s="116"/>
    </row>
    <row r="2325" spans="1:9" s="17" customFormat="1" ht="12.75" customHeight="1" x14ac:dyDescent="0.2">
      <c r="A2325" s="65">
        <v>2316</v>
      </c>
      <c r="B2325" s="60"/>
      <c r="C2325" s="117" t="s">
        <v>1108</v>
      </c>
      <c r="D2325" s="118"/>
      <c r="E2325" s="119"/>
      <c r="F2325" s="121" t="s">
        <v>80</v>
      </c>
      <c r="G2325" s="122"/>
      <c r="H2325" s="115">
        <v>64.400000000000006</v>
      </c>
      <c r="I2325" s="116"/>
    </row>
    <row r="2326" spans="1:9" s="17" customFormat="1" ht="26.25" customHeight="1" x14ac:dyDescent="0.2">
      <c r="A2326" s="65">
        <v>2317</v>
      </c>
      <c r="B2326" s="60"/>
      <c r="C2326" s="117" t="s">
        <v>1451</v>
      </c>
      <c r="D2326" s="118"/>
      <c r="E2326" s="119"/>
      <c r="F2326" s="121" t="s">
        <v>80</v>
      </c>
      <c r="G2326" s="122"/>
      <c r="H2326" s="115">
        <v>165.4</v>
      </c>
      <c r="I2326" s="116"/>
    </row>
    <row r="2327" spans="1:9" s="17" customFormat="1" ht="24" customHeight="1" x14ac:dyDescent="0.2">
      <c r="A2327" s="65">
        <v>2318</v>
      </c>
      <c r="B2327" s="60"/>
      <c r="C2327" s="117" t="s">
        <v>2980</v>
      </c>
      <c r="D2327" s="118"/>
      <c r="E2327" s="119"/>
      <c r="F2327" s="121" t="s">
        <v>64</v>
      </c>
      <c r="G2327" s="122"/>
      <c r="H2327" s="115">
        <f>526-33.9-33-15-29.7-12-32-44.5</f>
        <v>325.90000000000003</v>
      </c>
      <c r="I2327" s="116"/>
    </row>
    <row r="2328" spans="1:9" s="17" customFormat="1" ht="12.75" customHeight="1" x14ac:dyDescent="0.2">
      <c r="A2328" s="65">
        <v>2319</v>
      </c>
      <c r="B2328" s="60"/>
      <c r="C2328" s="160" t="s">
        <v>4533</v>
      </c>
      <c r="D2328" s="161"/>
      <c r="E2328" s="162"/>
      <c r="F2328" s="121" t="s">
        <v>96</v>
      </c>
      <c r="G2328" s="122"/>
      <c r="H2328" s="115">
        <f>116.3-3.4</f>
        <v>112.89999999999999</v>
      </c>
      <c r="I2328" s="116"/>
    </row>
    <row r="2329" spans="1:9" s="17" customFormat="1" ht="12.75" customHeight="1" x14ac:dyDescent="0.2">
      <c r="A2329" s="65">
        <v>2320</v>
      </c>
      <c r="B2329" s="60"/>
      <c r="C2329" s="128" t="s">
        <v>1027</v>
      </c>
      <c r="D2329" s="126"/>
      <c r="E2329" s="127"/>
      <c r="F2329" s="121" t="s">
        <v>68</v>
      </c>
      <c r="G2329" s="122"/>
      <c r="H2329" s="115">
        <v>90</v>
      </c>
      <c r="I2329" s="116"/>
    </row>
    <row r="2330" spans="1:9" s="17" customFormat="1" ht="26.25" customHeight="1" x14ac:dyDescent="0.2">
      <c r="A2330" s="65">
        <v>2321</v>
      </c>
      <c r="B2330" s="60"/>
      <c r="C2330" s="117" t="s">
        <v>3173</v>
      </c>
      <c r="D2330" s="118"/>
      <c r="E2330" s="119"/>
      <c r="F2330" s="124" t="s">
        <v>55</v>
      </c>
      <c r="G2330" s="124"/>
      <c r="H2330" s="115">
        <f>429.6-15.3</f>
        <v>414.3</v>
      </c>
      <c r="I2330" s="116"/>
    </row>
    <row r="2331" spans="1:9" s="17" customFormat="1" ht="12.75" customHeight="1" x14ac:dyDescent="0.2">
      <c r="A2331" s="65">
        <v>2322</v>
      </c>
      <c r="B2331" s="60"/>
      <c r="C2331" s="117" t="s">
        <v>3104</v>
      </c>
      <c r="D2331" s="118"/>
      <c r="E2331" s="119"/>
      <c r="F2331" s="121" t="s">
        <v>31</v>
      </c>
      <c r="G2331" s="122"/>
      <c r="H2331" s="115">
        <f>28.5+22.1-28.5+17.7-10.7-11.4+14-14</f>
        <v>17.699999999999996</v>
      </c>
      <c r="I2331" s="116"/>
    </row>
    <row r="2332" spans="1:9" s="17" customFormat="1" ht="12.75" customHeight="1" x14ac:dyDescent="0.2">
      <c r="A2332" s="65">
        <v>2323</v>
      </c>
      <c r="B2332" s="60"/>
      <c r="C2332" s="117" t="s">
        <v>4016</v>
      </c>
      <c r="D2332" s="118"/>
      <c r="E2332" s="119"/>
      <c r="F2332" s="121" t="s">
        <v>33</v>
      </c>
      <c r="G2332" s="122"/>
      <c r="H2332" s="115">
        <v>34.700000000000003</v>
      </c>
      <c r="I2332" s="116"/>
    </row>
    <row r="2333" spans="1:9" s="17" customFormat="1" ht="12.75" customHeight="1" x14ac:dyDescent="0.2">
      <c r="A2333" s="65">
        <v>2324</v>
      </c>
      <c r="B2333" s="60"/>
      <c r="C2333" s="117" t="s">
        <v>3042</v>
      </c>
      <c r="D2333" s="118"/>
      <c r="E2333" s="119"/>
      <c r="F2333" s="121" t="s">
        <v>33</v>
      </c>
      <c r="G2333" s="122"/>
      <c r="H2333" s="115">
        <v>3.5</v>
      </c>
      <c r="I2333" s="116"/>
    </row>
    <row r="2334" spans="1:9" s="17" customFormat="1" ht="12.75" customHeight="1" x14ac:dyDescent="0.2">
      <c r="A2334" s="65">
        <v>2325</v>
      </c>
      <c r="B2334" s="60"/>
      <c r="C2334" s="128" t="s">
        <v>316</v>
      </c>
      <c r="D2334" s="126"/>
      <c r="E2334" s="127"/>
      <c r="F2334" s="121" t="s">
        <v>317</v>
      </c>
      <c r="G2334" s="122"/>
      <c r="H2334" s="115">
        <v>29</v>
      </c>
      <c r="I2334" s="116"/>
    </row>
    <row r="2335" spans="1:9" s="17" customFormat="1" ht="12.75" customHeight="1" x14ac:dyDescent="0.2">
      <c r="A2335" s="65">
        <v>2326</v>
      </c>
      <c r="B2335" s="60"/>
      <c r="C2335" s="117" t="s">
        <v>981</v>
      </c>
      <c r="D2335" s="118"/>
      <c r="E2335" s="119"/>
      <c r="F2335" s="124" t="s">
        <v>25</v>
      </c>
      <c r="G2335" s="124"/>
      <c r="H2335" s="115">
        <v>67.7</v>
      </c>
      <c r="I2335" s="116"/>
    </row>
    <row r="2336" spans="1:9" s="17" customFormat="1" ht="12.75" customHeight="1" x14ac:dyDescent="0.2">
      <c r="A2336" s="65">
        <v>2327</v>
      </c>
      <c r="B2336" s="60"/>
      <c r="C2336" s="117" t="s">
        <v>2737</v>
      </c>
      <c r="D2336" s="118"/>
      <c r="E2336" s="119"/>
      <c r="F2336" s="121" t="s">
        <v>43</v>
      </c>
      <c r="G2336" s="122"/>
      <c r="H2336" s="115">
        <f>52.5-5.3-13.5</f>
        <v>33.700000000000003</v>
      </c>
      <c r="I2336" s="116"/>
    </row>
    <row r="2337" spans="1:9" s="17" customFormat="1" ht="12.75" customHeight="1" x14ac:dyDescent="0.2">
      <c r="A2337" s="65">
        <v>2328</v>
      </c>
      <c r="B2337" s="60"/>
      <c r="C2337" s="117" t="s">
        <v>1343</v>
      </c>
      <c r="D2337" s="118"/>
      <c r="E2337" s="119"/>
      <c r="F2337" s="113" t="s">
        <v>76</v>
      </c>
      <c r="G2337" s="114"/>
      <c r="H2337" s="115">
        <v>5.8</v>
      </c>
      <c r="I2337" s="116"/>
    </row>
    <row r="2338" spans="1:9" s="17" customFormat="1" ht="12.75" customHeight="1" x14ac:dyDescent="0.2">
      <c r="A2338" s="65">
        <v>2329</v>
      </c>
      <c r="B2338" s="60"/>
      <c r="C2338" s="117" t="s">
        <v>1698</v>
      </c>
      <c r="D2338" s="118"/>
      <c r="E2338" s="119"/>
      <c r="F2338" s="121" t="s">
        <v>31</v>
      </c>
      <c r="G2338" s="122"/>
      <c r="H2338" s="115">
        <v>3.7</v>
      </c>
      <c r="I2338" s="116"/>
    </row>
    <row r="2339" spans="1:9" s="17" customFormat="1" ht="12.75" customHeight="1" x14ac:dyDescent="0.2">
      <c r="A2339" s="65">
        <v>2330</v>
      </c>
      <c r="B2339" s="60"/>
      <c r="C2339" s="117" t="s">
        <v>1116</v>
      </c>
      <c r="D2339" s="118"/>
      <c r="E2339" s="119"/>
      <c r="F2339" s="113" t="s">
        <v>76</v>
      </c>
      <c r="G2339" s="114"/>
      <c r="H2339" s="115">
        <f>13+24.4-13</f>
        <v>24.4</v>
      </c>
      <c r="I2339" s="116"/>
    </row>
    <row r="2340" spans="1:9" s="17" customFormat="1" ht="12.75" customHeight="1" x14ac:dyDescent="0.2">
      <c r="A2340" s="65">
        <v>2331</v>
      </c>
      <c r="B2340" s="60"/>
      <c r="C2340" s="117" t="s">
        <v>1237</v>
      </c>
      <c r="D2340" s="118"/>
      <c r="E2340" s="119"/>
      <c r="F2340" s="113" t="s">
        <v>76</v>
      </c>
      <c r="G2340" s="114"/>
      <c r="H2340" s="115">
        <v>35.299999999999997</v>
      </c>
      <c r="I2340" s="116"/>
    </row>
    <row r="2341" spans="1:9" s="17" customFormat="1" ht="12.75" customHeight="1" x14ac:dyDescent="0.2">
      <c r="A2341" s="65">
        <v>2332</v>
      </c>
      <c r="B2341" s="60"/>
      <c r="C2341" s="117" t="s">
        <v>3118</v>
      </c>
      <c r="D2341" s="118"/>
      <c r="E2341" s="119"/>
      <c r="F2341" s="113" t="s">
        <v>76</v>
      </c>
      <c r="G2341" s="114"/>
      <c r="H2341" s="115">
        <f>47.4+18.2+21.5-21.5</f>
        <v>65.599999999999994</v>
      </c>
      <c r="I2341" s="116"/>
    </row>
    <row r="2342" spans="1:9" s="17" customFormat="1" ht="12.75" customHeight="1" x14ac:dyDescent="0.2">
      <c r="A2342" s="65">
        <v>2333</v>
      </c>
      <c r="B2342" s="60"/>
      <c r="C2342" s="117" t="s">
        <v>1859</v>
      </c>
      <c r="D2342" s="118"/>
      <c r="E2342" s="119"/>
      <c r="F2342" s="113" t="s">
        <v>76</v>
      </c>
      <c r="G2342" s="114"/>
      <c r="H2342" s="115">
        <v>22.8</v>
      </c>
      <c r="I2342" s="116"/>
    </row>
    <row r="2343" spans="1:9" s="17" customFormat="1" ht="11.25" x14ac:dyDescent="0.2">
      <c r="A2343" s="65">
        <v>2334</v>
      </c>
      <c r="B2343" s="60"/>
      <c r="C2343" s="117" t="s">
        <v>2772</v>
      </c>
      <c r="D2343" s="118"/>
      <c r="E2343" s="119"/>
      <c r="F2343" s="113" t="s">
        <v>76</v>
      </c>
      <c r="G2343" s="114"/>
      <c r="H2343" s="115">
        <f>10.8+21.2+4.8-4.8+9.6+4.4-4.4-21.6+0.4-10.8</f>
        <v>9.5999999999999908</v>
      </c>
      <c r="I2343" s="116"/>
    </row>
    <row r="2344" spans="1:9" s="17" customFormat="1" ht="12.75" customHeight="1" x14ac:dyDescent="0.2">
      <c r="A2344" s="65">
        <v>2335</v>
      </c>
      <c r="B2344" s="60"/>
      <c r="C2344" s="117" t="s">
        <v>4445</v>
      </c>
      <c r="D2344" s="118"/>
      <c r="E2344" s="119"/>
      <c r="F2344" s="113" t="s">
        <v>62</v>
      </c>
      <c r="G2344" s="114"/>
      <c r="H2344" s="115">
        <f>37.3-4.7-4.7+4.9</f>
        <v>32.799999999999997</v>
      </c>
      <c r="I2344" s="116"/>
    </row>
    <row r="2345" spans="1:9" s="17" customFormat="1" ht="12.75" customHeight="1" x14ac:dyDescent="0.2">
      <c r="A2345" s="65">
        <v>2336</v>
      </c>
      <c r="B2345" s="60"/>
      <c r="C2345" s="160" t="s">
        <v>993</v>
      </c>
      <c r="D2345" s="161"/>
      <c r="E2345" s="162"/>
      <c r="F2345" s="121" t="s">
        <v>80</v>
      </c>
      <c r="G2345" s="122"/>
      <c r="H2345" s="115">
        <f>421.1-56.5-21.6-20.8-38.2-11-34.2</f>
        <v>238.8</v>
      </c>
      <c r="I2345" s="116"/>
    </row>
    <row r="2346" spans="1:9" s="17" customFormat="1" ht="12.75" customHeight="1" x14ac:dyDescent="0.2">
      <c r="A2346" s="65">
        <v>2337</v>
      </c>
      <c r="B2346" s="60">
        <v>2</v>
      </c>
      <c r="C2346" s="160" t="s">
        <v>858</v>
      </c>
      <c r="D2346" s="161"/>
      <c r="E2346" s="162"/>
      <c r="F2346" s="121" t="s">
        <v>80</v>
      </c>
      <c r="G2346" s="122"/>
      <c r="H2346" s="115">
        <v>140</v>
      </c>
      <c r="I2346" s="116"/>
    </row>
    <row r="2347" spans="1:9" s="17" customFormat="1" ht="12.75" customHeight="1" x14ac:dyDescent="0.2">
      <c r="A2347" s="65">
        <v>2338</v>
      </c>
      <c r="B2347" s="60"/>
      <c r="C2347" s="117" t="s">
        <v>1403</v>
      </c>
      <c r="D2347" s="118"/>
      <c r="E2347" s="119"/>
      <c r="F2347" s="121" t="s">
        <v>87</v>
      </c>
      <c r="G2347" s="122"/>
      <c r="H2347" s="115">
        <f>190.3-60.1-49.1</f>
        <v>81.100000000000023</v>
      </c>
      <c r="I2347" s="116"/>
    </row>
    <row r="2348" spans="1:9" s="17" customFormat="1" ht="26.25" customHeight="1" x14ac:dyDescent="0.2">
      <c r="A2348" s="65">
        <v>2339</v>
      </c>
      <c r="B2348" s="60"/>
      <c r="C2348" s="130" t="s">
        <v>1840</v>
      </c>
      <c r="D2348" s="131"/>
      <c r="E2348" s="132"/>
      <c r="F2348" s="121" t="s">
        <v>54</v>
      </c>
      <c r="G2348" s="122"/>
      <c r="H2348" s="115">
        <v>5.7</v>
      </c>
      <c r="I2348" s="116"/>
    </row>
    <row r="2349" spans="1:9" s="17" customFormat="1" ht="12.75" customHeight="1" x14ac:dyDescent="0.2">
      <c r="A2349" s="65">
        <v>2340</v>
      </c>
      <c r="B2349" s="60"/>
      <c r="C2349" s="117" t="s">
        <v>3579</v>
      </c>
      <c r="D2349" s="118"/>
      <c r="E2349" s="119"/>
      <c r="F2349" s="121" t="s">
        <v>31</v>
      </c>
      <c r="G2349" s="122"/>
      <c r="H2349" s="115">
        <f>68-8.3</f>
        <v>59.7</v>
      </c>
      <c r="I2349" s="116"/>
    </row>
    <row r="2350" spans="1:9" s="17" customFormat="1" ht="12.75" customHeight="1" x14ac:dyDescent="0.2">
      <c r="A2350" s="65">
        <v>2341</v>
      </c>
      <c r="B2350" s="60"/>
      <c r="C2350" s="128" t="s">
        <v>1503</v>
      </c>
      <c r="D2350" s="126"/>
      <c r="E2350" s="127"/>
      <c r="F2350" s="121" t="s">
        <v>317</v>
      </c>
      <c r="G2350" s="122"/>
      <c r="H2350" s="115">
        <v>32</v>
      </c>
      <c r="I2350" s="116"/>
    </row>
    <row r="2351" spans="1:9" s="17" customFormat="1" ht="12.75" customHeight="1" x14ac:dyDescent="0.2">
      <c r="A2351" s="65">
        <v>2342</v>
      </c>
      <c r="B2351" s="60"/>
      <c r="C2351" s="117" t="s">
        <v>612</v>
      </c>
      <c r="D2351" s="118"/>
      <c r="E2351" s="119"/>
      <c r="F2351" s="121" t="s">
        <v>43</v>
      </c>
      <c r="G2351" s="122"/>
      <c r="H2351" s="115">
        <v>113.3</v>
      </c>
      <c r="I2351" s="116"/>
    </row>
    <row r="2352" spans="1:9" s="17" customFormat="1" ht="12.75" customHeight="1" x14ac:dyDescent="0.2">
      <c r="A2352" s="65">
        <v>2343</v>
      </c>
      <c r="B2352" s="60"/>
      <c r="C2352" s="117" t="s">
        <v>1959</v>
      </c>
      <c r="D2352" s="118"/>
      <c r="E2352" s="119"/>
      <c r="F2352" s="121" t="s">
        <v>56</v>
      </c>
      <c r="G2352" s="122"/>
      <c r="H2352" s="115">
        <f>6.7+8.9-6.7</f>
        <v>8.9000000000000021</v>
      </c>
      <c r="I2352" s="116"/>
    </row>
    <row r="2353" spans="1:9" s="17" customFormat="1" ht="24" customHeight="1" x14ac:dyDescent="0.2">
      <c r="A2353" s="65">
        <v>2344</v>
      </c>
      <c r="B2353" s="60"/>
      <c r="C2353" s="128" t="s">
        <v>500</v>
      </c>
      <c r="D2353" s="126"/>
      <c r="E2353" s="127"/>
      <c r="F2353" s="133" t="s">
        <v>76</v>
      </c>
      <c r="G2353" s="134"/>
      <c r="H2353" s="140"/>
      <c r="I2353" s="141"/>
    </row>
    <row r="2354" spans="1:9" s="17" customFormat="1" ht="12.75" customHeight="1" x14ac:dyDescent="0.2">
      <c r="A2354" s="65">
        <v>2345</v>
      </c>
      <c r="B2354" s="60">
        <v>6</v>
      </c>
      <c r="C2354" s="128" t="s">
        <v>2121</v>
      </c>
      <c r="D2354" s="126"/>
      <c r="E2354" s="127"/>
      <c r="F2354" s="113" t="s">
        <v>76</v>
      </c>
      <c r="G2354" s="114"/>
      <c r="H2354" s="115">
        <v>450</v>
      </c>
      <c r="I2354" s="116"/>
    </row>
    <row r="2355" spans="1:9" s="17" customFormat="1" ht="12.75" customHeight="1" x14ac:dyDescent="0.2">
      <c r="A2355" s="65">
        <v>2346</v>
      </c>
      <c r="B2355" s="60">
        <v>6</v>
      </c>
      <c r="C2355" s="128" t="s">
        <v>2488</v>
      </c>
      <c r="D2355" s="126"/>
      <c r="E2355" s="127"/>
      <c r="F2355" s="113" t="s">
        <v>718</v>
      </c>
      <c r="G2355" s="114"/>
      <c r="H2355" s="115">
        <v>270</v>
      </c>
      <c r="I2355" s="116"/>
    </row>
    <row r="2356" spans="1:9" s="17" customFormat="1" ht="11.25" x14ac:dyDescent="0.2">
      <c r="A2356" s="65">
        <v>2347</v>
      </c>
      <c r="B2356" s="60"/>
      <c r="C2356" s="117" t="s">
        <v>4928</v>
      </c>
      <c r="D2356" s="118"/>
      <c r="E2356" s="119"/>
      <c r="F2356" s="113" t="s">
        <v>29</v>
      </c>
      <c r="G2356" s="114"/>
      <c r="H2356" s="115">
        <f>55.5+52.2+37.9-37.9</f>
        <v>107.69999999999999</v>
      </c>
      <c r="I2356" s="116"/>
    </row>
    <row r="2357" spans="1:9" s="17" customFormat="1" ht="24.75" customHeight="1" x14ac:dyDescent="0.2">
      <c r="A2357" s="65">
        <v>2348</v>
      </c>
      <c r="B2357" s="60"/>
      <c r="C2357" s="117" t="s">
        <v>4099</v>
      </c>
      <c r="D2357" s="118"/>
      <c r="E2357" s="119"/>
      <c r="F2357" s="113" t="s">
        <v>76</v>
      </c>
      <c r="G2357" s="114"/>
      <c r="H2357" s="115">
        <f>32.2+63.2+18+7.6+21.6+8.3-13.5-6.8+52.9+10.2-63.2+5.4-5.4-7.1+21.6-41.7+26.6-21.6+8.8-16.3+11.3-8.8+16.4-11.6-7.6-12.8-11.3-7.9-24.5-7.6+13.9+13.8-27.7-8.3+18.5+11.8+8.1+21.7+39+9.9+11+19-11+54.6+4.5+20.6-59.5+41.4-18.5-30.8-9.9+10.7+23.3-80.4-16.6-19</f>
        <v>76.5</v>
      </c>
      <c r="I2357" s="116"/>
    </row>
    <row r="2358" spans="1:9" s="17" customFormat="1" ht="26.25" customHeight="1" x14ac:dyDescent="0.2">
      <c r="A2358" s="65">
        <v>2349</v>
      </c>
      <c r="B2358" s="60"/>
      <c r="C2358" s="128" t="s">
        <v>5104</v>
      </c>
      <c r="D2358" s="126"/>
      <c r="E2358" s="127"/>
      <c r="F2358" s="113" t="s">
        <v>57</v>
      </c>
      <c r="G2358" s="114"/>
      <c r="H2358" s="115">
        <f>131+79+61.7+40.1</f>
        <v>311.8</v>
      </c>
      <c r="I2358" s="116"/>
    </row>
    <row r="2359" spans="1:9" s="17" customFormat="1" ht="12.75" customHeight="1" x14ac:dyDescent="0.2">
      <c r="A2359" s="65">
        <v>2350</v>
      </c>
      <c r="B2359" s="60"/>
      <c r="C2359" s="128" t="s">
        <v>1331</v>
      </c>
      <c r="D2359" s="126"/>
      <c r="E2359" s="127"/>
      <c r="F2359" s="113" t="s">
        <v>1330</v>
      </c>
      <c r="G2359" s="114"/>
      <c r="H2359" s="115">
        <v>12.4</v>
      </c>
      <c r="I2359" s="116"/>
    </row>
    <row r="2360" spans="1:9" s="17" customFormat="1" ht="12.75" customHeight="1" x14ac:dyDescent="0.2">
      <c r="A2360" s="65">
        <v>2351</v>
      </c>
      <c r="B2360" s="60"/>
      <c r="C2360" s="117" t="s">
        <v>607</v>
      </c>
      <c r="D2360" s="118"/>
      <c r="E2360" s="119"/>
      <c r="F2360" s="121" t="s">
        <v>130</v>
      </c>
      <c r="G2360" s="122"/>
      <c r="H2360" s="115">
        <f>32.9-3.7</f>
        <v>29.2</v>
      </c>
      <c r="I2360" s="116"/>
    </row>
    <row r="2361" spans="1:9" s="17" customFormat="1" ht="12.75" customHeight="1" x14ac:dyDescent="0.2">
      <c r="A2361" s="65">
        <v>2352</v>
      </c>
      <c r="B2361" s="60"/>
      <c r="C2361" s="117" t="s">
        <v>1394</v>
      </c>
      <c r="D2361" s="118"/>
      <c r="E2361" s="119"/>
      <c r="F2361" s="121" t="s">
        <v>80</v>
      </c>
      <c r="G2361" s="122"/>
      <c r="H2361" s="115">
        <f>248-127+57+88.3-37.8-50.5+33.5-57-8.6</f>
        <v>145.9</v>
      </c>
      <c r="I2361" s="116"/>
    </row>
    <row r="2362" spans="1:9" s="17" customFormat="1" ht="12.75" customHeight="1" x14ac:dyDescent="0.2">
      <c r="A2362" s="65">
        <v>2353</v>
      </c>
      <c r="B2362" s="60"/>
      <c r="C2362" s="117" t="s">
        <v>4551</v>
      </c>
      <c r="D2362" s="118"/>
      <c r="E2362" s="119"/>
      <c r="F2362" s="121" t="s">
        <v>80</v>
      </c>
      <c r="G2362" s="122"/>
      <c r="H2362" s="115">
        <f>120.6-59.8</f>
        <v>60.8</v>
      </c>
      <c r="I2362" s="116"/>
    </row>
    <row r="2363" spans="1:9" s="17" customFormat="1" ht="12.75" customHeight="1" x14ac:dyDescent="0.2">
      <c r="A2363" s="65">
        <v>2354</v>
      </c>
      <c r="B2363" s="60">
        <v>6</v>
      </c>
      <c r="C2363" s="117" t="s">
        <v>1149</v>
      </c>
      <c r="D2363" s="118"/>
      <c r="E2363" s="119"/>
      <c r="F2363" s="121" t="s">
        <v>80</v>
      </c>
      <c r="G2363" s="122"/>
      <c r="H2363" s="115">
        <f>1150-285-365-248-125</f>
        <v>127</v>
      </c>
      <c r="I2363" s="116"/>
    </row>
    <row r="2364" spans="1:9" s="17" customFormat="1" ht="12.75" customHeight="1" x14ac:dyDescent="0.2">
      <c r="A2364" s="65">
        <v>2355</v>
      </c>
      <c r="B2364" s="60">
        <v>6</v>
      </c>
      <c r="C2364" s="117" t="s">
        <v>901</v>
      </c>
      <c r="D2364" s="118"/>
      <c r="E2364" s="119"/>
      <c r="F2364" s="121" t="s">
        <v>80</v>
      </c>
      <c r="G2364" s="122"/>
      <c r="H2364" s="115">
        <f>665-400</f>
        <v>265</v>
      </c>
      <c r="I2364" s="116"/>
    </row>
    <row r="2365" spans="1:9" s="17" customFormat="1" ht="12.75" customHeight="1" x14ac:dyDescent="0.2">
      <c r="A2365" s="65">
        <v>2356</v>
      </c>
      <c r="B2365" s="60"/>
      <c r="C2365" s="117" t="s">
        <v>3271</v>
      </c>
      <c r="D2365" s="118"/>
      <c r="E2365" s="119"/>
      <c r="F2365" s="121" t="s">
        <v>64</v>
      </c>
      <c r="G2365" s="122"/>
      <c r="H2365" s="115">
        <f>43.4-29.6</f>
        <v>13.799999999999997</v>
      </c>
      <c r="I2365" s="116"/>
    </row>
    <row r="2366" spans="1:9" s="17" customFormat="1" ht="12.75" customHeight="1" x14ac:dyDescent="0.2">
      <c r="A2366" s="65">
        <v>2357</v>
      </c>
      <c r="B2366" s="60"/>
      <c r="C2366" s="117" t="s">
        <v>2376</v>
      </c>
      <c r="D2366" s="118"/>
      <c r="E2366" s="119"/>
      <c r="F2366" s="121" t="s">
        <v>1452</v>
      </c>
      <c r="G2366" s="122"/>
      <c r="H2366" s="115">
        <f>129-13.2</f>
        <v>115.8</v>
      </c>
      <c r="I2366" s="116"/>
    </row>
    <row r="2367" spans="1:9" s="17" customFormat="1" ht="12.75" customHeight="1" x14ac:dyDescent="0.2">
      <c r="A2367" s="65">
        <v>2358</v>
      </c>
      <c r="B2367" s="60">
        <v>6</v>
      </c>
      <c r="C2367" s="117" t="s">
        <v>2155</v>
      </c>
      <c r="D2367" s="118"/>
      <c r="E2367" s="119"/>
      <c r="F2367" s="121" t="s">
        <v>1452</v>
      </c>
      <c r="G2367" s="122"/>
      <c r="H2367" s="115">
        <f>530-130-23.5-18-24-24</f>
        <v>310.5</v>
      </c>
      <c r="I2367" s="116"/>
    </row>
    <row r="2368" spans="1:9" s="17" customFormat="1" ht="12.75" customHeight="1" x14ac:dyDescent="0.2">
      <c r="A2368" s="65">
        <v>2359</v>
      </c>
      <c r="B2368" s="60"/>
      <c r="C2368" s="117" t="s">
        <v>3208</v>
      </c>
      <c r="D2368" s="118"/>
      <c r="E2368" s="119"/>
      <c r="F2368" s="121" t="s">
        <v>153</v>
      </c>
      <c r="G2368" s="122"/>
      <c r="H2368" s="115">
        <f>86-12.7-7.3+51.7+95.4-66-18.2-2.9+21.3</f>
        <v>147.30000000000004</v>
      </c>
      <c r="I2368" s="116"/>
    </row>
    <row r="2369" spans="1:9" s="23" customFormat="1" ht="13.5" customHeight="1" x14ac:dyDescent="0.2">
      <c r="A2369" s="65">
        <v>2360</v>
      </c>
      <c r="B2369" s="60"/>
      <c r="C2369" s="117" t="s">
        <v>2506</v>
      </c>
      <c r="D2369" s="118"/>
      <c r="E2369" s="119"/>
      <c r="F2369" s="121" t="s">
        <v>87</v>
      </c>
      <c r="G2369" s="122"/>
      <c r="H2369" s="115">
        <f>21.2+50.6</f>
        <v>71.8</v>
      </c>
      <c r="I2369" s="116"/>
    </row>
    <row r="2370" spans="1:9" s="17" customFormat="1" ht="12.75" customHeight="1" x14ac:dyDescent="0.2">
      <c r="A2370" s="65">
        <v>2361</v>
      </c>
      <c r="B2370" s="60"/>
      <c r="C2370" s="117" t="s">
        <v>511</v>
      </c>
      <c r="D2370" s="118"/>
      <c r="E2370" s="119"/>
      <c r="F2370" s="121" t="s">
        <v>6</v>
      </c>
      <c r="G2370" s="122"/>
      <c r="H2370" s="115">
        <v>46</v>
      </c>
      <c r="I2370" s="116"/>
    </row>
    <row r="2371" spans="1:9" s="17" customFormat="1" x14ac:dyDescent="0.2">
      <c r="A2371" s="65">
        <v>2362</v>
      </c>
      <c r="B2371" s="60"/>
      <c r="C2371" s="117" t="s">
        <v>3598</v>
      </c>
      <c r="D2371" s="118"/>
      <c r="E2371" s="119"/>
      <c r="F2371" s="121" t="s">
        <v>55</v>
      </c>
      <c r="G2371" s="122"/>
      <c r="H2371" s="115">
        <f>298-4.8-107.8-10-9.8-55.8</f>
        <v>109.79999999999997</v>
      </c>
      <c r="I2371" s="116"/>
    </row>
    <row r="2372" spans="1:9" s="17" customFormat="1" ht="30" customHeight="1" x14ac:dyDescent="0.2">
      <c r="A2372" s="65">
        <v>2363</v>
      </c>
      <c r="B2372" s="60"/>
      <c r="C2372" s="117" t="s">
        <v>4926</v>
      </c>
      <c r="D2372" s="118"/>
      <c r="E2372" s="119"/>
      <c r="F2372" s="121" t="s">
        <v>55</v>
      </c>
      <c r="G2372" s="122"/>
      <c r="H2372" s="115">
        <f>620.4-57.3-55.4-72.8</f>
        <v>434.90000000000003</v>
      </c>
      <c r="I2372" s="116"/>
    </row>
    <row r="2373" spans="1:9" s="17" customFormat="1" ht="29.25" customHeight="1" x14ac:dyDescent="0.2">
      <c r="A2373" s="65">
        <v>2364</v>
      </c>
      <c r="B2373" s="60"/>
      <c r="C2373" s="128" t="s">
        <v>3562</v>
      </c>
      <c r="D2373" s="126"/>
      <c r="E2373" s="127"/>
      <c r="F2373" s="121" t="s">
        <v>56</v>
      </c>
      <c r="G2373" s="122"/>
      <c r="H2373" s="115">
        <f>34.2+28.3+27.6-13.7-62.5+52.9+16.5+16.7-33.2</f>
        <v>66.799999999999983</v>
      </c>
      <c r="I2373" s="116"/>
    </row>
    <row r="2374" spans="1:9" s="17" customFormat="1" x14ac:dyDescent="0.2">
      <c r="A2374" s="65">
        <v>2365</v>
      </c>
      <c r="B2374" s="60"/>
      <c r="C2374" s="128" t="s">
        <v>3235</v>
      </c>
      <c r="D2374" s="126"/>
      <c r="E2374" s="127"/>
      <c r="F2374" s="121" t="s">
        <v>56</v>
      </c>
      <c r="G2374" s="122"/>
      <c r="H2374" s="115">
        <v>115.6</v>
      </c>
      <c r="I2374" s="116"/>
    </row>
    <row r="2375" spans="1:9" s="17" customFormat="1" x14ac:dyDescent="0.2">
      <c r="A2375" s="65">
        <v>2366</v>
      </c>
      <c r="B2375" s="60"/>
      <c r="C2375" s="117" t="s">
        <v>1966</v>
      </c>
      <c r="D2375" s="118"/>
      <c r="E2375" s="119"/>
      <c r="F2375" s="124" t="s">
        <v>44</v>
      </c>
      <c r="G2375" s="124"/>
      <c r="H2375" s="115">
        <v>34.799999999999997</v>
      </c>
      <c r="I2375" s="116"/>
    </row>
    <row r="2376" spans="1:9" s="17" customFormat="1" x14ac:dyDescent="0.2">
      <c r="A2376" s="65">
        <v>2367</v>
      </c>
      <c r="B2376" s="60"/>
      <c r="C2376" s="117" t="s">
        <v>5035</v>
      </c>
      <c r="D2376" s="118"/>
      <c r="E2376" s="119"/>
      <c r="F2376" s="124" t="s">
        <v>44</v>
      </c>
      <c r="G2376" s="124"/>
      <c r="H2376" s="115">
        <f>215-68.1+14.4-50</f>
        <v>111.30000000000001</v>
      </c>
      <c r="I2376" s="116"/>
    </row>
    <row r="2377" spans="1:9" s="17" customFormat="1" ht="12.75" customHeight="1" x14ac:dyDescent="0.2">
      <c r="A2377" s="65">
        <v>2368</v>
      </c>
      <c r="B2377" s="60"/>
      <c r="C2377" s="117" t="s">
        <v>411</v>
      </c>
      <c r="D2377" s="118"/>
      <c r="E2377" s="119"/>
      <c r="F2377" s="121" t="s">
        <v>200</v>
      </c>
      <c r="G2377" s="122"/>
      <c r="H2377" s="115">
        <v>13.6</v>
      </c>
      <c r="I2377" s="116"/>
    </row>
    <row r="2378" spans="1:9" s="17" customFormat="1" ht="27" customHeight="1" x14ac:dyDescent="0.2">
      <c r="A2378" s="65">
        <v>2369</v>
      </c>
      <c r="B2378" s="60"/>
      <c r="C2378" s="117" t="s">
        <v>4356</v>
      </c>
      <c r="D2378" s="118"/>
      <c r="E2378" s="119"/>
      <c r="F2378" s="121" t="s">
        <v>43</v>
      </c>
      <c r="G2378" s="122"/>
      <c r="H2378" s="115">
        <f>388.8-14.9-18.4+50</f>
        <v>405.50000000000006</v>
      </c>
      <c r="I2378" s="116"/>
    </row>
    <row r="2379" spans="1:9" s="17" customFormat="1" ht="12.75" customHeight="1" x14ac:dyDescent="0.2">
      <c r="A2379" s="65">
        <v>2370</v>
      </c>
      <c r="B2379" s="60"/>
      <c r="C2379" s="117" t="s">
        <v>1058</v>
      </c>
      <c r="D2379" s="118"/>
      <c r="E2379" s="119"/>
      <c r="F2379" s="121" t="s">
        <v>43</v>
      </c>
      <c r="G2379" s="122"/>
      <c r="H2379" s="115">
        <v>26.4</v>
      </c>
      <c r="I2379" s="116"/>
    </row>
    <row r="2380" spans="1:9" s="17" customFormat="1" ht="12.75" customHeight="1" x14ac:dyDescent="0.2">
      <c r="A2380" s="65">
        <v>2371</v>
      </c>
      <c r="B2380" s="60"/>
      <c r="C2380" s="117" t="s">
        <v>4397</v>
      </c>
      <c r="D2380" s="118"/>
      <c r="E2380" s="119"/>
      <c r="F2380" s="121" t="s">
        <v>43</v>
      </c>
      <c r="G2380" s="122"/>
      <c r="H2380" s="115">
        <f>20.1+17.3</f>
        <v>37.400000000000006</v>
      </c>
      <c r="I2380" s="116"/>
    </row>
    <row r="2381" spans="1:9" s="17" customFormat="1" ht="12.75" customHeight="1" x14ac:dyDescent="0.2">
      <c r="A2381" s="65">
        <v>2372</v>
      </c>
      <c r="B2381" s="60"/>
      <c r="C2381" s="117" t="s">
        <v>391</v>
      </c>
      <c r="D2381" s="118"/>
      <c r="E2381" s="119"/>
      <c r="F2381" s="113" t="s">
        <v>103</v>
      </c>
      <c r="G2381" s="114"/>
      <c r="H2381" s="115"/>
      <c r="I2381" s="116"/>
    </row>
    <row r="2382" spans="1:9" s="17" customFormat="1" ht="12.75" customHeight="1" x14ac:dyDescent="0.2">
      <c r="A2382" s="65">
        <v>2373</v>
      </c>
      <c r="B2382" s="60" t="s">
        <v>4102</v>
      </c>
      <c r="C2382" s="117" t="s">
        <v>5137</v>
      </c>
      <c r="D2382" s="118"/>
      <c r="E2382" s="119"/>
      <c r="F2382" s="121" t="s">
        <v>4383</v>
      </c>
      <c r="G2382" s="122"/>
      <c r="H2382" s="115">
        <v>128.6</v>
      </c>
      <c r="I2382" s="116"/>
    </row>
    <row r="2383" spans="1:9" s="17" customFormat="1" ht="12.75" customHeight="1" x14ac:dyDescent="0.2">
      <c r="A2383" s="65">
        <v>2374</v>
      </c>
      <c r="B2383" s="60"/>
      <c r="C2383" s="117" t="s">
        <v>344</v>
      </c>
      <c r="D2383" s="118"/>
      <c r="E2383" s="119"/>
      <c r="F2383" s="121" t="s">
        <v>341</v>
      </c>
      <c r="G2383" s="122"/>
      <c r="H2383" s="115">
        <v>43.3</v>
      </c>
      <c r="I2383" s="116"/>
    </row>
    <row r="2384" spans="1:9" s="17" customFormat="1" ht="12.75" customHeight="1" x14ac:dyDescent="0.2">
      <c r="A2384" s="65">
        <v>2375</v>
      </c>
      <c r="B2384" s="60"/>
      <c r="C2384" s="117" t="s">
        <v>1239</v>
      </c>
      <c r="D2384" s="118"/>
      <c r="E2384" s="119"/>
      <c r="F2384" s="113" t="s">
        <v>29</v>
      </c>
      <c r="G2384" s="114"/>
      <c r="H2384" s="115">
        <v>57.3</v>
      </c>
      <c r="I2384" s="116"/>
    </row>
    <row r="2385" spans="1:9" s="17" customFormat="1" ht="12.75" customHeight="1" x14ac:dyDescent="0.2">
      <c r="A2385" s="65">
        <v>2376</v>
      </c>
      <c r="B2385" s="60"/>
      <c r="C2385" s="117" t="s">
        <v>3959</v>
      </c>
      <c r="D2385" s="118"/>
      <c r="E2385" s="119"/>
      <c r="F2385" s="113" t="s">
        <v>62</v>
      </c>
      <c r="G2385" s="114"/>
      <c r="H2385" s="115">
        <f>12.3+4.6-5.1-4.6</f>
        <v>7.1999999999999993</v>
      </c>
      <c r="I2385" s="116"/>
    </row>
    <row r="2386" spans="1:9" s="17" customFormat="1" ht="12.75" customHeight="1" x14ac:dyDescent="0.2">
      <c r="A2386" s="65">
        <v>2377</v>
      </c>
      <c r="B2386" s="60"/>
      <c r="C2386" s="117" t="s">
        <v>247</v>
      </c>
      <c r="D2386" s="118"/>
      <c r="E2386" s="119"/>
      <c r="F2386" s="121" t="s">
        <v>58</v>
      </c>
      <c r="G2386" s="122"/>
      <c r="H2386" s="115">
        <v>82</v>
      </c>
      <c r="I2386" s="116"/>
    </row>
    <row r="2387" spans="1:9" s="17" customFormat="1" ht="12.75" customHeight="1" x14ac:dyDescent="0.2">
      <c r="A2387" s="65">
        <v>2378</v>
      </c>
      <c r="B2387" s="60"/>
      <c r="C2387" s="117" t="s">
        <v>2638</v>
      </c>
      <c r="D2387" s="118"/>
      <c r="E2387" s="119"/>
      <c r="F2387" s="121" t="s">
        <v>80</v>
      </c>
      <c r="G2387" s="122"/>
      <c r="H2387" s="115">
        <f>218.2-49-9.3-111</f>
        <v>48.899999999999977</v>
      </c>
      <c r="I2387" s="116"/>
    </row>
    <row r="2388" spans="1:9" s="23" customFormat="1" ht="13.5" customHeight="1" x14ac:dyDescent="0.2">
      <c r="A2388" s="65">
        <v>2379</v>
      </c>
      <c r="B2388" s="60"/>
      <c r="C2388" s="117" t="s">
        <v>1352</v>
      </c>
      <c r="D2388" s="118"/>
      <c r="E2388" s="119"/>
      <c r="F2388" s="121" t="s">
        <v>87</v>
      </c>
      <c r="G2388" s="122"/>
      <c r="H2388" s="115">
        <v>40.6</v>
      </c>
      <c r="I2388" s="116"/>
    </row>
    <row r="2389" spans="1:9" s="17" customFormat="1" ht="12.75" customHeight="1" x14ac:dyDescent="0.2">
      <c r="A2389" s="65">
        <v>2380</v>
      </c>
      <c r="B2389" s="60"/>
      <c r="C2389" s="117" t="s">
        <v>655</v>
      </c>
      <c r="D2389" s="118"/>
      <c r="E2389" s="119"/>
      <c r="F2389" s="113" t="s">
        <v>29</v>
      </c>
      <c r="G2389" s="114"/>
      <c r="H2389" s="115">
        <f>39.9-20.2</f>
        <v>19.7</v>
      </c>
      <c r="I2389" s="116"/>
    </row>
    <row r="2390" spans="1:9" s="17" customFormat="1" ht="12.75" customHeight="1" x14ac:dyDescent="0.2">
      <c r="A2390" s="65">
        <v>2381</v>
      </c>
      <c r="B2390" s="60"/>
      <c r="C2390" s="117" t="s">
        <v>790</v>
      </c>
      <c r="D2390" s="118"/>
      <c r="E2390" s="119"/>
      <c r="F2390" s="121" t="s">
        <v>200</v>
      </c>
      <c r="G2390" s="122"/>
      <c r="H2390" s="115">
        <v>82</v>
      </c>
      <c r="I2390" s="116"/>
    </row>
    <row r="2391" spans="1:9" s="17" customFormat="1" ht="12.75" customHeight="1" x14ac:dyDescent="0.2">
      <c r="A2391" s="65">
        <v>2382</v>
      </c>
      <c r="B2391" s="60"/>
      <c r="C2391" s="117" t="s">
        <v>590</v>
      </c>
      <c r="D2391" s="118"/>
      <c r="E2391" s="119"/>
      <c r="F2391" s="121" t="s">
        <v>107</v>
      </c>
      <c r="G2391" s="122"/>
      <c r="H2391" s="115">
        <v>12.3</v>
      </c>
      <c r="I2391" s="116"/>
    </row>
    <row r="2392" spans="1:9" s="17" customFormat="1" ht="24.75" customHeight="1" x14ac:dyDescent="0.2">
      <c r="A2392" s="65">
        <v>2383</v>
      </c>
      <c r="B2392" s="60"/>
      <c r="C2392" s="117" t="s">
        <v>2118</v>
      </c>
      <c r="D2392" s="118"/>
      <c r="E2392" s="119"/>
      <c r="F2392" s="121" t="s">
        <v>80</v>
      </c>
      <c r="G2392" s="122"/>
      <c r="H2392" s="115">
        <v>45</v>
      </c>
      <c r="I2392" s="116"/>
    </row>
    <row r="2393" spans="1:9" s="17" customFormat="1" ht="12.75" customHeight="1" x14ac:dyDescent="0.2">
      <c r="A2393" s="65">
        <v>2384</v>
      </c>
      <c r="B2393" s="60"/>
      <c r="C2393" s="117" t="s">
        <v>1991</v>
      </c>
      <c r="D2393" s="118"/>
      <c r="E2393" s="119"/>
      <c r="F2393" s="113" t="s">
        <v>76</v>
      </c>
      <c r="G2393" s="114"/>
      <c r="H2393" s="115">
        <f>65+56.5+9.6+10.9-32.4+7.6-7.6-10.9+47.4+3-9.6-32.6+47.8+27-3-27-47.4+100.5-47.8+61.5-100.5</f>
        <v>118</v>
      </c>
      <c r="I2393" s="116"/>
    </row>
    <row r="2394" spans="1:9" s="17" customFormat="1" ht="12.75" customHeight="1" x14ac:dyDescent="0.2">
      <c r="A2394" s="65">
        <v>2385</v>
      </c>
      <c r="B2394" s="60"/>
      <c r="C2394" s="117" t="s">
        <v>2397</v>
      </c>
      <c r="D2394" s="118"/>
      <c r="E2394" s="119"/>
      <c r="F2394" s="113" t="s">
        <v>76</v>
      </c>
      <c r="G2394" s="114"/>
      <c r="H2394" s="115">
        <v>50.7</v>
      </c>
      <c r="I2394" s="116"/>
    </row>
    <row r="2395" spans="1:9" s="17" customFormat="1" ht="12.75" customHeight="1" x14ac:dyDescent="0.2">
      <c r="A2395" s="65">
        <v>2386</v>
      </c>
      <c r="B2395" s="60"/>
      <c r="C2395" s="117" t="s">
        <v>1783</v>
      </c>
      <c r="D2395" s="118"/>
      <c r="E2395" s="119"/>
      <c r="F2395" s="113" t="s">
        <v>76</v>
      </c>
      <c r="G2395" s="114"/>
      <c r="H2395" s="115">
        <f>40.3-13.8</f>
        <v>26.499999999999996</v>
      </c>
      <c r="I2395" s="116"/>
    </row>
    <row r="2396" spans="1:9" s="17" customFormat="1" ht="12.75" customHeight="1" x14ac:dyDescent="0.2">
      <c r="A2396" s="65">
        <v>2387</v>
      </c>
      <c r="B2396" s="60"/>
      <c r="C2396" s="117" t="s">
        <v>2187</v>
      </c>
      <c r="D2396" s="118"/>
      <c r="E2396" s="119"/>
      <c r="F2396" s="113" t="s">
        <v>59</v>
      </c>
      <c r="G2396" s="114"/>
      <c r="H2396" s="115">
        <f>50.2+10.4-10.4+38.4-38.4</f>
        <v>50.199999999999996</v>
      </c>
      <c r="I2396" s="116"/>
    </row>
    <row r="2397" spans="1:9" s="17" customFormat="1" ht="12.75" customHeight="1" x14ac:dyDescent="0.2">
      <c r="A2397" s="65">
        <v>2388</v>
      </c>
      <c r="B2397" s="60">
        <v>2</v>
      </c>
      <c r="C2397" s="117" t="s">
        <v>764</v>
      </c>
      <c r="D2397" s="118"/>
      <c r="E2397" s="119"/>
      <c r="F2397" s="113" t="s">
        <v>57</v>
      </c>
      <c r="G2397" s="114"/>
      <c r="H2397" s="115">
        <v>432</v>
      </c>
      <c r="I2397" s="116"/>
    </row>
    <row r="2398" spans="1:9" s="17" customFormat="1" ht="12.75" customHeight="1" x14ac:dyDescent="0.2">
      <c r="A2398" s="65">
        <v>2389</v>
      </c>
      <c r="B2398" s="60"/>
      <c r="C2398" s="117" t="s">
        <v>2156</v>
      </c>
      <c r="D2398" s="118"/>
      <c r="E2398" s="119"/>
      <c r="F2398" s="121" t="s">
        <v>80</v>
      </c>
      <c r="G2398" s="122"/>
      <c r="H2398" s="115">
        <f>313.6-85.6-40.5</f>
        <v>187.50000000000003</v>
      </c>
      <c r="I2398" s="116"/>
    </row>
    <row r="2399" spans="1:9" s="17" customFormat="1" ht="12.75" customHeight="1" x14ac:dyDescent="0.2">
      <c r="A2399" s="65">
        <v>2390</v>
      </c>
      <c r="B2399" s="60" t="s">
        <v>3676</v>
      </c>
      <c r="C2399" s="117" t="s">
        <v>4529</v>
      </c>
      <c r="D2399" s="118"/>
      <c r="E2399" s="119"/>
      <c r="F2399" s="121" t="s">
        <v>96</v>
      </c>
      <c r="G2399" s="122"/>
      <c r="H2399" s="115">
        <v>44</v>
      </c>
      <c r="I2399" s="116"/>
    </row>
    <row r="2400" spans="1:9" s="17" customFormat="1" ht="12.75" customHeight="1" x14ac:dyDescent="0.2">
      <c r="A2400" s="65">
        <v>2391</v>
      </c>
      <c r="B2400" s="60"/>
      <c r="C2400" s="117" t="s">
        <v>1349</v>
      </c>
      <c r="D2400" s="118"/>
      <c r="E2400" s="119"/>
      <c r="F2400" s="121" t="s">
        <v>87</v>
      </c>
      <c r="G2400" s="122"/>
      <c r="H2400" s="115">
        <f>102.4+97.9+29-12-29-45.5-90.4+28.6+22.1+27+27-52.4</f>
        <v>104.69999999999999</v>
      </c>
      <c r="I2400" s="116"/>
    </row>
    <row r="2401" spans="1:9" s="17" customFormat="1" ht="12.75" customHeight="1" x14ac:dyDescent="0.2">
      <c r="A2401" s="65">
        <v>2392</v>
      </c>
      <c r="B2401" s="60"/>
      <c r="C2401" s="117" t="s">
        <v>319</v>
      </c>
      <c r="D2401" s="118"/>
      <c r="E2401" s="119"/>
      <c r="F2401" s="121" t="s">
        <v>6</v>
      </c>
      <c r="G2401" s="122"/>
      <c r="H2401" s="115">
        <v>49.2</v>
      </c>
      <c r="I2401" s="116"/>
    </row>
    <row r="2402" spans="1:9" s="17" customFormat="1" ht="26.25" customHeight="1" x14ac:dyDescent="0.2">
      <c r="A2402" s="65">
        <v>2393</v>
      </c>
      <c r="B2402" s="60"/>
      <c r="C2402" s="117" t="s">
        <v>2471</v>
      </c>
      <c r="D2402" s="118"/>
      <c r="E2402" s="119"/>
      <c r="F2402" s="121" t="s">
        <v>55</v>
      </c>
      <c r="G2402" s="122"/>
      <c r="H2402" s="115">
        <f>586.1-58.6-75</f>
        <v>452.5</v>
      </c>
      <c r="I2402" s="116"/>
    </row>
    <row r="2403" spans="1:9" s="17" customFormat="1" ht="12.75" customHeight="1" x14ac:dyDescent="0.2">
      <c r="A2403" s="65">
        <v>2394</v>
      </c>
      <c r="B2403" s="60"/>
      <c r="C2403" s="117" t="s">
        <v>4237</v>
      </c>
      <c r="D2403" s="118"/>
      <c r="E2403" s="119"/>
      <c r="F2403" s="121" t="s">
        <v>4238</v>
      </c>
      <c r="G2403" s="122"/>
      <c r="H2403" s="115">
        <v>52.9</v>
      </c>
      <c r="I2403" s="116"/>
    </row>
    <row r="2404" spans="1:9" s="17" customFormat="1" ht="12.75" customHeight="1" x14ac:dyDescent="0.2">
      <c r="A2404" s="65">
        <v>2395</v>
      </c>
      <c r="B2404" s="60"/>
      <c r="C2404" s="117" t="s">
        <v>3293</v>
      </c>
      <c r="D2404" s="118"/>
      <c r="E2404" s="119"/>
      <c r="F2404" s="121" t="s">
        <v>27</v>
      </c>
      <c r="G2404" s="122"/>
      <c r="H2404" s="115">
        <f>201-95.4-62.7</f>
        <v>42.899999999999991</v>
      </c>
      <c r="I2404" s="116"/>
    </row>
    <row r="2405" spans="1:9" s="17" customFormat="1" ht="27" customHeight="1" x14ac:dyDescent="0.2">
      <c r="A2405" s="65">
        <v>2396</v>
      </c>
      <c r="B2405" s="60">
        <v>2</v>
      </c>
      <c r="C2405" s="117" t="s">
        <v>4613</v>
      </c>
      <c r="D2405" s="118"/>
      <c r="E2405" s="119"/>
      <c r="F2405" s="121" t="s">
        <v>17</v>
      </c>
      <c r="G2405" s="122"/>
      <c r="H2405" s="115">
        <f>1872-128-29-51+1-26-16</f>
        <v>1623</v>
      </c>
      <c r="I2405" s="116"/>
    </row>
    <row r="2406" spans="1:9" s="17" customFormat="1" ht="12.75" customHeight="1" x14ac:dyDescent="0.2">
      <c r="A2406" s="65">
        <v>2397</v>
      </c>
      <c r="B2406" s="60"/>
      <c r="C2406" s="117" t="s">
        <v>1400</v>
      </c>
      <c r="D2406" s="118"/>
      <c r="E2406" s="119"/>
      <c r="F2406" s="121" t="s">
        <v>200</v>
      </c>
      <c r="G2406" s="122"/>
      <c r="H2406" s="115">
        <f>29.6+24-29.6+87.4+48.3-24-48.3</f>
        <v>87.399999999999991</v>
      </c>
      <c r="I2406" s="116"/>
    </row>
    <row r="2407" spans="1:9" s="17" customFormat="1" ht="12.75" customHeight="1" x14ac:dyDescent="0.2">
      <c r="A2407" s="65">
        <v>2398</v>
      </c>
      <c r="B2407" s="60"/>
      <c r="C2407" s="117" t="s">
        <v>2814</v>
      </c>
      <c r="D2407" s="118"/>
      <c r="E2407" s="119"/>
      <c r="F2407" s="121" t="s">
        <v>200</v>
      </c>
      <c r="G2407" s="122"/>
      <c r="H2407" s="115">
        <v>36.700000000000003</v>
      </c>
      <c r="I2407" s="116"/>
    </row>
    <row r="2408" spans="1:9" s="17" customFormat="1" ht="12.75" customHeight="1" x14ac:dyDescent="0.2">
      <c r="A2408" s="65">
        <v>2399</v>
      </c>
      <c r="B2408" s="60"/>
      <c r="C2408" s="117" t="s">
        <v>1990</v>
      </c>
      <c r="D2408" s="118"/>
      <c r="E2408" s="119"/>
      <c r="F2408" s="113" t="s">
        <v>76</v>
      </c>
      <c r="G2408" s="114"/>
      <c r="H2408" s="115">
        <f>124.2-51.5+30.3-12.6-72.7</f>
        <v>17.700000000000003</v>
      </c>
      <c r="I2408" s="116"/>
    </row>
    <row r="2409" spans="1:9" s="17" customFormat="1" ht="12.75" customHeight="1" x14ac:dyDescent="0.2">
      <c r="A2409" s="65">
        <v>2400</v>
      </c>
      <c r="B2409" s="60"/>
      <c r="C2409" s="117" t="s">
        <v>604</v>
      </c>
      <c r="D2409" s="118"/>
      <c r="E2409" s="119"/>
      <c r="F2409" s="121" t="s">
        <v>200</v>
      </c>
      <c r="G2409" s="122"/>
      <c r="H2409" s="115">
        <v>88</v>
      </c>
      <c r="I2409" s="116"/>
    </row>
    <row r="2410" spans="1:9" s="17" customFormat="1" ht="22.5" customHeight="1" x14ac:dyDescent="0.2">
      <c r="A2410" s="65">
        <v>2401</v>
      </c>
      <c r="B2410" s="60"/>
      <c r="C2410" s="117" t="s">
        <v>1911</v>
      </c>
      <c r="D2410" s="118"/>
      <c r="E2410" s="119"/>
      <c r="F2410" s="113" t="s">
        <v>76</v>
      </c>
      <c r="G2410" s="114"/>
      <c r="H2410" s="115">
        <f>200.6+54.1-142+34+17.4-34-58.6-27.3+90.7+55.5+18.4-26.8+165+151.8-110-35.8-55-55.5</f>
        <v>242.5</v>
      </c>
      <c r="I2410" s="116"/>
    </row>
    <row r="2411" spans="1:9" s="17" customFormat="1" ht="12.75" customHeight="1" x14ac:dyDescent="0.2">
      <c r="A2411" s="65">
        <v>2402</v>
      </c>
      <c r="B2411" s="60"/>
      <c r="C2411" s="117" t="s">
        <v>334</v>
      </c>
      <c r="D2411" s="118"/>
      <c r="E2411" s="119"/>
      <c r="F2411" s="158" t="s">
        <v>27</v>
      </c>
      <c r="G2411" s="159"/>
      <c r="H2411" s="115">
        <v>71.400000000000006</v>
      </c>
      <c r="I2411" s="116"/>
    </row>
    <row r="2412" spans="1:9" s="17" customFormat="1" ht="12.75" customHeight="1" x14ac:dyDescent="0.2">
      <c r="A2412" s="65">
        <v>2403</v>
      </c>
      <c r="B2412" s="60"/>
      <c r="C2412" s="128" t="s">
        <v>665</v>
      </c>
      <c r="D2412" s="126"/>
      <c r="E2412" s="127"/>
      <c r="F2412" s="121" t="s">
        <v>102</v>
      </c>
      <c r="G2412" s="122"/>
      <c r="H2412" s="140">
        <v>45.8</v>
      </c>
      <c r="I2412" s="141"/>
    </row>
    <row r="2413" spans="1:9" s="79" customFormat="1" ht="12.75" customHeight="1" x14ac:dyDescent="0.2">
      <c r="A2413" s="65">
        <v>2404</v>
      </c>
      <c r="B2413" s="60"/>
      <c r="C2413" s="117" t="s">
        <v>3621</v>
      </c>
      <c r="D2413" s="118"/>
      <c r="E2413" s="119"/>
      <c r="F2413" s="121" t="s">
        <v>30</v>
      </c>
      <c r="G2413" s="122"/>
      <c r="H2413" s="115">
        <f>125.2-68-0.7</f>
        <v>56.5</v>
      </c>
      <c r="I2413" s="116"/>
    </row>
    <row r="2414" spans="1:9" s="79" customFormat="1" ht="12.75" customHeight="1" x14ac:dyDescent="0.2">
      <c r="A2414" s="65">
        <v>2405</v>
      </c>
      <c r="B2414" s="60"/>
      <c r="C2414" s="117" t="s">
        <v>2206</v>
      </c>
      <c r="D2414" s="118"/>
      <c r="E2414" s="119"/>
      <c r="F2414" s="121" t="s">
        <v>56</v>
      </c>
      <c r="G2414" s="122"/>
      <c r="H2414" s="115">
        <v>30.4</v>
      </c>
      <c r="I2414" s="116"/>
    </row>
    <row r="2415" spans="1:9" s="79" customFormat="1" ht="12.75" customHeight="1" x14ac:dyDescent="0.2">
      <c r="A2415" s="65">
        <v>2406</v>
      </c>
      <c r="B2415" s="60"/>
      <c r="C2415" s="117" t="s">
        <v>3340</v>
      </c>
      <c r="D2415" s="118"/>
      <c r="E2415" s="119"/>
      <c r="F2415" s="121" t="s">
        <v>30</v>
      </c>
      <c r="G2415" s="122"/>
      <c r="H2415" s="115">
        <f>25.4-5.7</f>
        <v>19.7</v>
      </c>
      <c r="I2415" s="116"/>
    </row>
    <row r="2416" spans="1:9" s="17" customFormat="1" ht="12.75" customHeight="1" x14ac:dyDescent="0.2">
      <c r="A2416" s="65">
        <v>2407</v>
      </c>
      <c r="B2416" s="60">
        <v>6</v>
      </c>
      <c r="C2416" s="117" t="s">
        <v>3761</v>
      </c>
      <c r="D2416" s="118"/>
      <c r="E2416" s="119"/>
      <c r="F2416" s="121" t="s">
        <v>56</v>
      </c>
      <c r="G2416" s="122"/>
      <c r="H2416" s="115">
        <v>160</v>
      </c>
      <c r="I2416" s="116"/>
    </row>
    <row r="2417" spans="1:9" s="17" customFormat="1" ht="12.75" customHeight="1" x14ac:dyDescent="0.2">
      <c r="A2417" s="65">
        <v>2408</v>
      </c>
      <c r="B2417" s="60"/>
      <c r="C2417" s="117" t="s">
        <v>589</v>
      </c>
      <c r="D2417" s="118"/>
      <c r="E2417" s="119"/>
      <c r="F2417" s="121" t="s">
        <v>2</v>
      </c>
      <c r="G2417" s="122"/>
      <c r="H2417" s="115">
        <v>11</v>
      </c>
      <c r="I2417" s="116"/>
    </row>
    <row r="2418" spans="1:9" s="17" customFormat="1" ht="12.75" customHeight="1" x14ac:dyDescent="0.2">
      <c r="A2418" s="65">
        <v>2409</v>
      </c>
      <c r="B2418" s="60"/>
      <c r="C2418" s="128" t="s">
        <v>351</v>
      </c>
      <c r="D2418" s="126"/>
      <c r="E2418" s="127"/>
      <c r="F2418" s="113" t="s">
        <v>76</v>
      </c>
      <c r="G2418" s="114"/>
      <c r="H2418" s="115">
        <f>40.1-20.1+77.5</f>
        <v>97.5</v>
      </c>
      <c r="I2418" s="116"/>
    </row>
    <row r="2419" spans="1:9" s="17" customFormat="1" ht="12.75" customHeight="1" x14ac:dyDescent="0.2">
      <c r="A2419" s="65">
        <v>2410</v>
      </c>
      <c r="B2419" s="60"/>
      <c r="C2419" s="128" t="s">
        <v>2389</v>
      </c>
      <c r="D2419" s="126"/>
      <c r="E2419" s="127"/>
      <c r="F2419" s="124" t="s">
        <v>42</v>
      </c>
      <c r="G2419" s="124"/>
      <c r="H2419" s="115">
        <v>69.400000000000006</v>
      </c>
      <c r="I2419" s="116"/>
    </row>
    <row r="2420" spans="1:9" s="17" customFormat="1" ht="12.75" customHeight="1" x14ac:dyDescent="0.2">
      <c r="A2420" s="65">
        <v>2411</v>
      </c>
      <c r="B2420" s="60"/>
      <c r="C2420" s="117" t="s">
        <v>218</v>
      </c>
      <c r="D2420" s="118"/>
      <c r="E2420" s="119"/>
      <c r="F2420" s="113" t="s">
        <v>76</v>
      </c>
      <c r="G2420" s="114"/>
      <c r="H2420" s="115">
        <v>23</v>
      </c>
      <c r="I2420" s="116"/>
    </row>
    <row r="2421" spans="1:9" s="17" customFormat="1" ht="12.75" customHeight="1" x14ac:dyDescent="0.2">
      <c r="A2421" s="65">
        <v>2412</v>
      </c>
      <c r="B2421" s="60"/>
      <c r="C2421" s="117" t="s">
        <v>3151</v>
      </c>
      <c r="D2421" s="118"/>
      <c r="E2421" s="119"/>
      <c r="F2421" s="121" t="s">
        <v>153</v>
      </c>
      <c r="G2421" s="122"/>
      <c r="H2421" s="115">
        <f>119-6.5</f>
        <v>112.5</v>
      </c>
      <c r="I2421" s="116"/>
    </row>
    <row r="2422" spans="1:9" s="17" customFormat="1" ht="12.75" customHeight="1" x14ac:dyDescent="0.2">
      <c r="A2422" s="65">
        <v>2413</v>
      </c>
      <c r="B2422" s="60">
        <v>6</v>
      </c>
      <c r="C2422" s="128" t="s">
        <v>2796</v>
      </c>
      <c r="D2422" s="126"/>
      <c r="E2422" s="127"/>
      <c r="F2422" s="113" t="s">
        <v>62</v>
      </c>
      <c r="G2422" s="114"/>
      <c r="H2422" s="115">
        <v>190</v>
      </c>
      <c r="I2422" s="116"/>
    </row>
    <row r="2423" spans="1:9" s="17" customFormat="1" ht="31.5" customHeight="1" x14ac:dyDescent="0.2">
      <c r="A2423" s="65">
        <v>2414</v>
      </c>
      <c r="B2423" s="60"/>
      <c r="C2423" s="128" t="s">
        <v>2803</v>
      </c>
      <c r="D2423" s="126"/>
      <c r="E2423" s="127"/>
      <c r="F2423" s="113" t="s">
        <v>76</v>
      </c>
      <c r="G2423" s="114"/>
      <c r="H2423" s="115">
        <f>261.6+527.4+133.3-93+56+64.5-68+15-15-123.6-57-56.8+106.9+56.5-113-128.2-44.6-169.4-55+62.9-56.8</f>
        <v>303.69999999999987</v>
      </c>
      <c r="I2423" s="116"/>
    </row>
    <row r="2424" spans="1:9" s="17" customFormat="1" ht="12.75" customHeight="1" x14ac:dyDescent="0.2">
      <c r="A2424" s="65">
        <v>2415</v>
      </c>
      <c r="B2424" s="60"/>
      <c r="C2424" s="128" t="s">
        <v>2797</v>
      </c>
      <c r="D2424" s="126"/>
      <c r="E2424" s="127"/>
      <c r="F2424" s="113" t="s">
        <v>76</v>
      </c>
      <c r="G2424" s="114"/>
      <c r="H2424" s="115">
        <v>29.6</v>
      </c>
      <c r="I2424" s="116"/>
    </row>
    <row r="2425" spans="1:9" s="17" customFormat="1" ht="27.75" customHeight="1" x14ac:dyDescent="0.2">
      <c r="A2425" s="65">
        <v>2416</v>
      </c>
      <c r="B2425" s="60"/>
      <c r="C2425" s="128" t="s">
        <v>4937</v>
      </c>
      <c r="D2425" s="126"/>
      <c r="E2425" s="127"/>
      <c r="F2425" s="133" t="s">
        <v>76</v>
      </c>
      <c r="G2425" s="134"/>
      <c r="H2425" s="140">
        <f>402.8-66.4-19.2-114.5-148.2+0.3+22+6.5+15.6-22-6.5-15.6+18.4+7+9.6-18.4+6.7-6.7-9.6+35.8-24.4+8.4-30.4-8.4+11.2-11.2+21-7+7.3+14+13+12.2-14-10+8.2+19.5-19.5-35.8+11+22.6+38+5-8.2+8.2-5+6.3+10-6.3-7.3-13</f>
        <v>112.99999999999999</v>
      </c>
      <c r="I2425" s="141"/>
    </row>
    <row r="2426" spans="1:9" s="17" customFormat="1" ht="12.75" customHeight="1" x14ac:dyDescent="0.2">
      <c r="A2426" s="65">
        <v>2417</v>
      </c>
      <c r="B2426" s="60">
        <v>6</v>
      </c>
      <c r="C2426" s="128" t="s">
        <v>2798</v>
      </c>
      <c r="D2426" s="126"/>
      <c r="E2426" s="127"/>
      <c r="F2426" s="133" t="s">
        <v>57</v>
      </c>
      <c r="G2426" s="134"/>
      <c r="H2426" s="140">
        <f>233-77.6</f>
        <v>155.4</v>
      </c>
      <c r="I2426" s="141"/>
    </row>
    <row r="2427" spans="1:9" s="17" customFormat="1" ht="26.25" customHeight="1" x14ac:dyDescent="0.2">
      <c r="A2427" s="65">
        <v>2418</v>
      </c>
      <c r="B2427" s="60"/>
      <c r="C2427" s="128" t="s">
        <v>2799</v>
      </c>
      <c r="D2427" s="126"/>
      <c r="E2427" s="127"/>
      <c r="F2427" s="133" t="s">
        <v>59</v>
      </c>
      <c r="G2427" s="134"/>
      <c r="H2427" s="140">
        <f>116.6+61.8+61.9+290+250.7+8.9-58.3+24.4-8.9-124+53.8-170.1+39-62+7.4-7.4-18-24.4+40.4+13.1-13.1</f>
        <v>481.79999999999995</v>
      </c>
      <c r="I2427" s="141"/>
    </row>
    <row r="2428" spans="1:9" s="17" customFormat="1" ht="12.75" customHeight="1" x14ac:dyDescent="0.2">
      <c r="A2428" s="65">
        <v>2419</v>
      </c>
      <c r="B2428" s="60"/>
      <c r="C2428" s="128" t="s">
        <v>2800</v>
      </c>
      <c r="D2428" s="126"/>
      <c r="E2428" s="127"/>
      <c r="F2428" s="133" t="s">
        <v>57</v>
      </c>
      <c r="G2428" s="134"/>
      <c r="H2428" s="140">
        <f>93.3-31.5-31</f>
        <v>30.799999999999997</v>
      </c>
      <c r="I2428" s="141"/>
    </row>
    <row r="2429" spans="1:9" s="17" customFormat="1" ht="12.75" customHeight="1" x14ac:dyDescent="0.2">
      <c r="A2429" s="65">
        <v>2420</v>
      </c>
      <c r="B2429" s="60"/>
      <c r="C2429" s="117" t="s">
        <v>2801</v>
      </c>
      <c r="D2429" s="118"/>
      <c r="E2429" s="119"/>
      <c r="F2429" s="121" t="s">
        <v>141</v>
      </c>
      <c r="G2429" s="122"/>
      <c r="H2429" s="115">
        <v>65.099999999999994</v>
      </c>
      <c r="I2429" s="116"/>
    </row>
    <row r="2430" spans="1:9" s="17" customFormat="1" ht="12.75" customHeight="1" x14ac:dyDescent="0.2">
      <c r="A2430" s="65">
        <v>2421</v>
      </c>
      <c r="B2430" s="60"/>
      <c r="C2430" s="128" t="s">
        <v>4721</v>
      </c>
      <c r="D2430" s="126"/>
      <c r="E2430" s="127"/>
      <c r="F2430" s="121" t="s">
        <v>141</v>
      </c>
      <c r="G2430" s="122"/>
      <c r="H2430" s="115">
        <v>40</v>
      </c>
      <c r="I2430" s="116"/>
    </row>
    <row r="2431" spans="1:9" s="17" customFormat="1" ht="12.75" customHeight="1" x14ac:dyDescent="0.2">
      <c r="A2431" s="65">
        <v>2422</v>
      </c>
      <c r="B2431" s="60"/>
      <c r="C2431" s="128" t="s">
        <v>2802</v>
      </c>
      <c r="D2431" s="126"/>
      <c r="E2431" s="127"/>
      <c r="F2431" s="133" t="s">
        <v>76</v>
      </c>
      <c r="G2431" s="134"/>
      <c r="H2431" s="140"/>
      <c r="I2431" s="141"/>
    </row>
    <row r="2432" spans="1:9" s="17" customFormat="1" ht="12.75" customHeight="1" x14ac:dyDescent="0.2">
      <c r="A2432" s="65">
        <v>2423</v>
      </c>
      <c r="B2432" s="60">
        <v>6</v>
      </c>
      <c r="C2432" s="117" t="s">
        <v>410</v>
      </c>
      <c r="D2432" s="118"/>
      <c r="E2432" s="119"/>
      <c r="F2432" s="121" t="s">
        <v>80</v>
      </c>
      <c r="G2432" s="122"/>
      <c r="H2432" s="115">
        <v>180</v>
      </c>
      <c r="I2432" s="116"/>
    </row>
    <row r="2433" spans="1:9" s="17" customFormat="1" ht="12.75" customHeight="1" x14ac:dyDescent="0.2">
      <c r="A2433" s="65">
        <v>2424</v>
      </c>
      <c r="B2433" s="60">
        <v>6</v>
      </c>
      <c r="C2433" s="117" t="s">
        <v>637</v>
      </c>
      <c r="D2433" s="118"/>
      <c r="E2433" s="119"/>
      <c r="F2433" s="121" t="s">
        <v>80</v>
      </c>
      <c r="G2433" s="122"/>
      <c r="H2433" s="115">
        <v>115</v>
      </c>
      <c r="I2433" s="116"/>
    </row>
    <row r="2434" spans="1:9" s="17" customFormat="1" ht="12.75" customHeight="1" x14ac:dyDescent="0.2">
      <c r="A2434" s="65">
        <v>2425</v>
      </c>
      <c r="B2434" s="60">
        <v>2</v>
      </c>
      <c r="C2434" s="160" t="s">
        <v>1281</v>
      </c>
      <c r="D2434" s="161"/>
      <c r="E2434" s="162"/>
      <c r="F2434" s="121" t="s">
        <v>80</v>
      </c>
      <c r="G2434" s="122"/>
      <c r="H2434" s="115">
        <f>340-176-61</f>
        <v>103</v>
      </c>
      <c r="I2434" s="116"/>
    </row>
    <row r="2435" spans="1:9" s="17" customFormat="1" ht="12.75" customHeight="1" x14ac:dyDescent="0.2">
      <c r="A2435" s="65">
        <v>2426</v>
      </c>
      <c r="B2435" s="60"/>
      <c r="C2435" s="160" t="s">
        <v>1163</v>
      </c>
      <c r="D2435" s="161"/>
      <c r="E2435" s="162"/>
      <c r="F2435" s="121" t="s">
        <v>80</v>
      </c>
      <c r="G2435" s="122"/>
      <c r="H2435" s="115">
        <f>127-26+25.6-25.6</f>
        <v>101</v>
      </c>
      <c r="I2435" s="116"/>
    </row>
    <row r="2436" spans="1:9" s="17" customFormat="1" ht="15" customHeight="1" x14ac:dyDescent="0.2">
      <c r="A2436" s="65">
        <v>2427</v>
      </c>
      <c r="B2436" s="60"/>
      <c r="C2436" s="117" t="s">
        <v>2331</v>
      </c>
      <c r="D2436" s="118"/>
      <c r="E2436" s="119"/>
      <c r="F2436" s="121" t="s">
        <v>64</v>
      </c>
      <c r="G2436" s="122"/>
      <c r="H2436" s="115">
        <v>40.299999999999997</v>
      </c>
      <c r="I2436" s="116"/>
    </row>
    <row r="2437" spans="1:9" s="17" customFormat="1" ht="12.75" customHeight="1" x14ac:dyDescent="0.2">
      <c r="A2437" s="65">
        <v>2428</v>
      </c>
      <c r="B2437" s="60"/>
      <c r="C2437" s="117" t="s">
        <v>1803</v>
      </c>
      <c r="D2437" s="118"/>
      <c r="E2437" s="119"/>
      <c r="F2437" s="121" t="s">
        <v>96</v>
      </c>
      <c r="G2437" s="122"/>
      <c r="H2437" s="115">
        <v>60.5</v>
      </c>
      <c r="I2437" s="116"/>
    </row>
    <row r="2438" spans="1:9" s="23" customFormat="1" ht="13.5" customHeight="1" x14ac:dyDescent="0.2">
      <c r="A2438" s="65">
        <v>2429</v>
      </c>
      <c r="B2438" s="60">
        <v>2</v>
      </c>
      <c r="C2438" s="117" t="s">
        <v>1467</v>
      </c>
      <c r="D2438" s="118"/>
      <c r="E2438" s="119"/>
      <c r="F2438" s="121" t="s">
        <v>87</v>
      </c>
      <c r="G2438" s="122"/>
      <c r="H2438" s="115">
        <f>235-91</f>
        <v>144</v>
      </c>
      <c r="I2438" s="116"/>
    </row>
    <row r="2439" spans="1:9" s="17" customFormat="1" ht="12.75" customHeight="1" x14ac:dyDescent="0.2">
      <c r="A2439" s="65">
        <v>2430</v>
      </c>
      <c r="B2439" s="60"/>
      <c r="C2439" s="117" t="s">
        <v>985</v>
      </c>
      <c r="D2439" s="118"/>
      <c r="E2439" s="119"/>
      <c r="F2439" s="121" t="s">
        <v>87</v>
      </c>
      <c r="G2439" s="122"/>
      <c r="H2439" s="115">
        <f>46.3-19+91.8-20.3</f>
        <v>98.8</v>
      </c>
      <c r="I2439" s="116"/>
    </row>
    <row r="2440" spans="1:9" s="17" customFormat="1" ht="12.75" customHeight="1" x14ac:dyDescent="0.2">
      <c r="A2440" s="65">
        <v>2431</v>
      </c>
      <c r="B2440" s="60"/>
      <c r="C2440" s="128" t="s">
        <v>333</v>
      </c>
      <c r="D2440" s="126"/>
      <c r="E2440" s="127"/>
      <c r="F2440" s="121" t="s">
        <v>68</v>
      </c>
      <c r="G2440" s="122"/>
      <c r="H2440" s="115">
        <v>117.8</v>
      </c>
      <c r="I2440" s="116"/>
    </row>
    <row r="2441" spans="1:9" s="17" customFormat="1" ht="12.75" customHeight="1" x14ac:dyDescent="0.2">
      <c r="A2441" s="65">
        <v>2432</v>
      </c>
      <c r="B2441" s="60"/>
      <c r="C2441" s="117" t="s">
        <v>242</v>
      </c>
      <c r="D2441" s="118"/>
      <c r="E2441" s="119"/>
      <c r="F2441" s="121" t="s">
        <v>68</v>
      </c>
      <c r="G2441" s="122"/>
      <c r="H2441" s="115">
        <v>53.4</v>
      </c>
      <c r="I2441" s="116"/>
    </row>
    <row r="2442" spans="1:9" s="17" customFormat="1" ht="12.75" customHeight="1" x14ac:dyDescent="0.2">
      <c r="A2442" s="65">
        <v>2433</v>
      </c>
      <c r="B2442" s="60"/>
      <c r="C2442" s="117" t="s">
        <v>522</v>
      </c>
      <c r="D2442" s="118"/>
      <c r="E2442" s="119"/>
      <c r="F2442" s="124" t="s">
        <v>6</v>
      </c>
      <c r="G2442" s="124"/>
      <c r="H2442" s="115">
        <v>196.5</v>
      </c>
      <c r="I2442" s="116"/>
    </row>
    <row r="2443" spans="1:9" s="17" customFormat="1" ht="12.75" customHeight="1" x14ac:dyDescent="0.2">
      <c r="A2443" s="65">
        <v>2434</v>
      </c>
      <c r="B2443" s="60"/>
      <c r="C2443" s="117" t="s">
        <v>1674</v>
      </c>
      <c r="D2443" s="118"/>
      <c r="E2443" s="119"/>
      <c r="F2443" s="121" t="s">
        <v>33</v>
      </c>
      <c r="G2443" s="122"/>
      <c r="H2443" s="115">
        <f>62.7+125.4-16.1-16-46.6-62.7+63.7</f>
        <v>110.40000000000003</v>
      </c>
      <c r="I2443" s="116"/>
    </row>
    <row r="2444" spans="1:9" s="17" customFormat="1" ht="12.75" customHeight="1" x14ac:dyDescent="0.2">
      <c r="A2444" s="65">
        <v>2435</v>
      </c>
      <c r="B2444" s="60"/>
      <c r="C2444" s="117" t="s">
        <v>1302</v>
      </c>
      <c r="D2444" s="118"/>
      <c r="E2444" s="119"/>
      <c r="F2444" s="124" t="s">
        <v>365</v>
      </c>
      <c r="G2444" s="124"/>
      <c r="H2444" s="115">
        <v>28.2</v>
      </c>
      <c r="I2444" s="116"/>
    </row>
    <row r="2445" spans="1:9" s="79" customFormat="1" ht="12.75" customHeight="1" x14ac:dyDescent="0.2">
      <c r="A2445" s="65">
        <v>2436</v>
      </c>
      <c r="B2445" s="60"/>
      <c r="C2445" s="117" t="s">
        <v>2767</v>
      </c>
      <c r="D2445" s="118"/>
      <c r="E2445" s="119"/>
      <c r="F2445" s="121" t="s">
        <v>56</v>
      </c>
      <c r="G2445" s="122"/>
      <c r="H2445" s="115">
        <f>32.8+21.6</f>
        <v>54.4</v>
      </c>
      <c r="I2445" s="116"/>
    </row>
    <row r="2446" spans="1:9" s="17" customFormat="1" ht="12.75" customHeight="1" x14ac:dyDescent="0.2">
      <c r="A2446" s="65">
        <v>2437</v>
      </c>
      <c r="B2446" s="60"/>
      <c r="C2446" s="117" t="s">
        <v>1278</v>
      </c>
      <c r="D2446" s="118"/>
      <c r="E2446" s="119"/>
      <c r="F2446" s="124" t="s">
        <v>69</v>
      </c>
      <c r="G2446" s="124"/>
      <c r="H2446" s="115">
        <v>20.2</v>
      </c>
      <c r="I2446" s="116"/>
    </row>
    <row r="2447" spans="1:9" s="17" customFormat="1" ht="12.75" customHeight="1" x14ac:dyDescent="0.2">
      <c r="A2447" s="65">
        <v>2438</v>
      </c>
      <c r="B2447" s="60"/>
      <c r="C2447" s="117" t="s">
        <v>893</v>
      </c>
      <c r="D2447" s="118"/>
      <c r="E2447" s="119"/>
      <c r="F2447" s="124" t="s">
        <v>892</v>
      </c>
      <c r="G2447" s="124"/>
      <c r="H2447" s="115">
        <v>11.5</v>
      </c>
      <c r="I2447" s="116"/>
    </row>
    <row r="2448" spans="1:9" s="17" customFormat="1" ht="25.5" customHeight="1" x14ac:dyDescent="0.2">
      <c r="A2448" s="65">
        <v>2439</v>
      </c>
      <c r="B2448" s="60">
        <v>7</v>
      </c>
      <c r="C2448" s="117" t="s">
        <v>3302</v>
      </c>
      <c r="D2448" s="118"/>
      <c r="E2448" s="119"/>
      <c r="F2448" s="121" t="s">
        <v>16</v>
      </c>
      <c r="G2448" s="122"/>
      <c r="H2448" s="115">
        <f>172.4+12</f>
        <v>184.4</v>
      </c>
      <c r="I2448" s="116"/>
    </row>
    <row r="2449" spans="1:9" s="17" customFormat="1" ht="12.75" customHeight="1" x14ac:dyDescent="0.2">
      <c r="A2449" s="65">
        <v>2440</v>
      </c>
      <c r="B2449" s="60"/>
      <c r="C2449" s="117" t="s">
        <v>600</v>
      </c>
      <c r="D2449" s="118"/>
      <c r="E2449" s="119"/>
      <c r="F2449" s="121" t="s">
        <v>200</v>
      </c>
      <c r="G2449" s="122"/>
      <c r="H2449" s="115">
        <v>95</v>
      </c>
      <c r="I2449" s="116"/>
    </row>
    <row r="2450" spans="1:9" s="17" customFormat="1" ht="12.75" customHeight="1" x14ac:dyDescent="0.2">
      <c r="A2450" s="65">
        <v>2441</v>
      </c>
      <c r="B2450" s="60"/>
      <c r="C2450" s="117" t="s">
        <v>4239</v>
      </c>
      <c r="D2450" s="118"/>
      <c r="E2450" s="119"/>
      <c r="F2450" s="121" t="s">
        <v>4383</v>
      </c>
      <c r="G2450" s="122"/>
      <c r="H2450" s="115">
        <v>65.2</v>
      </c>
      <c r="I2450" s="116"/>
    </row>
    <row r="2451" spans="1:9" s="17" customFormat="1" ht="12.75" customHeight="1" x14ac:dyDescent="0.2">
      <c r="A2451" s="65">
        <v>2442</v>
      </c>
      <c r="B2451" s="60"/>
      <c r="C2451" s="128" t="s">
        <v>1122</v>
      </c>
      <c r="D2451" s="126"/>
      <c r="E2451" s="127"/>
      <c r="F2451" s="133" t="s">
        <v>76</v>
      </c>
      <c r="G2451" s="134"/>
      <c r="H2451" s="140">
        <v>8.9</v>
      </c>
      <c r="I2451" s="141"/>
    </row>
    <row r="2452" spans="1:9" s="17" customFormat="1" ht="12.75" customHeight="1" x14ac:dyDescent="0.2">
      <c r="A2452" s="65">
        <v>2443</v>
      </c>
      <c r="B2452" s="60"/>
      <c r="C2452" s="128" t="s">
        <v>849</v>
      </c>
      <c r="D2452" s="126"/>
      <c r="E2452" s="127"/>
      <c r="F2452" s="133" t="s">
        <v>76</v>
      </c>
      <c r="G2452" s="134"/>
      <c r="H2452" s="140">
        <f>197.1-115.6</f>
        <v>81.5</v>
      </c>
      <c r="I2452" s="141"/>
    </row>
    <row r="2453" spans="1:9" s="17" customFormat="1" ht="12.75" customHeight="1" x14ac:dyDescent="0.2">
      <c r="A2453" s="65">
        <v>2444</v>
      </c>
      <c r="B2453" s="60"/>
      <c r="C2453" s="128" t="s">
        <v>2367</v>
      </c>
      <c r="D2453" s="126"/>
      <c r="E2453" s="127"/>
      <c r="F2453" s="133" t="s">
        <v>62</v>
      </c>
      <c r="G2453" s="134"/>
      <c r="H2453" s="140">
        <f>9.5+35.7+40-35.7-9.5+39.3+51.9+13.4-15.2-39.3-18.5-53.4+34.6+10.2-10.2+5.5</f>
        <v>58.300000000000011</v>
      </c>
      <c r="I2453" s="141"/>
    </row>
    <row r="2454" spans="1:9" s="17" customFormat="1" ht="12.75" customHeight="1" x14ac:dyDescent="0.2">
      <c r="A2454" s="65">
        <v>2445</v>
      </c>
      <c r="B2454" s="60"/>
      <c r="C2454" s="128" t="s">
        <v>4</v>
      </c>
      <c r="D2454" s="126"/>
      <c r="E2454" s="127"/>
      <c r="F2454" s="121" t="s">
        <v>68</v>
      </c>
      <c r="G2454" s="122"/>
      <c r="H2454" s="115">
        <v>161.1</v>
      </c>
      <c r="I2454" s="116"/>
    </row>
    <row r="2455" spans="1:9" s="17" customFormat="1" ht="12.75" customHeight="1" x14ac:dyDescent="0.2">
      <c r="A2455" s="65">
        <v>2446</v>
      </c>
      <c r="B2455" s="60">
        <v>6</v>
      </c>
      <c r="C2455" s="117" t="s">
        <v>1123</v>
      </c>
      <c r="D2455" s="118"/>
      <c r="E2455" s="119"/>
      <c r="F2455" s="121" t="s">
        <v>68</v>
      </c>
      <c r="G2455" s="122"/>
      <c r="H2455" s="115">
        <v>640</v>
      </c>
      <c r="I2455" s="116"/>
    </row>
    <row r="2456" spans="1:9" s="17" customFormat="1" ht="12.75" customHeight="1" x14ac:dyDescent="0.2">
      <c r="A2456" s="65">
        <v>2447</v>
      </c>
      <c r="B2456" s="60"/>
      <c r="C2456" s="128" t="s">
        <v>1124</v>
      </c>
      <c r="D2456" s="126"/>
      <c r="E2456" s="127"/>
      <c r="F2456" s="121" t="s">
        <v>68</v>
      </c>
      <c r="G2456" s="122"/>
      <c r="H2456" s="115">
        <v>50.9</v>
      </c>
      <c r="I2456" s="116"/>
    </row>
    <row r="2457" spans="1:9" s="17" customFormat="1" ht="12.75" customHeight="1" x14ac:dyDescent="0.2">
      <c r="A2457" s="65">
        <v>2448</v>
      </c>
      <c r="B2457" s="60" t="s">
        <v>3559</v>
      </c>
      <c r="C2457" s="117" t="s">
        <v>4061</v>
      </c>
      <c r="D2457" s="118"/>
      <c r="E2457" s="119"/>
      <c r="F2457" s="124" t="s">
        <v>43</v>
      </c>
      <c r="G2457" s="124"/>
      <c r="H2457" s="115">
        <v>25</v>
      </c>
      <c r="I2457" s="116"/>
    </row>
    <row r="2458" spans="1:9" s="17" customFormat="1" ht="12.75" customHeight="1" x14ac:dyDescent="0.2">
      <c r="A2458" s="65">
        <v>2449</v>
      </c>
      <c r="B2458" s="60"/>
      <c r="C2458" s="128" t="s">
        <v>1969</v>
      </c>
      <c r="D2458" s="126"/>
      <c r="E2458" s="127"/>
      <c r="F2458" s="124" t="s">
        <v>42</v>
      </c>
      <c r="G2458" s="124"/>
      <c r="H2458" s="115">
        <v>26.2</v>
      </c>
      <c r="I2458" s="116"/>
    </row>
    <row r="2459" spans="1:9" s="17" customFormat="1" ht="12.75" customHeight="1" x14ac:dyDescent="0.2">
      <c r="A2459" s="65">
        <v>2450</v>
      </c>
      <c r="B2459" s="60"/>
      <c r="C2459" s="117" t="s">
        <v>1463</v>
      </c>
      <c r="D2459" s="118"/>
      <c r="E2459" s="119"/>
      <c r="F2459" s="121" t="s">
        <v>42</v>
      </c>
      <c r="G2459" s="122"/>
      <c r="H2459" s="115">
        <f>129.5-38-45.3-0.4</f>
        <v>45.800000000000004</v>
      </c>
      <c r="I2459" s="116"/>
    </row>
    <row r="2460" spans="1:9" s="17" customFormat="1" ht="12.75" customHeight="1" x14ac:dyDescent="0.2">
      <c r="A2460" s="65">
        <v>2451</v>
      </c>
      <c r="B2460" s="60"/>
      <c r="C2460" s="117" t="s">
        <v>1125</v>
      </c>
      <c r="D2460" s="118"/>
      <c r="E2460" s="119"/>
      <c r="F2460" s="121" t="s">
        <v>33</v>
      </c>
      <c r="G2460" s="122"/>
      <c r="H2460" s="115">
        <v>133</v>
      </c>
      <c r="I2460" s="116"/>
    </row>
    <row r="2461" spans="1:9" s="17" customFormat="1" ht="12.75" customHeight="1" x14ac:dyDescent="0.2">
      <c r="A2461" s="65">
        <v>2452</v>
      </c>
      <c r="B2461" s="60">
        <v>6</v>
      </c>
      <c r="C2461" s="117" t="s">
        <v>1789</v>
      </c>
      <c r="D2461" s="118"/>
      <c r="E2461" s="119"/>
      <c r="F2461" s="121" t="s">
        <v>33</v>
      </c>
      <c r="G2461" s="122"/>
      <c r="H2461" s="115">
        <f>740-38-80-9-52-15.5-24.7-110+110-46-61+0.2</f>
        <v>413.99999999999994</v>
      </c>
      <c r="I2461" s="116"/>
    </row>
    <row r="2462" spans="1:9" s="17" customFormat="1" ht="12.75" customHeight="1" x14ac:dyDescent="0.2">
      <c r="A2462" s="65">
        <v>2453</v>
      </c>
      <c r="B2462" s="60"/>
      <c r="C2462" s="128" t="s">
        <v>3498</v>
      </c>
      <c r="D2462" s="126"/>
      <c r="E2462" s="127"/>
      <c r="F2462" s="133" t="s">
        <v>62</v>
      </c>
      <c r="G2462" s="134"/>
      <c r="H2462" s="140">
        <f>201.2-95.2</f>
        <v>105.99999999999999</v>
      </c>
      <c r="I2462" s="141"/>
    </row>
    <row r="2463" spans="1:9" s="17" customFormat="1" ht="25.5" customHeight="1" x14ac:dyDescent="0.2">
      <c r="A2463" s="65">
        <v>2454</v>
      </c>
      <c r="B2463" s="60"/>
      <c r="C2463" s="128" t="s">
        <v>3945</v>
      </c>
      <c r="D2463" s="126"/>
      <c r="E2463" s="127"/>
      <c r="F2463" s="133" t="s">
        <v>62</v>
      </c>
      <c r="G2463" s="134"/>
      <c r="H2463" s="140">
        <f>14.9+11.8-11.8+56.6+10.7+14.6+31.3-13.4-10.7-31.3</f>
        <v>72.699999999999989</v>
      </c>
      <c r="I2463" s="141"/>
    </row>
    <row r="2464" spans="1:9" s="17" customFormat="1" ht="12.75" customHeight="1" x14ac:dyDescent="0.2">
      <c r="A2464" s="65">
        <v>2455</v>
      </c>
      <c r="B2464" s="60"/>
      <c r="C2464" s="117" t="s">
        <v>175</v>
      </c>
      <c r="D2464" s="118"/>
      <c r="E2464" s="119"/>
      <c r="F2464" s="121" t="s">
        <v>27</v>
      </c>
      <c r="G2464" s="122"/>
      <c r="H2464" s="115">
        <v>226.3</v>
      </c>
      <c r="I2464" s="116"/>
    </row>
    <row r="2465" spans="1:9" s="17" customFormat="1" ht="12.75" customHeight="1" x14ac:dyDescent="0.2">
      <c r="A2465" s="65">
        <v>2456</v>
      </c>
      <c r="B2465" s="60"/>
      <c r="C2465" s="128" t="s">
        <v>121</v>
      </c>
      <c r="D2465" s="126"/>
      <c r="E2465" s="127"/>
      <c r="F2465" s="121" t="s">
        <v>68</v>
      </c>
      <c r="G2465" s="122"/>
      <c r="H2465" s="115">
        <v>279.5</v>
      </c>
      <c r="I2465" s="116"/>
    </row>
    <row r="2466" spans="1:9" s="17" customFormat="1" ht="12.75" customHeight="1" x14ac:dyDescent="0.2">
      <c r="A2466" s="65">
        <v>2457</v>
      </c>
      <c r="B2466" s="60"/>
      <c r="C2466" s="117" t="s">
        <v>2844</v>
      </c>
      <c r="D2466" s="118"/>
      <c r="E2466" s="119"/>
      <c r="F2466" s="124" t="s">
        <v>2845</v>
      </c>
      <c r="G2466" s="124"/>
      <c r="H2466" s="115">
        <v>259.60000000000002</v>
      </c>
      <c r="I2466" s="116"/>
    </row>
    <row r="2467" spans="1:9" s="17" customFormat="1" ht="12.75" customHeight="1" x14ac:dyDescent="0.2">
      <c r="A2467" s="65">
        <v>2458</v>
      </c>
      <c r="B2467" s="60"/>
      <c r="C2467" s="160" t="s">
        <v>3447</v>
      </c>
      <c r="D2467" s="161"/>
      <c r="E2467" s="162"/>
      <c r="F2467" s="121" t="s">
        <v>80</v>
      </c>
      <c r="G2467" s="122"/>
      <c r="H2467" s="115">
        <f>127-55</f>
        <v>72</v>
      </c>
      <c r="I2467" s="116"/>
    </row>
    <row r="2468" spans="1:9" s="17" customFormat="1" ht="12.75" customHeight="1" x14ac:dyDescent="0.2">
      <c r="A2468" s="65">
        <v>2459</v>
      </c>
      <c r="B2468" s="60"/>
      <c r="C2468" s="117" t="s">
        <v>4441</v>
      </c>
      <c r="D2468" s="118"/>
      <c r="E2468" s="119"/>
      <c r="F2468" s="113" t="s">
        <v>62</v>
      </c>
      <c r="G2468" s="114"/>
      <c r="H2468" s="115">
        <f>19.4+14.9-14.9-19.4</f>
        <v>0</v>
      </c>
      <c r="I2468" s="116"/>
    </row>
    <row r="2469" spans="1:9" s="17" customFormat="1" ht="12.75" customHeight="1" x14ac:dyDescent="0.2">
      <c r="A2469" s="65">
        <v>2460</v>
      </c>
      <c r="B2469" s="60"/>
      <c r="C2469" s="128" t="s">
        <v>2958</v>
      </c>
      <c r="D2469" s="126"/>
      <c r="E2469" s="127"/>
      <c r="F2469" s="125" t="s">
        <v>62</v>
      </c>
      <c r="G2469" s="125"/>
      <c r="H2469" s="115">
        <f>13.2-6.6</f>
        <v>6.6</v>
      </c>
      <c r="I2469" s="116"/>
    </row>
    <row r="2470" spans="1:9" s="17" customFormat="1" ht="12.75" customHeight="1" x14ac:dyDescent="0.2">
      <c r="A2470" s="65">
        <v>2461</v>
      </c>
      <c r="B2470" s="60"/>
      <c r="C2470" s="128" t="s">
        <v>1333</v>
      </c>
      <c r="D2470" s="126"/>
      <c r="E2470" s="127"/>
      <c r="F2470" s="113" t="s">
        <v>76</v>
      </c>
      <c r="G2470" s="114"/>
      <c r="H2470" s="115">
        <v>21.4</v>
      </c>
      <c r="I2470" s="116"/>
    </row>
    <row r="2471" spans="1:9" s="17" customFormat="1" ht="12.75" customHeight="1" x14ac:dyDescent="0.2">
      <c r="A2471" s="65">
        <v>2462</v>
      </c>
      <c r="B2471" s="60"/>
      <c r="C2471" s="128" t="s">
        <v>977</v>
      </c>
      <c r="D2471" s="126"/>
      <c r="E2471" s="127"/>
      <c r="F2471" s="113" t="s">
        <v>76</v>
      </c>
      <c r="G2471" s="114"/>
      <c r="H2471" s="115">
        <f>132+10.3-10.3</f>
        <v>132</v>
      </c>
      <c r="I2471" s="116"/>
    </row>
    <row r="2472" spans="1:9" s="17" customFormat="1" ht="12.75" customHeight="1" x14ac:dyDescent="0.2">
      <c r="A2472" s="65">
        <v>2463</v>
      </c>
      <c r="B2472" s="60">
        <v>6</v>
      </c>
      <c r="C2472" s="128" t="s">
        <v>3499</v>
      </c>
      <c r="D2472" s="126"/>
      <c r="E2472" s="127"/>
      <c r="F2472" s="113" t="s">
        <v>76</v>
      </c>
      <c r="G2472" s="114"/>
      <c r="H2472" s="115">
        <f>315-88-68+1</f>
        <v>160</v>
      </c>
      <c r="I2472" s="116"/>
    </row>
    <row r="2473" spans="1:9" s="17" customFormat="1" ht="12.75" customHeight="1" x14ac:dyDescent="0.2">
      <c r="A2473" s="65">
        <v>2464</v>
      </c>
      <c r="B2473" s="60"/>
      <c r="C2473" s="128" t="s">
        <v>3500</v>
      </c>
      <c r="D2473" s="126"/>
      <c r="E2473" s="127"/>
      <c r="F2473" s="113" t="s">
        <v>76</v>
      </c>
      <c r="G2473" s="114"/>
      <c r="H2473" s="115">
        <v>71.3</v>
      </c>
      <c r="I2473" s="116"/>
    </row>
    <row r="2474" spans="1:9" s="17" customFormat="1" ht="12.75" customHeight="1" x14ac:dyDescent="0.2">
      <c r="A2474" s="65">
        <v>2465</v>
      </c>
      <c r="B2474" s="60"/>
      <c r="C2474" s="128" t="s">
        <v>3419</v>
      </c>
      <c r="D2474" s="126"/>
      <c r="E2474" s="127"/>
      <c r="F2474" s="113" t="s">
        <v>76</v>
      </c>
      <c r="G2474" s="114"/>
      <c r="H2474" s="115">
        <f>21.6+31.2+15.5-21.6</f>
        <v>46.699999999999996</v>
      </c>
      <c r="I2474" s="116"/>
    </row>
    <row r="2475" spans="1:9" s="17" customFormat="1" ht="12.75" customHeight="1" x14ac:dyDescent="0.2">
      <c r="A2475" s="65">
        <v>2466</v>
      </c>
      <c r="B2475" s="60"/>
      <c r="C2475" s="128" t="s">
        <v>2581</v>
      </c>
      <c r="D2475" s="126"/>
      <c r="E2475" s="127"/>
      <c r="F2475" s="133" t="s">
        <v>57</v>
      </c>
      <c r="G2475" s="134"/>
      <c r="H2475" s="140">
        <v>66.8</v>
      </c>
      <c r="I2475" s="141"/>
    </row>
    <row r="2476" spans="1:9" s="17" customFormat="1" ht="11.25" x14ac:dyDescent="0.2">
      <c r="A2476" s="65">
        <v>2467</v>
      </c>
      <c r="B2476" s="60"/>
      <c r="C2476" s="128" t="s">
        <v>3578</v>
      </c>
      <c r="D2476" s="126"/>
      <c r="E2476" s="127"/>
      <c r="F2476" s="125" t="s">
        <v>62</v>
      </c>
      <c r="G2476" s="125"/>
      <c r="H2476" s="115">
        <f>47.8+17.8-9.9-7.3+10+12+14.8+7.8-12-14.6-5.9-5.9-5.9-12.9</f>
        <v>35.800000000000011</v>
      </c>
      <c r="I2476" s="116"/>
    </row>
    <row r="2477" spans="1:9" s="17" customFormat="1" ht="12.75" customHeight="1" x14ac:dyDescent="0.2">
      <c r="A2477" s="65">
        <v>2468</v>
      </c>
      <c r="B2477" s="60"/>
      <c r="C2477" s="128" t="s">
        <v>408</v>
      </c>
      <c r="D2477" s="126"/>
      <c r="E2477" s="127"/>
      <c r="F2477" s="113" t="s">
        <v>76</v>
      </c>
      <c r="G2477" s="114"/>
      <c r="H2477" s="115"/>
      <c r="I2477" s="116"/>
    </row>
    <row r="2478" spans="1:9" s="17" customFormat="1" ht="12.75" customHeight="1" x14ac:dyDescent="0.2">
      <c r="A2478" s="65">
        <v>2469</v>
      </c>
      <c r="B2478" s="60"/>
      <c r="C2478" s="160" t="s">
        <v>1544</v>
      </c>
      <c r="D2478" s="161"/>
      <c r="E2478" s="162"/>
      <c r="F2478" s="121" t="s">
        <v>80</v>
      </c>
      <c r="G2478" s="122"/>
      <c r="H2478" s="115">
        <f>94.7-10.2-14.5-15+16.5+52-12.2-8-12.8-8.5-7.8-19.8-8.6-8.8-19.7</f>
        <v>17.3</v>
      </c>
      <c r="I2478" s="116"/>
    </row>
    <row r="2479" spans="1:9" s="17" customFormat="1" ht="12.75" customHeight="1" x14ac:dyDescent="0.2">
      <c r="A2479" s="65">
        <v>2470</v>
      </c>
      <c r="B2479" s="60" t="s">
        <v>3676</v>
      </c>
      <c r="C2479" s="117" t="s">
        <v>3763</v>
      </c>
      <c r="D2479" s="118"/>
      <c r="E2479" s="119"/>
      <c r="F2479" s="124" t="s">
        <v>153</v>
      </c>
      <c r="G2479" s="124"/>
      <c r="H2479" s="115">
        <f>190-135+0.9</f>
        <v>55.9</v>
      </c>
      <c r="I2479" s="116"/>
    </row>
    <row r="2480" spans="1:9" s="17" customFormat="1" ht="12.75" customHeight="1" x14ac:dyDescent="0.2">
      <c r="A2480" s="65">
        <v>2471</v>
      </c>
      <c r="B2480" s="60"/>
      <c r="C2480" s="117" t="s">
        <v>164</v>
      </c>
      <c r="D2480" s="118"/>
      <c r="E2480" s="119"/>
      <c r="F2480" s="121" t="s">
        <v>27</v>
      </c>
      <c r="G2480" s="122"/>
      <c r="H2480" s="115">
        <v>108.6</v>
      </c>
      <c r="I2480" s="116"/>
    </row>
    <row r="2481" spans="1:9" s="17" customFormat="1" ht="12.75" customHeight="1" x14ac:dyDescent="0.2">
      <c r="A2481" s="65">
        <v>2472</v>
      </c>
      <c r="B2481" s="60"/>
      <c r="C2481" s="117" t="s">
        <v>177</v>
      </c>
      <c r="D2481" s="118"/>
      <c r="E2481" s="119"/>
      <c r="F2481" s="121" t="s">
        <v>27</v>
      </c>
      <c r="G2481" s="122"/>
      <c r="H2481" s="115">
        <v>27.1</v>
      </c>
      <c r="I2481" s="116"/>
    </row>
    <row r="2482" spans="1:9" s="17" customFormat="1" ht="27" customHeight="1" x14ac:dyDescent="0.2">
      <c r="A2482" s="65">
        <v>2473</v>
      </c>
      <c r="B2482" s="60"/>
      <c r="C2482" s="117" t="s">
        <v>3277</v>
      </c>
      <c r="D2482" s="118"/>
      <c r="E2482" s="119"/>
      <c r="F2482" s="121" t="s">
        <v>56</v>
      </c>
      <c r="G2482" s="122"/>
      <c r="H2482" s="115">
        <v>110.8</v>
      </c>
      <c r="I2482" s="116"/>
    </row>
    <row r="2483" spans="1:9" s="17" customFormat="1" ht="12.75" customHeight="1" x14ac:dyDescent="0.2">
      <c r="A2483" s="65">
        <v>2474</v>
      </c>
      <c r="B2483" s="60"/>
      <c r="C2483" s="128" t="s">
        <v>4777</v>
      </c>
      <c r="D2483" s="126"/>
      <c r="E2483" s="127"/>
      <c r="F2483" s="133" t="s">
        <v>62</v>
      </c>
      <c r="G2483" s="134"/>
      <c r="H2483" s="140">
        <f>58.1-7.9+7.7-50.2</f>
        <v>7.7000000000000028</v>
      </c>
      <c r="I2483" s="141"/>
    </row>
    <row r="2484" spans="1:9" s="17" customFormat="1" ht="12.75" customHeight="1" x14ac:dyDescent="0.2">
      <c r="A2484" s="65">
        <v>2475</v>
      </c>
      <c r="B2484" s="60"/>
      <c r="C2484" s="117" t="s">
        <v>165</v>
      </c>
      <c r="D2484" s="118"/>
      <c r="E2484" s="119"/>
      <c r="F2484" s="121" t="s">
        <v>27</v>
      </c>
      <c r="G2484" s="122"/>
      <c r="H2484" s="115">
        <v>190.7</v>
      </c>
      <c r="I2484" s="116"/>
    </row>
    <row r="2485" spans="1:9" s="17" customFormat="1" ht="12.75" customHeight="1" x14ac:dyDescent="0.2">
      <c r="A2485" s="65">
        <v>2476</v>
      </c>
      <c r="B2485" s="60"/>
      <c r="C2485" s="117" t="s">
        <v>179</v>
      </c>
      <c r="D2485" s="118"/>
      <c r="E2485" s="119"/>
      <c r="F2485" s="121" t="s">
        <v>43</v>
      </c>
      <c r="G2485" s="122"/>
      <c r="H2485" s="115">
        <v>30</v>
      </c>
      <c r="I2485" s="116"/>
    </row>
    <row r="2486" spans="1:9" s="17" customFormat="1" ht="12.75" customHeight="1" x14ac:dyDescent="0.2">
      <c r="A2486" s="65">
        <v>2477</v>
      </c>
      <c r="B2486" s="60"/>
      <c r="C2486" s="117" t="s">
        <v>591</v>
      </c>
      <c r="D2486" s="118"/>
      <c r="E2486" s="119"/>
      <c r="F2486" s="121" t="s">
        <v>2</v>
      </c>
      <c r="G2486" s="122"/>
      <c r="H2486" s="115">
        <v>50.4</v>
      </c>
      <c r="I2486" s="116"/>
    </row>
    <row r="2487" spans="1:9" s="17" customFormat="1" ht="12.75" customHeight="1" x14ac:dyDescent="0.2">
      <c r="A2487" s="65">
        <v>2478</v>
      </c>
      <c r="B2487" s="60"/>
      <c r="C2487" s="117" t="s">
        <v>592</v>
      </c>
      <c r="D2487" s="118"/>
      <c r="E2487" s="119"/>
      <c r="F2487" s="121" t="s">
        <v>2</v>
      </c>
      <c r="G2487" s="122"/>
      <c r="H2487" s="115">
        <v>50.3</v>
      </c>
      <c r="I2487" s="116"/>
    </row>
    <row r="2488" spans="1:9" s="17" customFormat="1" ht="12.75" customHeight="1" x14ac:dyDescent="0.2">
      <c r="A2488" s="65">
        <v>2479</v>
      </c>
      <c r="B2488" s="60"/>
      <c r="C2488" s="117" t="s">
        <v>917</v>
      </c>
      <c r="D2488" s="118"/>
      <c r="E2488" s="119"/>
      <c r="F2488" s="121" t="s">
        <v>200</v>
      </c>
      <c r="G2488" s="122"/>
      <c r="H2488" s="115">
        <f>151.3-55.4</f>
        <v>95.9</v>
      </c>
      <c r="I2488" s="116"/>
    </row>
    <row r="2489" spans="1:9" s="23" customFormat="1" ht="13.5" customHeight="1" x14ac:dyDescent="0.2">
      <c r="A2489" s="65">
        <v>2480</v>
      </c>
      <c r="B2489" s="60"/>
      <c r="C2489" s="117" t="s">
        <v>2358</v>
      </c>
      <c r="D2489" s="118"/>
      <c r="E2489" s="119"/>
      <c r="F2489" s="121" t="s">
        <v>87</v>
      </c>
      <c r="G2489" s="122"/>
      <c r="H2489" s="115">
        <f>149.7-94.5-6.9-6.9</f>
        <v>41.399999999999991</v>
      </c>
      <c r="I2489" s="116"/>
    </row>
    <row r="2490" spans="1:9" s="17" customFormat="1" ht="12.75" customHeight="1" x14ac:dyDescent="0.2">
      <c r="A2490" s="65">
        <v>2481</v>
      </c>
      <c r="B2490" s="60"/>
      <c r="C2490" s="128" t="s">
        <v>1740</v>
      </c>
      <c r="D2490" s="126"/>
      <c r="E2490" s="127"/>
      <c r="F2490" s="125" t="s">
        <v>62</v>
      </c>
      <c r="G2490" s="125"/>
      <c r="H2490" s="115">
        <f>12.6-6.3</f>
        <v>6.3</v>
      </c>
      <c r="I2490" s="116"/>
    </row>
    <row r="2491" spans="1:9" s="17" customFormat="1" ht="24.75" customHeight="1" x14ac:dyDescent="0.2">
      <c r="A2491" s="65">
        <v>2482</v>
      </c>
      <c r="B2491" s="60"/>
      <c r="C2491" s="117" t="s">
        <v>680</v>
      </c>
      <c r="D2491" s="118"/>
      <c r="E2491" s="119"/>
      <c r="F2491" s="113" t="s">
        <v>59</v>
      </c>
      <c r="G2491" s="114"/>
      <c r="H2491" s="115">
        <v>100</v>
      </c>
      <c r="I2491" s="116"/>
    </row>
    <row r="2492" spans="1:9" s="17" customFormat="1" ht="12.75" customHeight="1" x14ac:dyDescent="0.2">
      <c r="A2492" s="65">
        <v>2483</v>
      </c>
      <c r="B2492" s="60"/>
      <c r="C2492" s="117" t="s">
        <v>1804</v>
      </c>
      <c r="D2492" s="118"/>
      <c r="E2492" s="119"/>
      <c r="F2492" s="113" t="s">
        <v>62</v>
      </c>
      <c r="G2492" s="114"/>
      <c r="H2492" s="115">
        <v>84.5</v>
      </c>
      <c r="I2492" s="116"/>
    </row>
    <row r="2493" spans="1:9" s="17" customFormat="1" ht="12.75" customHeight="1" x14ac:dyDescent="0.2">
      <c r="A2493" s="65">
        <v>2484</v>
      </c>
      <c r="B2493" s="60"/>
      <c r="C2493" s="117" t="s">
        <v>2478</v>
      </c>
      <c r="D2493" s="118"/>
      <c r="E2493" s="119"/>
      <c r="F2493" s="113" t="s">
        <v>76</v>
      </c>
      <c r="G2493" s="114"/>
      <c r="H2493" s="115">
        <v>64.3</v>
      </c>
      <c r="I2493" s="116"/>
    </row>
    <row r="2494" spans="1:9" s="17" customFormat="1" ht="12.75" customHeight="1" x14ac:dyDescent="0.2">
      <c r="A2494" s="65">
        <v>2485</v>
      </c>
      <c r="B2494" s="60"/>
      <c r="C2494" s="117" t="s">
        <v>2265</v>
      </c>
      <c r="D2494" s="118"/>
      <c r="E2494" s="119"/>
      <c r="F2494" s="113" t="s">
        <v>76</v>
      </c>
      <c r="G2494" s="114"/>
      <c r="H2494" s="115">
        <f>15.2+28+31.1-31.1</f>
        <v>43.20000000000001</v>
      </c>
      <c r="I2494" s="116"/>
    </row>
    <row r="2495" spans="1:9" s="17" customFormat="1" ht="12.75" customHeight="1" x14ac:dyDescent="0.2">
      <c r="A2495" s="65">
        <v>2486</v>
      </c>
      <c r="B2495" s="60"/>
      <c r="C2495" s="117" t="s">
        <v>3729</v>
      </c>
      <c r="D2495" s="118"/>
      <c r="E2495" s="119"/>
      <c r="F2495" s="113" t="s">
        <v>76</v>
      </c>
      <c r="G2495" s="114"/>
      <c r="H2495" s="115">
        <f>5.1+36-6.5-5.1-6.5+25.8+6.2-13-29.4+39.2-6.2+98-6-11.7+8.3-8.3-6+14.6-6.4-8-26-6.7-6.5-6.7+8.5-15-8.5-6.5-6.5</f>
        <v>46.199999999999989</v>
      </c>
      <c r="I2495" s="116"/>
    </row>
    <row r="2496" spans="1:9" s="17" customFormat="1" ht="12.75" customHeight="1" x14ac:dyDescent="0.2">
      <c r="A2496" s="65">
        <v>2487</v>
      </c>
      <c r="B2496" s="60"/>
      <c r="C2496" s="117" t="s">
        <v>1592</v>
      </c>
      <c r="D2496" s="118"/>
      <c r="E2496" s="119"/>
      <c r="F2496" s="113" t="s">
        <v>59</v>
      </c>
      <c r="G2496" s="114"/>
      <c r="H2496" s="115">
        <f>25.6+21-25.6</f>
        <v>21</v>
      </c>
      <c r="I2496" s="116"/>
    </row>
    <row r="2497" spans="1:9" s="17" customFormat="1" ht="12.75" customHeight="1" x14ac:dyDescent="0.2">
      <c r="A2497" s="65">
        <v>2488</v>
      </c>
      <c r="B2497" s="60"/>
      <c r="C2497" s="117" t="s">
        <v>968</v>
      </c>
      <c r="D2497" s="118"/>
      <c r="E2497" s="119"/>
      <c r="F2497" s="124" t="s">
        <v>153</v>
      </c>
      <c r="G2497" s="124"/>
      <c r="H2497" s="115">
        <v>44</v>
      </c>
      <c r="I2497" s="116"/>
    </row>
    <row r="2498" spans="1:9" s="23" customFormat="1" ht="13.5" customHeight="1" x14ac:dyDescent="0.2">
      <c r="A2498" s="65">
        <v>2489</v>
      </c>
      <c r="B2498" s="60"/>
      <c r="C2498" s="117" t="s">
        <v>1213</v>
      </c>
      <c r="D2498" s="118"/>
      <c r="E2498" s="119"/>
      <c r="F2498" s="121" t="s">
        <v>87</v>
      </c>
      <c r="G2498" s="122"/>
      <c r="H2498" s="115">
        <v>84</v>
      </c>
      <c r="I2498" s="116"/>
    </row>
    <row r="2499" spans="1:9" s="23" customFormat="1" ht="13.5" customHeight="1" x14ac:dyDescent="0.2">
      <c r="A2499" s="65">
        <v>2490</v>
      </c>
      <c r="B2499" s="60"/>
      <c r="C2499" s="117" t="s">
        <v>980</v>
      </c>
      <c r="D2499" s="118"/>
      <c r="E2499" s="119"/>
      <c r="F2499" s="121" t="s">
        <v>87</v>
      </c>
      <c r="G2499" s="122"/>
      <c r="H2499" s="115">
        <v>66.2</v>
      </c>
      <c r="I2499" s="116"/>
    </row>
    <row r="2500" spans="1:9" s="17" customFormat="1" ht="12.75" customHeight="1" x14ac:dyDescent="0.2">
      <c r="A2500" s="65">
        <v>2491</v>
      </c>
      <c r="B2500" s="60">
        <v>6</v>
      </c>
      <c r="C2500" s="117" t="s">
        <v>4503</v>
      </c>
      <c r="D2500" s="118"/>
      <c r="E2500" s="119"/>
      <c r="F2500" s="121" t="s">
        <v>55</v>
      </c>
      <c r="G2500" s="122"/>
      <c r="H2500" s="115">
        <v>310</v>
      </c>
      <c r="I2500" s="116"/>
    </row>
    <row r="2501" spans="1:9" s="17" customFormat="1" x14ac:dyDescent="0.2">
      <c r="A2501" s="65">
        <v>2492</v>
      </c>
      <c r="B2501" s="60"/>
      <c r="C2501" s="117" t="s">
        <v>4040</v>
      </c>
      <c r="D2501" s="118"/>
      <c r="E2501" s="119"/>
      <c r="F2501" s="121" t="s">
        <v>56</v>
      </c>
      <c r="G2501" s="122"/>
      <c r="H2501" s="115">
        <v>55</v>
      </c>
      <c r="I2501" s="116"/>
    </row>
    <row r="2502" spans="1:9" s="17" customFormat="1" ht="12.75" customHeight="1" x14ac:dyDescent="0.2">
      <c r="A2502" s="65">
        <v>2493</v>
      </c>
      <c r="B2502" s="60"/>
      <c r="C2502" s="117" t="s">
        <v>947</v>
      </c>
      <c r="D2502" s="118"/>
      <c r="E2502" s="119"/>
      <c r="F2502" s="113" t="s">
        <v>57</v>
      </c>
      <c r="G2502" s="114"/>
      <c r="H2502" s="115">
        <v>9.1999999999999993</v>
      </c>
      <c r="I2502" s="116"/>
    </row>
    <row r="2503" spans="1:9" s="17" customFormat="1" ht="12.75" customHeight="1" x14ac:dyDescent="0.2">
      <c r="A2503" s="65">
        <v>2494</v>
      </c>
      <c r="B2503" s="60">
        <v>6</v>
      </c>
      <c r="C2503" s="128" t="s">
        <v>862</v>
      </c>
      <c r="D2503" s="126"/>
      <c r="E2503" s="127"/>
      <c r="F2503" s="113" t="s">
        <v>62</v>
      </c>
      <c r="G2503" s="114"/>
      <c r="H2503" s="115">
        <v>165</v>
      </c>
      <c r="I2503" s="116"/>
    </row>
    <row r="2504" spans="1:9" s="17" customFormat="1" ht="12.75" customHeight="1" x14ac:dyDescent="0.2">
      <c r="A2504" s="65">
        <v>2495</v>
      </c>
      <c r="B2504" s="60"/>
      <c r="C2504" s="128" t="s">
        <v>4259</v>
      </c>
      <c r="D2504" s="126"/>
      <c r="E2504" s="127"/>
      <c r="F2504" s="113" t="s">
        <v>76</v>
      </c>
      <c r="G2504" s="114"/>
      <c r="H2504" s="115">
        <f>61.5+36.8+42-36.8</f>
        <v>103.50000000000001</v>
      </c>
      <c r="I2504" s="116"/>
    </row>
    <row r="2505" spans="1:9" s="17" customFormat="1" ht="12.75" customHeight="1" x14ac:dyDescent="0.2">
      <c r="A2505" s="65">
        <v>2496</v>
      </c>
      <c r="B2505" s="60"/>
      <c r="C2505" s="117" t="s">
        <v>3335</v>
      </c>
      <c r="D2505" s="118"/>
      <c r="E2505" s="119"/>
      <c r="F2505" s="113" t="s">
        <v>140</v>
      </c>
      <c r="G2505" s="114"/>
      <c r="H2505" s="115">
        <f>667-49.4-24.4-24.7-24.7</f>
        <v>543.79999999999995</v>
      </c>
      <c r="I2505" s="116"/>
    </row>
    <row r="2506" spans="1:9" s="17" customFormat="1" ht="12.75" customHeight="1" x14ac:dyDescent="0.2">
      <c r="A2506" s="65">
        <v>2497</v>
      </c>
      <c r="B2506" s="60"/>
      <c r="C2506" s="128" t="s">
        <v>4260</v>
      </c>
      <c r="D2506" s="126"/>
      <c r="E2506" s="127"/>
      <c r="F2506" s="125" t="s">
        <v>62</v>
      </c>
      <c r="G2506" s="125"/>
      <c r="H2506" s="115">
        <f>30+36.5-5.5-11.8</f>
        <v>49.2</v>
      </c>
      <c r="I2506" s="116"/>
    </row>
    <row r="2507" spans="1:9" s="17" customFormat="1" ht="25.5" customHeight="1" x14ac:dyDescent="0.2">
      <c r="A2507" s="65">
        <v>2498</v>
      </c>
      <c r="B2507" s="60"/>
      <c r="C2507" s="128" t="s">
        <v>4261</v>
      </c>
      <c r="D2507" s="126"/>
      <c r="E2507" s="127"/>
      <c r="F2507" s="125" t="s">
        <v>62</v>
      </c>
      <c r="G2507" s="125"/>
      <c r="H2507" s="115">
        <f>93.5+26.7+33.5+14-5.8-11.7</f>
        <v>150.19999999999999</v>
      </c>
      <c r="I2507" s="116"/>
    </row>
    <row r="2508" spans="1:9" s="17" customFormat="1" ht="12.75" customHeight="1" x14ac:dyDescent="0.2">
      <c r="A2508" s="65">
        <v>2499</v>
      </c>
      <c r="B2508" s="60"/>
      <c r="C2508" s="117" t="s">
        <v>2378</v>
      </c>
      <c r="D2508" s="118"/>
      <c r="E2508" s="119"/>
      <c r="F2508" s="113" t="s">
        <v>59</v>
      </c>
      <c r="G2508" s="114"/>
      <c r="H2508" s="115">
        <v>61</v>
      </c>
      <c r="I2508" s="116"/>
    </row>
    <row r="2509" spans="1:9" s="17" customFormat="1" ht="12.75" customHeight="1" x14ac:dyDescent="0.2">
      <c r="A2509" s="65">
        <v>2500</v>
      </c>
      <c r="B2509" s="60"/>
      <c r="C2509" s="117" t="s">
        <v>1083</v>
      </c>
      <c r="D2509" s="118"/>
      <c r="E2509" s="119"/>
      <c r="F2509" s="113" t="s">
        <v>59</v>
      </c>
      <c r="G2509" s="114"/>
      <c r="H2509" s="115">
        <v>13.3</v>
      </c>
      <c r="I2509" s="116"/>
    </row>
    <row r="2510" spans="1:9" s="17" customFormat="1" ht="12.75" customHeight="1" x14ac:dyDescent="0.2">
      <c r="A2510" s="65">
        <v>2501</v>
      </c>
      <c r="B2510" s="60"/>
      <c r="C2510" s="117" t="s">
        <v>2657</v>
      </c>
      <c r="D2510" s="118"/>
      <c r="E2510" s="119"/>
      <c r="F2510" s="121" t="s">
        <v>64</v>
      </c>
      <c r="G2510" s="122"/>
      <c r="H2510" s="115">
        <v>25.4</v>
      </c>
      <c r="I2510" s="116"/>
    </row>
    <row r="2511" spans="1:9" s="17" customFormat="1" x14ac:dyDescent="0.2">
      <c r="A2511" s="65">
        <v>2502</v>
      </c>
      <c r="B2511" s="60"/>
      <c r="C2511" s="117" t="s">
        <v>4942</v>
      </c>
      <c r="D2511" s="118"/>
      <c r="E2511" s="119"/>
      <c r="F2511" s="121" t="s">
        <v>87</v>
      </c>
      <c r="G2511" s="122"/>
      <c r="H2511" s="115">
        <v>74.8</v>
      </c>
      <c r="I2511" s="116"/>
    </row>
    <row r="2512" spans="1:9" s="17" customFormat="1" ht="12.75" customHeight="1" x14ac:dyDescent="0.2">
      <c r="A2512" s="65">
        <v>2503</v>
      </c>
      <c r="B2512" s="60"/>
      <c r="C2512" s="117" t="s">
        <v>2549</v>
      </c>
      <c r="D2512" s="118"/>
      <c r="E2512" s="119"/>
      <c r="F2512" s="121" t="s">
        <v>130</v>
      </c>
      <c r="G2512" s="122"/>
      <c r="H2512" s="115">
        <v>33.299999999999997</v>
      </c>
      <c r="I2512" s="116"/>
    </row>
    <row r="2513" spans="1:9" s="17" customFormat="1" ht="12.75" customHeight="1" x14ac:dyDescent="0.2">
      <c r="A2513" s="65">
        <v>2504</v>
      </c>
      <c r="B2513" s="60"/>
      <c r="C2513" s="117" t="s">
        <v>1257</v>
      </c>
      <c r="D2513" s="118"/>
      <c r="E2513" s="119"/>
      <c r="F2513" s="121" t="s">
        <v>1258</v>
      </c>
      <c r="G2513" s="122"/>
      <c r="H2513" s="115">
        <v>84.4</v>
      </c>
      <c r="I2513" s="116"/>
    </row>
    <row r="2514" spans="1:9" s="17" customFormat="1" ht="12.75" customHeight="1" x14ac:dyDescent="0.2">
      <c r="A2514" s="65">
        <v>2505</v>
      </c>
      <c r="B2514" s="60">
        <v>6</v>
      </c>
      <c r="C2514" s="128" t="s">
        <v>282</v>
      </c>
      <c r="D2514" s="126"/>
      <c r="E2514" s="127"/>
      <c r="F2514" s="121" t="s">
        <v>102</v>
      </c>
      <c r="G2514" s="122"/>
      <c r="H2514" s="140">
        <v>150</v>
      </c>
      <c r="I2514" s="141"/>
    </row>
    <row r="2515" spans="1:9" s="17" customFormat="1" ht="12.75" customHeight="1" x14ac:dyDescent="0.2">
      <c r="A2515" s="65">
        <v>2506</v>
      </c>
      <c r="B2515" s="60"/>
      <c r="C2515" s="117" t="s">
        <v>277</v>
      </c>
      <c r="D2515" s="118"/>
      <c r="E2515" s="119"/>
      <c r="F2515" s="121" t="s">
        <v>27</v>
      </c>
      <c r="G2515" s="122"/>
      <c r="H2515" s="115">
        <f>151+19.2</f>
        <v>170.2</v>
      </c>
      <c r="I2515" s="116"/>
    </row>
    <row r="2516" spans="1:9" s="17" customFormat="1" ht="12.75" customHeight="1" x14ac:dyDescent="0.2">
      <c r="A2516" s="65">
        <v>2507</v>
      </c>
      <c r="B2516" s="60">
        <v>6</v>
      </c>
      <c r="C2516" s="117" t="s">
        <v>5001</v>
      </c>
      <c r="D2516" s="118"/>
      <c r="E2516" s="119"/>
      <c r="F2516" s="121" t="s">
        <v>30</v>
      </c>
      <c r="G2516" s="122"/>
      <c r="H2516" s="115">
        <f>490-62</f>
        <v>428</v>
      </c>
      <c r="I2516" s="116"/>
    </row>
    <row r="2517" spans="1:9" s="17" customFormat="1" ht="12.75" customHeight="1" x14ac:dyDescent="0.2">
      <c r="A2517" s="65">
        <v>2508</v>
      </c>
      <c r="B2517" s="60"/>
      <c r="C2517" s="117" t="s">
        <v>967</v>
      </c>
      <c r="D2517" s="118"/>
      <c r="E2517" s="119"/>
      <c r="F2517" s="124" t="s">
        <v>153</v>
      </c>
      <c r="G2517" s="124"/>
      <c r="H2517" s="115">
        <v>23.8</v>
      </c>
      <c r="I2517" s="116"/>
    </row>
    <row r="2518" spans="1:9" s="17" customFormat="1" ht="12.75" customHeight="1" x14ac:dyDescent="0.2">
      <c r="A2518" s="65">
        <v>2509</v>
      </c>
      <c r="B2518" s="60"/>
      <c r="C2518" s="117" t="s">
        <v>656</v>
      </c>
      <c r="D2518" s="118"/>
      <c r="E2518" s="119"/>
      <c r="F2518" s="121" t="s">
        <v>657</v>
      </c>
      <c r="G2518" s="122"/>
      <c r="H2518" s="115">
        <v>78.3</v>
      </c>
      <c r="I2518" s="116"/>
    </row>
    <row r="2519" spans="1:9" s="17" customFormat="1" ht="12.75" customHeight="1" x14ac:dyDescent="0.2">
      <c r="A2519" s="65">
        <v>2510</v>
      </c>
      <c r="B2519" s="60"/>
      <c r="C2519" s="117" t="s">
        <v>420</v>
      </c>
      <c r="D2519" s="118"/>
      <c r="E2519" s="119"/>
      <c r="F2519" s="121" t="s">
        <v>130</v>
      </c>
      <c r="G2519" s="122"/>
      <c r="H2519" s="115">
        <v>88.6</v>
      </c>
      <c r="I2519" s="116"/>
    </row>
    <row r="2520" spans="1:9" s="17" customFormat="1" ht="12.75" customHeight="1" x14ac:dyDescent="0.2">
      <c r="A2520" s="65">
        <v>2511</v>
      </c>
      <c r="B2520" s="60"/>
      <c r="C2520" s="128" t="s">
        <v>943</v>
      </c>
      <c r="D2520" s="126"/>
      <c r="E2520" s="127"/>
      <c r="F2520" s="113" t="s">
        <v>62</v>
      </c>
      <c r="G2520" s="114"/>
      <c r="H2520" s="115">
        <v>31.7</v>
      </c>
      <c r="I2520" s="116"/>
    </row>
    <row r="2521" spans="1:9" s="17" customFormat="1" ht="12.75" customHeight="1" x14ac:dyDescent="0.2">
      <c r="A2521" s="65">
        <v>2512</v>
      </c>
      <c r="B2521" s="60"/>
      <c r="C2521" s="117" t="s">
        <v>824</v>
      </c>
      <c r="D2521" s="118"/>
      <c r="E2521" s="119"/>
      <c r="F2521" s="124" t="s">
        <v>3</v>
      </c>
      <c r="G2521" s="124"/>
      <c r="H2521" s="115">
        <v>35.700000000000003</v>
      </c>
      <c r="I2521" s="116"/>
    </row>
    <row r="2522" spans="1:9" s="17" customFormat="1" ht="12.75" customHeight="1" x14ac:dyDescent="0.2">
      <c r="A2522" s="65">
        <v>2513</v>
      </c>
      <c r="B2522" s="60"/>
      <c r="C2522" s="117" t="s">
        <v>1747</v>
      </c>
      <c r="D2522" s="118"/>
      <c r="E2522" s="119"/>
      <c r="F2522" s="121" t="s">
        <v>56</v>
      </c>
      <c r="G2522" s="122"/>
      <c r="H2522" s="115">
        <f>184.2-68.2-34.1-48</f>
        <v>33.899999999999977</v>
      </c>
      <c r="I2522" s="116"/>
    </row>
    <row r="2523" spans="1:9" s="17" customFormat="1" ht="12.75" customHeight="1" x14ac:dyDescent="0.2">
      <c r="A2523" s="65">
        <v>2514</v>
      </c>
      <c r="B2523" s="60">
        <v>2</v>
      </c>
      <c r="C2523" s="117" t="s">
        <v>3048</v>
      </c>
      <c r="D2523" s="118"/>
      <c r="E2523" s="119"/>
      <c r="F2523" s="113" t="s">
        <v>62</v>
      </c>
      <c r="G2523" s="114"/>
      <c r="H2523" s="115">
        <f>626-240</f>
        <v>386</v>
      </c>
      <c r="I2523" s="116"/>
    </row>
    <row r="2524" spans="1:9" s="17" customFormat="1" ht="27.75" customHeight="1" x14ac:dyDescent="0.2">
      <c r="A2524" s="65">
        <v>2515</v>
      </c>
      <c r="B2524" s="60"/>
      <c r="C2524" s="117" t="s">
        <v>3091</v>
      </c>
      <c r="D2524" s="118"/>
      <c r="E2524" s="119"/>
      <c r="F2524" s="113" t="s">
        <v>62</v>
      </c>
      <c r="G2524" s="114"/>
      <c r="H2524" s="115">
        <f>648+115.3-79.8-75+149-98.4-98.4-115.3+584.8+154.3-296.3+697.8+94-29.2+67.5+109.6+44.3-48.6-61-44.3-35.2-29.6-67.5-213.8-70.6-71-43.6-73.7-74.5-43.8-33.5-74.5</f>
        <v>887.00000000000023</v>
      </c>
      <c r="I2524" s="116"/>
    </row>
    <row r="2525" spans="1:9" s="17" customFormat="1" ht="12.75" customHeight="1" x14ac:dyDescent="0.2">
      <c r="A2525" s="65">
        <v>2516</v>
      </c>
      <c r="B2525" s="60"/>
      <c r="C2525" s="117" t="s">
        <v>939</v>
      </c>
      <c r="D2525" s="118"/>
      <c r="E2525" s="119"/>
      <c r="F2525" s="113" t="s">
        <v>62</v>
      </c>
      <c r="G2525" s="114"/>
      <c r="H2525" s="115">
        <f>700.6-79.3-76.4-390</f>
        <v>154.90000000000009</v>
      </c>
      <c r="I2525" s="116"/>
    </row>
    <row r="2526" spans="1:9" s="17" customFormat="1" ht="12.75" customHeight="1" x14ac:dyDescent="0.2">
      <c r="A2526" s="65">
        <v>2517</v>
      </c>
      <c r="B2526" s="60"/>
      <c r="C2526" s="117" t="s">
        <v>5105</v>
      </c>
      <c r="D2526" s="118"/>
      <c r="E2526" s="119"/>
      <c r="F2526" s="113" t="s">
        <v>76</v>
      </c>
      <c r="G2526" s="114"/>
      <c r="H2526" s="115">
        <v>55.4</v>
      </c>
      <c r="I2526" s="116"/>
    </row>
    <row r="2527" spans="1:9" s="17" customFormat="1" ht="12.75" customHeight="1" x14ac:dyDescent="0.2">
      <c r="A2527" s="65">
        <v>2518</v>
      </c>
      <c r="B2527" s="60">
        <v>2</v>
      </c>
      <c r="C2527" s="160" t="s">
        <v>527</v>
      </c>
      <c r="D2527" s="161"/>
      <c r="E2527" s="162"/>
      <c r="F2527" s="121" t="s">
        <v>80</v>
      </c>
      <c r="G2527" s="122"/>
      <c r="H2527" s="115">
        <f>412-70</f>
        <v>342</v>
      </c>
      <c r="I2527" s="116"/>
    </row>
    <row r="2528" spans="1:9" s="17" customFormat="1" ht="12.75" customHeight="1" x14ac:dyDescent="0.2">
      <c r="A2528" s="65">
        <v>2519</v>
      </c>
      <c r="B2528" s="60"/>
      <c r="C2528" s="160" t="s">
        <v>809</v>
      </c>
      <c r="D2528" s="161"/>
      <c r="E2528" s="162"/>
      <c r="F2528" s="121" t="s">
        <v>80</v>
      </c>
      <c r="G2528" s="122"/>
      <c r="H2528" s="115">
        <v>59</v>
      </c>
      <c r="I2528" s="116"/>
    </row>
    <row r="2529" spans="1:9" s="17" customFormat="1" x14ac:dyDescent="0.2">
      <c r="A2529" s="65">
        <v>2520</v>
      </c>
      <c r="B2529" s="60"/>
      <c r="C2529" s="128" t="s">
        <v>2208</v>
      </c>
      <c r="D2529" s="126"/>
      <c r="E2529" s="127"/>
      <c r="F2529" s="121" t="s">
        <v>27</v>
      </c>
      <c r="G2529" s="122"/>
      <c r="H2529" s="115">
        <f>627-27-68.8-99</f>
        <v>432.20000000000005</v>
      </c>
      <c r="I2529" s="116"/>
    </row>
    <row r="2530" spans="1:9" s="23" customFormat="1" ht="12.75" customHeight="1" x14ac:dyDescent="0.2">
      <c r="A2530" s="65">
        <v>2521</v>
      </c>
      <c r="B2530" s="60"/>
      <c r="C2530" s="117" t="s">
        <v>1099</v>
      </c>
      <c r="D2530" s="118"/>
      <c r="E2530" s="119"/>
      <c r="F2530" s="124" t="s">
        <v>87</v>
      </c>
      <c r="G2530" s="124"/>
      <c r="H2530" s="115">
        <f>52.5-21.5</f>
        <v>31</v>
      </c>
      <c r="I2530" s="116"/>
    </row>
    <row r="2531" spans="1:9" s="17" customFormat="1" ht="12.75" customHeight="1" x14ac:dyDescent="0.2">
      <c r="A2531" s="65">
        <v>2522</v>
      </c>
      <c r="B2531" s="60">
        <v>6</v>
      </c>
      <c r="C2531" s="117" t="s">
        <v>1339</v>
      </c>
      <c r="D2531" s="118"/>
      <c r="E2531" s="119"/>
      <c r="F2531" s="124" t="s">
        <v>6</v>
      </c>
      <c r="G2531" s="124"/>
      <c r="H2531" s="115">
        <f>462-145</f>
        <v>317</v>
      </c>
      <c r="I2531" s="116"/>
    </row>
    <row r="2532" spans="1:9" s="17" customFormat="1" ht="12.75" customHeight="1" x14ac:dyDescent="0.2">
      <c r="A2532" s="65">
        <v>2523</v>
      </c>
      <c r="B2532" s="60"/>
      <c r="C2532" s="117" t="s">
        <v>3113</v>
      </c>
      <c r="D2532" s="118"/>
      <c r="E2532" s="119"/>
      <c r="F2532" s="124" t="s">
        <v>45</v>
      </c>
      <c r="G2532" s="124"/>
      <c r="H2532" s="115">
        <v>116</v>
      </c>
      <c r="I2532" s="116"/>
    </row>
    <row r="2533" spans="1:9" s="17" customFormat="1" ht="12.75" customHeight="1" x14ac:dyDescent="0.2">
      <c r="A2533" s="65">
        <v>2524</v>
      </c>
      <c r="B2533" s="60"/>
      <c r="C2533" s="117" t="s">
        <v>2369</v>
      </c>
      <c r="D2533" s="118"/>
      <c r="E2533" s="119"/>
      <c r="F2533" s="124" t="s">
        <v>25</v>
      </c>
      <c r="G2533" s="124"/>
      <c r="H2533" s="115">
        <v>27.7</v>
      </c>
      <c r="I2533" s="116"/>
    </row>
    <row r="2534" spans="1:9" s="17" customFormat="1" ht="12.75" customHeight="1" x14ac:dyDescent="0.2">
      <c r="A2534" s="65">
        <v>2525</v>
      </c>
      <c r="B2534" s="60"/>
      <c r="C2534" s="117" t="s">
        <v>1053</v>
      </c>
      <c r="D2534" s="118"/>
      <c r="E2534" s="119"/>
      <c r="F2534" s="121" t="s">
        <v>43</v>
      </c>
      <c r="G2534" s="122"/>
      <c r="H2534" s="115">
        <f>27.7-8.1</f>
        <v>19.600000000000001</v>
      </c>
      <c r="I2534" s="116"/>
    </row>
    <row r="2535" spans="1:9" s="17" customFormat="1" ht="11.25" x14ac:dyDescent="0.2">
      <c r="A2535" s="65">
        <v>2526</v>
      </c>
      <c r="B2535" s="60"/>
      <c r="C2535" s="128" t="s">
        <v>3834</v>
      </c>
      <c r="D2535" s="126"/>
      <c r="E2535" s="127"/>
      <c r="F2535" s="125" t="s">
        <v>62</v>
      </c>
      <c r="G2535" s="125"/>
      <c r="H2535" s="115">
        <v>50.4</v>
      </c>
      <c r="I2535" s="116"/>
    </row>
    <row r="2536" spans="1:9" s="17" customFormat="1" ht="12.75" customHeight="1" x14ac:dyDescent="0.2">
      <c r="A2536" s="65">
        <v>2527</v>
      </c>
      <c r="B2536" s="60"/>
      <c r="C2536" s="128" t="s">
        <v>2713</v>
      </c>
      <c r="D2536" s="126"/>
      <c r="E2536" s="127"/>
      <c r="F2536" s="125" t="s">
        <v>62</v>
      </c>
      <c r="G2536" s="125"/>
      <c r="H2536" s="115">
        <f>76.7-19.3-25.4</f>
        <v>32.000000000000007</v>
      </c>
      <c r="I2536" s="116"/>
    </row>
    <row r="2537" spans="1:9" s="17" customFormat="1" ht="11.25" x14ac:dyDescent="0.2">
      <c r="A2537" s="65">
        <v>2528</v>
      </c>
      <c r="B2537" s="60"/>
      <c r="C2537" s="128" t="s">
        <v>3730</v>
      </c>
      <c r="D2537" s="126"/>
      <c r="E2537" s="127"/>
      <c r="F2537" s="125" t="s">
        <v>62</v>
      </c>
      <c r="G2537" s="125"/>
      <c r="H2537" s="115">
        <f>17.4+24.6+12.9+15+18.5+48.8+12.6+19.2-5.6-36.6+46.2+13-9.6-21.7-6-13-49.1-13-7.2-12.6-13</f>
        <v>40.800000000000018</v>
      </c>
      <c r="I2537" s="116"/>
    </row>
    <row r="2538" spans="1:9" s="23" customFormat="1" ht="13.5" customHeight="1" x14ac:dyDescent="0.2">
      <c r="A2538" s="65">
        <v>2529</v>
      </c>
      <c r="B2538" s="60">
        <v>6</v>
      </c>
      <c r="C2538" s="117" t="s">
        <v>727</v>
      </c>
      <c r="D2538" s="118"/>
      <c r="E2538" s="119"/>
      <c r="F2538" s="121" t="s">
        <v>64</v>
      </c>
      <c r="G2538" s="122"/>
      <c r="H2538" s="115">
        <f>335+350-80</f>
        <v>605</v>
      </c>
      <c r="I2538" s="116"/>
    </row>
    <row r="2539" spans="1:9" s="17" customFormat="1" ht="25.5" customHeight="1" x14ac:dyDescent="0.2">
      <c r="A2539" s="65">
        <v>2530</v>
      </c>
      <c r="B2539" s="60">
        <v>6</v>
      </c>
      <c r="C2539" s="117" t="s">
        <v>377</v>
      </c>
      <c r="D2539" s="118"/>
      <c r="E2539" s="119"/>
      <c r="F2539" s="124" t="s">
        <v>365</v>
      </c>
      <c r="G2539" s="124"/>
      <c r="H2539" s="115">
        <f>270+1100</f>
        <v>1370</v>
      </c>
      <c r="I2539" s="116"/>
    </row>
    <row r="2540" spans="1:9" s="17" customFormat="1" ht="12.75" customHeight="1" x14ac:dyDescent="0.2">
      <c r="A2540" s="65">
        <v>2531</v>
      </c>
      <c r="B2540" s="60"/>
      <c r="C2540" s="117" t="s">
        <v>3071</v>
      </c>
      <c r="D2540" s="118"/>
      <c r="E2540" s="119"/>
      <c r="F2540" s="121" t="s">
        <v>56</v>
      </c>
      <c r="G2540" s="122"/>
      <c r="H2540" s="115">
        <v>36.4</v>
      </c>
      <c r="I2540" s="116"/>
    </row>
    <row r="2541" spans="1:9" s="17" customFormat="1" ht="12.75" customHeight="1" x14ac:dyDescent="0.2">
      <c r="A2541" s="65">
        <v>2532</v>
      </c>
      <c r="B2541" s="60"/>
      <c r="C2541" s="128" t="s">
        <v>1546</v>
      </c>
      <c r="D2541" s="126"/>
      <c r="E2541" s="127"/>
      <c r="F2541" s="125" t="s">
        <v>62</v>
      </c>
      <c r="G2541" s="125"/>
      <c r="H2541" s="115">
        <f>13.7+31</f>
        <v>44.7</v>
      </c>
      <c r="I2541" s="116"/>
    </row>
    <row r="2542" spans="1:9" s="17" customFormat="1" ht="12.75" customHeight="1" x14ac:dyDescent="0.2">
      <c r="A2542" s="65">
        <v>2533</v>
      </c>
      <c r="B2542" s="60"/>
      <c r="C2542" s="128" t="s">
        <v>3777</v>
      </c>
      <c r="D2542" s="126"/>
      <c r="E2542" s="127"/>
      <c r="F2542" s="124" t="s">
        <v>96</v>
      </c>
      <c r="G2542" s="124"/>
      <c r="H2542" s="115">
        <f>118.4-43.4</f>
        <v>75</v>
      </c>
      <c r="I2542" s="116"/>
    </row>
    <row r="2543" spans="1:9" s="17" customFormat="1" ht="12.75" customHeight="1" x14ac:dyDescent="0.2">
      <c r="A2543" s="65">
        <v>2534</v>
      </c>
      <c r="B2543" s="60">
        <v>6</v>
      </c>
      <c r="C2543" s="117" t="s">
        <v>2327</v>
      </c>
      <c r="D2543" s="118"/>
      <c r="E2543" s="119"/>
      <c r="F2543" s="124" t="s">
        <v>27</v>
      </c>
      <c r="G2543" s="124"/>
      <c r="H2543" s="115">
        <f>185-5</f>
        <v>180</v>
      </c>
      <c r="I2543" s="116"/>
    </row>
    <row r="2544" spans="1:9" s="17" customFormat="1" ht="12.75" customHeight="1" x14ac:dyDescent="0.2">
      <c r="A2544" s="65">
        <v>2535</v>
      </c>
      <c r="B2544" s="60">
        <v>2</v>
      </c>
      <c r="C2544" s="128" t="s">
        <v>349</v>
      </c>
      <c r="D2544" s="126"/>
      <c r="E2544" s="127"/>
      <c r="F2544" s="125" t="s">
        <v>62</v>
      </c>
      <c r="G2544" s="125"/>
      <c r="H2544" s="115">
        <f>184+184</f>
        <v>368</v>
      </c>
      <c r="I2544" s="116"/>
    </row>
    <row r="2545" spans="1:9" s="17" customFormat="1" ht="12.75" customHeight="1" x14ac:dyDescent="0.2">
      <c r="A2545" s="65">
        <v>2536</v>
      </c>
      <c r="B2545" s="60"/>
      <c r="C2545" s="128" t="s">
        <v>1837</v>
      </c>
      <c r="D2545" s="126"/>
      <c r="E2545" s="127"/>
      <c r="F2545" s="113" t="s">
        <v>62</v>
      </c>
      <c r="G2545" s="114"/>
      <c r="H2545" s="115">
        <f>15.4+17.3+21-15.4</f>
        <v>38.300000000000004</v>
      </c>
      <c r="I2545" s="116"/>
    </row>
    <row r="2546" spans="1:9" s="17" customFormat="1" ht="12.75" customHeight="1" x14ac:dyDescent="0.2">
      <c r="A2546" s="65">
        <v>2537</v>
      </c>
      <c r="B2546" s="60"/>
      <c r="C2546" s="128" t="s">
        <v>2909</v>
      </c>
      <c r="D2546" s="126"/>
      <c r="E2546" s="127"/>
      <c r="F2546" s="125" t="s">
        <v>62</v>
      </c>
      <c r="G2546" s="125"/>
      <c r="H2546" s="115">
        <f>43.2+28.6-14.4</f>
        <v>57.400000000000013</v>
      </c>
      <c r="I2546" s="116"/>
    </row>
    <row r="2547" spans="1:9" s="17" customFormat="1" ht="12.75" customHeight="1" x14ac:dyDescent="0.2">
      <c r="A2547" s="65">
        <v>2538</v>
      </c>
      <c r="B2547" s="60"/>
      <c r="C2547" s="117" t="s">
        <v>2658</v>
      </c>
      <c r="D2547" s="118"/>
      <c r="E2547" s="119"/>
      <c r="F2547" s="121" t="s">
        <v>64</v>
      </c>
      <c r="G2547" s="122"/>
      <c r="H2547" s="115">
        <v>67</v>
      </c>
      <c r="I2547" s="116"/>
    </row>
    <row r="2548" spans="1:9" s="17" customFormat="1" ht="12.75" customHeight="1" x14ac:dyDescent="0.2">
      <c r="A2548" s="65">
        <v>2539</v>
      </c>
      <c r="B2548" s="60"/>
      <c r="C2548" s="128" t="s">
        <v>1288</v>
      </c>
      <c r="D2548" s="126"/>
      <c r="E2548" s="127"/>
      <c r="F2548" s="124" t="s">
        <v>96</v>
      </c>
      <c r="G2548" s="124"/>
      <c r="H2548" s="115">
        <f>250-121</f>
        <v>129</v>
      </c>
      <c r="I2548" s="116"/>
    </row>
    <row r="2549" spans="1:9" s="23" customFormat="1" ht="12.75" customHeight="1" x14ac:dyDescent="0.2">
      <c r="A2549" s="65">
        <v>2540</v>
      </c>
      <c r="B2549" s="60"/>
      <c r="C2549" s="117" t="s">
        <v>900</v>
      </c>
      <c r="D2549" s="118"/>
      <c r="E2549" s="119"/>
      <c r="F2549" s="124" t="s">
        <v>87</v>
      </c>
      <c r="G2549" s="124"/>
      <c r="H2549" s="115">
        <v>32.799999999999997</v>
      </c>
      <c r="I2549" s="116"/>
    </row>
    <row r="2550" spans="1:9" s="17" customFormat="1" ht="12.75" customHeight="1" x14ac:dyDescent="0.2">
      <c r="A2550" s="65">
        <v>2541</v>
      </c>
      <c r="B2550" s="60"/>
      <c r="C2550" s="117" t="s">
        <v>3114</v>
      </c>
      <c r="D2550" s="118"/>
      <c r="E2550" s="119"/>
      <c r="F2550" s="124" t="s">
        <v>45</v>
      </c>
      <c r="G2550" s="124"/>
      <c r="H2550" s="115">
        <f>46.2+27</f>
        <v>73.2</v>
      </c>
      <c r="I2550" s="116"/>
    </row>
    <row r="2551" spans="1:9" s="17" customFormat="1" ht="12.75" customHeight="1" x14ac:dyDescent="0.2">
      <c r="A2551" s="65">
        <v>2542</v>
      </c>
      <c r="B2551" s="60"/>
      <c r="C2551" s="112" t="s">
        <v>538</v>
      </c>
      <c r="D2551" s="112"/>
      <c r="E2551" s="112"/>
      <c r="F2551" s="124" t="s">
        <v>200</v>
      </c>
      <c r="G2551" s="124"/>
      <c r="H2551" s="115">
        <v>125</v>
      </c>
      <c r="I2551" s="116"/>
    </row>
    <row r="2552" spans="1:9" s="17" customFormat="1" ht="12.75" customHeight="1" x14ac:dyDescent="0.2">
      <c r="A2552" s="65">
        <v>2543</v>
      </c>
      <c r="B2552" s="60"/>
      <c r="C2552" s="128" t="s">
        <v>1150</v>
      </c>
      <c r="D2552" s="126"/>
      <c r="E2552" s="127"/>
      <c r="F2552" s="125" t="s">
        <v>76</v>
      </c>
      <c r="G2552" s="125"/>
      <c r="H2552" s="115">
        <v>17</v>
      </c>
      <c r="I2552" s="116"/>
    </row>
    <row r="2553" spans="1:9" s="17" customFormat="1" ht="12.75" customHeight="1" x14ac:dyDescent="0.2">
      <c r="A2553" s="65">
        <v>2544</v>
      </c>
      <c r="B2553" s="60">
        <v>6</v>
      </c>
      <c r="C2553" s="117" t="s">
        <v>518</v>
      </c>
      <c r="D2553" s="118"/>
      <c r="E2553" s="119"/>
      <c r="F2553" s="121" t="s">
        <v>80</v>
      </c>
      <c r="G2553" s="122"/>
      <c r="H2553" s="115">
        <v>310</v>
      </c>
      <c r="I2553" s="116"/>
    </row>
    <row r="2554" spans="1:9" s="17" customFormat="1" ht="27" customHeight="1" x14ac:dyDescent="0.2">
      <c r="A2554" s="65">
        <v>2545</v>
      </c>
      <c r="B2554" s="60"/>
      <c r="C2554" s="117" t="s">
        <v>537</v>
      </c>
      <c r="D2554" s="118"/>
      <c r="E2554" s="119"/>
      <c r="F2554" s="121" t="s">
        <v>396</v>
      </c>
      <c r="G2554" s="122"/>
      <c r="H2554" s="115">
        <v>19.5</v>
      </c>
      <c r="I2554" s="116"/>
    </row>
    <row r="2555" spans="1:9" s="17" customFormat="1" ht="12.75" customHeight="1" x14ac:dyDescent="0.2">
      <c r="A2555" s="65">
        <v>2546</v>
      </c>
      <c r="B2555" s="60">
        <v>6</v>
      </c>
      <c r="C2555" s="117" t="s">
        <v>2712</v>
      </c>
      <c r="D2555" s="118"/>
      <c r="E2555" s="119"/>
      <c r="F2555" s="124" t="s">
        <v>96</v>
      </c>
      <c r="G2555" s="124"/>
      <c r="H2555" s="115">
        <f>555-195-66+1-30</f>
        <v>265</v>
      </c>
      <c r="I2555" s="116"/>
    </row>
    <row r="2556" spans="1:9" s="17" customFormat="1" ht="12.75" customHeight="1" x14ac:dyDescent="0.2">
      <c r="A2556" s="65">
        <v>2547</v>
      </c>
      <c r="B2556" s="60"/>
      <c r="C2556" s="128" t="s">
        <v>1485</v>
      </c>
      <c r="D2556" s="126"/>
      <c r="E2556" s="127"/>
      <c r="F2556" s="125" t="s">
        <v>62</v>
      </c>
      <c r="G2556" s="125"/>
      <c r="H2556" s="115">
        <v>23.3</v>
      </c>
      <c r="I2556" s="116"/>
    </row>
    <row r="2557" spans="1:9" s="17" customFormat="1" ht="12.75" customHeight="1" x14ac:dyDescent="0.2">
      <c r="A2557" s="65">
        <v>2548</v>
      </c>
      <c r="B2557" s="60">
        <v>6</v>
      </c>
      <c r="C2557" s="128" t="s">
        <v>533</v>
      </c>
      <c r="D2557" s="126"/>
      <c r="E2557" s="127"/>
      <c r="F2557" s="125" t="s">
        <v>62</v>
      </c>
      <c r="G2557" s="125"/>
      <c r="H2557" s="115">
        <v>170</v>
      </c>
      <c r="I2557" s="116"/>
    </row>
    <row r="2558" spans="1:9" s="17" customFormat="1" ht="12.75" customHeight="1" x14ac:dyDescent="0.2">
      <c r="A2558" s="65">
        <v>2549</v>
      </c>
      <c r="B2558" s="60">
        <v>6</v>
      </c>
      <c r="C2558" s="128" t="s">
        <v>717</v>
      </c>
      <c r="D2558" s="126"/>
      <c r="E2558" s="127"/>
      <c r="F2558" s="125" t="s">
        <v>718</v>
      </c>
      <c r="G2558" s="125"/>
      <c r="H2558" s="115">
        <v>790</v>
      </c>
      <c r="I2558" s="116"/>
    </row>
    <row r="2559" spans="1:9" s="17" customFormat="1" ht="11.25" x14ac:dyDescent="0.2">
      <c r="A2559" s="65">
        <v>2550</v>
      </c>
      <c r="B2559" s="60"/>
      <c r="C2559" s="128" t="s">
        <v>4262</v>
      </c>
      <c r="D2559" s="126"/>
      <c r="E2559" s="127"/>
      <c r="F2559" s="125" t="s">
        <v>62</v>
      </c>
      <c r="G2559" s="125"/>
      <c r="H2559" s="115">
        <f>67.3+46.3-67.3+52.7+82+120-46.3-52.7+120+100+59.4-29.2-100-30.2+50.4-50.4+60.4+35.4-82+36.6+37.3-120-73.9</f>
        <v>215.79999999999998</v>
      </c>
      <c r="I2559" s="116"/>
    </row>
    <row r="2560" spans="1:9" s="17" customFormat="1" ht="12.75" customHeight="1" x14ac:dyDescent="0.2">
      <c r="A2560" s="65">
        <v>2551</v>
      </c>
      <c r="B2560" s="60"/>
      <c r="C2560" s="128" t="s">
        <v>4263</v>
      </c>
      <c r="D2560" s="126"/>
      <c r="E2560" s="127"/>
      <c r="F2560" s="125" t="s">
        <v>62</v>
      </c>
      <c r="G2560" s="125"/>
      <c r="H2560" s="115">
        <f>40.8+24.3-20.4-24.3+32.2-20.4</f>
        <v>32.199999999999996</v>
      </c>
      <c r="I2560" s="116"/>
    </row>
    <row r="2561" spans="1:9" s="17" customFormat="1" ht="12.75" customHeight="1" x14ac:dyDescent="0.2">
      <c r="A2561" s="65">
        <v>2552</v>
      </c>
      <c r="B2561" s="60"/>
      <c r="C2561" s="128" t="s">
        <v>2913</v>
      </c>
      <c r="D2561" s="126"/>
      <c r="E2561" s="127"/>
      <c r="F2561" s="125" t="s">
        <v>62</v>
      </c>
      <c r="G2561" s="125"/>
      <c r="H2561" s="115">
        <f>49.3+34.8-16.5</f>
        <v>67.599999999999994</v>
      </c>
      <c r="I2561" s="116"/>
    </row>
    <row r="2562" spans="1:9" s="17" customFormat="1" ht="12.75" customHeight="1" x14ac:dyDescent="0.2">
      <c r="A2562" s="65">
        <v>2553</v>
      </c>
      <c r="B2562" s="60"/>
      <c r="C2562" s="128" t="s">
        <v>4264</v>
      </c>
      <c r="D2562" s="126"/>
      <c r="E2562" s="127"/>
      <c r="F2562" s="125" t="s">
        <v>62</v>
      </c>
      <c r="G2562" s="125"/>
      <c r="H2562" s="115">
        <f>100.7+29-24.2-29-29.7</f>
        <v>46.799999999999983</v>
      </c>
      <c r="I2562" s="116"/>
    </row>
    <row r="2563" spans="1:9" s="17" customFormat="1" ht="12.75" customHeight="1" x14ac:dyDescent="0.2">
      <c r="A2563" s="65">
        <v>2554</v>
      </c>
      <c r="B2563" s="60"/>
      <c r="C2563" s="130" t="s">
        <v>3088</v>
      </c>
      <c r="D2563" s="131"/>
      <c r="E2563" s="132"/>
      <c r="F2563" s="125" t="s">
        <v>75</v>
      </c>
      <c r="G2563" s="125"/>
      <c r="H2563" s="115">
        <f>61-8.4-14.9-16.2-13.2-0.4-2.4+25-12.3+17.1+42.4-22-5.5+26.7-23.4+43.3-19</f>
        <v>77.800000000000011</v>
      </c>
      <c r="I2563" s="116"/>
    </row>
    <row r="2564" spans="1:9" s="17" customFormat="1" ht="27" customHeight="1" x14ac:dyDescent="0.2">
      <c r="A2564" s="65">
        <v>2555</v>
      </c>
      <c r="B2564" s="60"/>
      <c r="C2564" s="117" t="s">
        <v>1751</v>
      </c>
      <c r="D2564" s="118"/>
      <c r="E2564" s="119"/>
      <c r="F2564" s="124" t="s">
        <v>80</v>
      </c>
      <c r="G2564" s="124"/>
      <c r="H2564" s="115">
        <f>234.7+24.2+33+34+25.5+28-28-42-48-53.2+38+28.4+21+142.4+42.6-21-25.5-24.2-25.6-28.4-80.6</f>
        <v>275.30000000000007</v>
      </c>
      <c r="I2564" s="116"/>
    </row>
    <row r="2565" spans="1:9" s="17" customFormat="1" ht="12.75" customHeight="1" x14ac:dyDescent="0.2">
      <c r="A2565" s="65">
        <v>2556</v>
      </c>
      <c r="B2565" s="60"/>
      <c r="C2565" s="117" t="s">
        <v>2659</v>
      </c>
      <c r="D2565" s="118"/>
      <c r="E2565" s="119"/>
      <c r="F2565" s="121" t="s">
        <v>64</v>
      </c>
      <c r="G2565" s="122"/>
      <c r="H2565" s="115">
        <v>78.2</v>
      </c>
      <c r="I2565" s="116"/>
    </row>
    <row r="2566" spans="1:9" s="17" customFormat="1" ht="12.75" customHeight="1" x14ac:dyDescent="0.2">
      <c r="A2566" s="65">
        <v>2557</v>
      </c>
      <c r="B2566" s="60">
        <v>6</v>
      </c>
      <c r="C2566" s="117" t="s">
        <v>1101</v>
      </c>
      <c r="D2566" s="118"/>
      <c r="E2566" s="119"/>
      <c r="F2566" s="121" t="s">
        <v>401</v>
      </c>
      <c r="G2566" s="122"/>
      <c r="H2566" s="115">
        <v>190</v>
      </c>
      <c r="I2566" s="116"/>
    </row>
    <row r="2567" spans="1:9" s="17" customFormat="1" ht="12.75" customHeight="1" x14ac:dyDescent="0.2">
      <c r="A2567" s="65">
        <v>2558</v>
      </c>
      <c r="B2567" s="60">
        <v>2</v>
      </c>
      <c r="C2567" s="128" t="s">
        <v>646</v>
      </c>
      <c r="D2567" s="126"/>
      <c r="E2567" s="127"/>
      <c r="F2567" s="121" t="s">
        <v>102</v>
      </c>
      <c r="G2567" s="122"/>
      <c r="H2567" s="140">
        <v>270</v>
      </c>
      <c r="I2567" s="141"/>
    </row>
    <row r="2568" spans="1:9" s="17" customFormat="1" ht="12.75" customHeight="1" x14ac:dyDescent="0.2">
      <c r="A2568" s="65">
        <v>2559</v>
      </c>
      <c r="B2568" s="60">
        <v>6</v>
      </c>
      <c r="C2568" s="128" t="s">
        <v>1580</v>
      </c>
      <c r="D2568" s="126"/>
      <c r="E2568" s="127"/>
      <c r="F2568" s="121" t="s">
        <v>71</v>
      </c>
      <c r="G2568" s="122"/>
      <c r="H2568" s="115">
        <v>206</v>
      </c>
      <c r="I2568" s="116"/>
    </row>
    <row r="2569" spans="1:9" s="17" customFormat="1" ht="12.75" customHeight="1" x14ac:dyDescent="0.2">
      <c r="A2569" s="65">
        <v>2560</v>
      </c>
      <c r="B2569" s="60"/>
      <c r="C2569" s="130" t="s">
        <v>1699</v>
      </c>
      <c r="D2569" s="131"/>
      <c r="E2569" s="132"/>
      <c r="F2569" s="124" t="s">
        <v>31</v>
      </c>
      <c r="G2569" s="124"/>
      <c r="H2569" s="115">
        <v>4.0999999999999996</v>
      </c>
      <c r="I2569" s="116"/>
    </row>
    <row r="2570" spans="1:9" s="17" customFormat="1" ht="12.75" customHeight="1" x14ac:dyDescent="0.2">
      <c r="A2570" s="65">
        <v>2561</v>
      </c>
      <c r="B2570" s="60"/>
      <c r="C2570" s="130" t="s">
        <v>3715</v>
      </c>
      <c r="D2570" s="131"/>
      <c r="E2570" s="132"/>
      <c r="F2570" s="124" t="s">
        <v>31</v>
      </c>
      <c r="G2570" s="124"/>
      <c r="H2570" s="115">
        <f>21.5+17.2+16.8-16.8-17.2</f>
        <v>21.500000000000004</v>
      </c>
      <c r="I2570" s="116"/>
    </row>
    <row r="2571" spans="1:9" s="17" customFormat="1" ht="12.75" customHeight="1" x14ac:dyDescent="0.2">
      <c r="A2571" s="65">
        <v>2562</v>
      </c>
      <c r="B2571" s="60"/>
      <c r="C2571" s="117" t="s">
        <v>1895</v>
      </c>
      <c r="D2571" s="118"/>
      <c r="E2571" s="119"/>
      <c r="F2571" s="124" t="s">
        <v>71</v>
      </c>
      <c r="G2571" s="124"/>
      <c r="H2571" s="115">
        <f>6+19.2+6.9-19.2-6.9</f>
        <v>6.0000000000000018</v>
      </c>
      <c r="I2571" s="116"/>
    </row>
    <row r="2572" spans="1:9" s="17" customFormat="1" ht="12.75" customHeight="1" x14ac:dyDescent="0.2">
      <c r="A2572" s="65">
        <v>2563</v>
      </c>
      <c r="B2572" s="60"/>
      <c r="C2572" s="117" t="s">
        <v>1084</v>
      </c>
      <c r="D2572" s="118"/>
      <c r="E2572" s="119"/>
      <c r="F2572" s="121" t="s">
        <v>17</v>
      </c>
      <c r="G2572" s="122"/>
      <c r="H2572" s="115">
        <f>9.2+29.6-29.6</f>
        <v>9.1999999999999957</v>
      </c>
      <c r="I2572" s="116"/>
    </row>
    <row r="2573" spans="1:9" s="17" customFormat="1" ht="27.75" customHeight="1" x14ac:dyDescent="0.2">
      <c r="A2573" s="65">
        <v>2564</v>
      </c>
      <c r="B2573" s="60"/>
      <c r="C2573" s="117" t="s">
        <v>3742</v>
      </c>
      <c r="D2573" s="118"/>
      <c r="E2573" s="119"/>
      <c r="F2573" s="121" t="s">
        <v>17</v>
      </c>
      <c r="G2573" s="122"/>
      <c r="H2573" s="115">
        <f>26.1+54.4+23.7+21+17.6</f>
        <v>142.80000000000001</v>
      </c>
      <c r="I2573" s="116"/>
    </row>
    <row r="2574" spans="1:9" s="17" customFormat="1" ht="25.5" customHeight="1" x14ac:dyDescent="0.2">
      <c r="A2574" s="65">
        <v>2565</v>
      </c>
      <c r="B2574" s="60"/>
      <c r="C2574" s="117" t="s">
        <v>1305</v>
      </c>
      <c r="D2574" s="118"/>
      <c r="E2574" s="119"/>
      <c r="F2574" s="124" t="s">
        <v>209</v>
      </c>
      <c r="G2574" s="124"/>
      <c r="H2574" s="115">
        <f>72.8+17.2+13.2-13.2-9.4-17.2-30.6</f>
        <v>32.79999999999999</v>
      </c>
      <c r="I2574" s="116"/>
    </row>
    <row r="2575" spans="1:9" s="17" customFormat="1" ht="12.75" customHeight="1" x14ac:dyDescent="0.2">
      <c r="A2575" s="65">
        <v>2566</v>
      </c>
      <c r="B2575" s="60"/>
      <c r="C2575" s="117" t="s">
        <v>1241</v>
      </c>
      <c r="D2575" s="118"/>
      <c r="E2575" s="119"/>
      <c r="F2575" s="124" t="s">
        <v>200</v>
      </c>
      <c r="G2575" s="124"/>
      <c r="H2575" s="115">
        <v>13.8</v>
      </c>
      <c r="I2575" s="116"/>
    </row>
    <row r="2576" spans="1:9" s="17" customFormat="1" ht="12.75" customHeight="1" x14ac:dyDescent="0.2">
      <c r="A2576" s="65">
        <v>2567</v>
      </c>
      <c r="B2576" s="60"/>
      <c r="C2576" s="117" t="s">
        <v>501</v>
      </c>
      <c r="D2576" s="118"/>
      <c r="E2576" s="119"/>
      <c r="F2576" s="124" t="s">
        <v>200</v>
      </c>
      <c r="G2576" s="124"/>
      <c r="H2576" s="115">
        <v>17.399999999999999</v>
      </c>
      <c r="I2576" s="116"/>
    </row>
    <row r="2577" spans="1:9" s="17" customFormat="1" ht="12.75" customHeight="1" x14ac:dyDescent="0.2">
      <c r="A2577" s="65">
        <v>2568</v>
      </c>
      <c r="B2577" s="60"/>
      <c r="C2577" s="117" t="s">
        <v>1995</v>
      </c>
      <c r="D2577" s="118"/>
      <c r="E2577" s="119"/>
      <c r="F2577" s="124" t="s">
        <v>56</v>
      </c>
      <c r="G2577" s="124"/>
      <c r="H2577" s="115">
        <v>17.600000000000001</v>
      </c>
      <c r="I2577" s="116"/>
    </row>
    <row r="2578" spans="1:9" s="17" customFormat="1" ht="12.75" customHeight="1" x14ac:dyDescent="0.2">
      <c r="A2578" s="65">
        <v>2569</v>
      </c>
      <c r="B2578" s="60"/>
      <c r="C2578" s="117" t="s">
        <v>3813</v>
      </c>
      <c r="D2578" s="118"/>
      <c r="E2578" s="119"/>
      <c r="F2578" s="124" t="s">
        <v>45</v>
      </c>
      <c r="G2578" s="124"/>
      <c r="H2578" s="115">
        <v>15.3</v>
      </c>
      <c r="I2578" s="116"/>
    </row>
    <row r="2579" spans="1:9" s="17" customFormat="1" ht="12.75" customHeight="1" x14ac:dyDescent="0.2">
      <c r="A2579" s="65">
        <v>2570</v>
      </c>
      <c r="B2579" s="60"/>
      <c r="C2579" s="117" t="s">
        <v>960</v>
      </c>
      <c r="D2579" s="118"/>
      <c r="E2579" s="119"/>
      <c r="F2579" s="124" t="s">
        <v>30</v>
      </c>
      <c r="G2579" s="124"/>
      <c r="H2579" s="115">
        <f>84-52.4</f>
        <v>31.6</v>
      </c>
      <c r="I2579" s="116"/>
    </row>
    <row r="2580" spans="1:9" s="17" customFormat="1" ht="12.75" customHeight="1" x14ac:dyDescent="0.2">
      <c r="A2580" s="65">
        <v>2571</v>
      </c>
      <c r="B2580" s="60">
        <v>6</v>
      </c>
      <c r="C2580" s="128" t="s">
        <v>1581</v>
      </c>
      <c r="D2580" s="126"/>
      <c r="E2580" s="127"/>
      <c r="F2580" s="121" t="s">
        <v>71</v>
      </c>
      <c r="G2580" s="122"/>
      <c r="H2580" s="115">
        <v>135</v>
      </c>
      <c r="I2580" s="116"/>
    </row>
    <row r="2581" spans="1:9" s="17" customFormat="1" ht="27" customHeight="1" x14ac:dyDescent="0.2">
      <c r="A2581" s="65">
        <v>2572</v>
      </c>
      <c r="B2581" s="60"/>
      <c r="C2581" s="128" t="s">
        <v>3731</v>
      </c>
      <c r="D2581" s="126"/>
      <c r="E2581" s="127"/>
      <c r="F2581" s="125" t="s">
        <v>62</v>
      </c>
      <c r="G2581" s="125"/>
      <c r="H2581" s="115">
        <f>211.5+9+25.3-69.6+43.6-28.6-40.7+17.8-71.2-25.6-26.7-9</f>
        <v>35.799999999999997</v>
      </c>
      <c r="I2581" s="116"/>
    </row>
    <row r="2582" spans="1:9" s="17" customFormat="1" ht="12.75" customHeight="1" x14ac:dyDescent="0.2">
      <c r="A2582" s="65">
        <v>2573</v>
      </c>
      <c r="B2582" s="60"/>
      <c r="C2582" s="117" t="s">
        <v>1761</v>
      </c>
      <c r="D2582" s="118"/>
      <c r="E2582" s="119"/>
      <c r="F2582" s="113" t="s">
        <v>76</v>
      </c>
      <c r="G2582" s="114"/>
      <c r="H2582" s="115">
        <v>44.4</v>
      </c>
      <c r="I2582" s="116"/>
    </row>
    <row r="2583" spans="1:9" s="23" customFormat="1" ht="13.5" customHeight="1" x14ac:dyDescent="0.2">
      <c r="A2583" s="65">
        <v>2574</v>
      </c>
      <c r="B2583" s="60">
        <v>6</v>
      </c>
      <c r="C2583" s="117" t="s">
        <v>596</v>
      </c>
      <c r="D2583" s="118"/>
      <c r="E2583" s="119"/>
      <c r="F2583" s="124" t="s">
        <v>87</v>
      </c>
      <c r="G2583" s="124"/>
      <c r="H2583" s="115">
        <v>180</v>
      </c>
      <c r="I2583" s="116"/>
    </row>
    <row r="2584" spans="1:9" s="17" customFormat="1" ht="12.75" customHeight="1" x14ac:dyDescent="0.2">
      <c r="A2584" s="65">
        <v>2575</v>
      </c>
      <c r="B2584" s="60"/>
      <c r="C2584" s="128" t="s">
        <v>5109</v>
      </c>
      <c r="D2584" s="126"/>
      <c r="E2584" s="127"/>
      <c r="F2584" s="125" t="s">
        <v>62</v>
      </c>
      <c r="G2584" s="125"/>
      <c r="H2584" s="115">
        <f>80.6-31.6</f>
        <v>48.999999999999993</v>
      </c>
      <c r="I2584" s="116"/>
    </row>
    <row r="2585" spans="1:9" s="17" customFormat="1" ht="11.25" x14ac:dyDescent="0.2">
      <c r="A2585" s="65">
        <v>2576</v>
      </c>
      <c r="B2585" s="60" t="s">
        <v>4571</v>
      </c>
      <c r="C2585" s="117" t="s">
        <v>4901</v>
      </c>
      <c r="D2585" s="118"/>
      <c r="E2585" s="119"/>
      <c r="F2585" s="113" t="s">
        <v>62</v>
      </c>
      <c r="G2585" s="114"/>
      <c r="H2585" s="115">
        <f>743.5-75.5</f>
        <v>668</v>
      </c>
      <c r="I2585" s="116"/>
    </row>
    <row r="2586" spans="1:9" s="17" customFormat="1" ht="24" customHeight="1" x14ac:dyDescent="0.2">
      <c r="A2586" s="65">
        <v>2577</v>
      </c>
      <c r="B2586" s="60"/>
      <c r="C2586" s="117" t="s">
        <v>3807</v>
      </c>
      <c r="D2586" s="118"/>
      <c r="E2586" s="119"/>
      <c r="F2586" s="113" t="s">
        <v>62</v>
      </c>
      <c r="G2586" s="114"/>
      <c r="H2586" s="115">
        <f>60+40.4+31.3+21.6+25.2+102.4+24.2+31-33.4-49.4</f>
        <v>253.29999999999998</v>
      </c>
      <c r="I2586" s="116"/>
    </row>
    <row r="2587" spans="1:9" s="17" customFormat="1" ht="12.75" customHeight="1" x14ac:dyDescent="0.2">
      <c r="A2587" s="65">
        <v>2578</v>
      </c>
      <c r="B2587" s="60"/>
      <c r="C2587" s="117" t="s">
        <v>2604</v>
      </c>
      <c r="D2587" s="118"/>
      <c r="E2587" s="119"/>
      <c r="F2587" s="113" t="s">
        <v>62</v>
      </c>
      <c r="G2587" s="114"/>
      <c r="H2587" s="115">
        <f>45.3-15.1</f>
        <v>30.199999999999996</v>
      </c>
      <c r="I2587" s="116"/>
    </row>
    <row r="2588" spans="1:9" s="17" customFormat="1" ht="12.75" customHeight="1" x14ac:dyDescent="0.2">
      <c r="A2588" s="65">
        <v>2579</v>
      </c>
      <c r="B2588" s="60"/>
      <c r="C2588" s="117" t="s">
        <v>1418</v>
      </c>
      <c r="D2588" s="118"/>
      <c r="E2588" s="119"/>
      <c r="F2588" s="121" t="s">
        <v>64</v>
      </c>
      <c r="G2588" s="122"/>
      <c r="H2588" s="115">
        <f>67.6-33.8-16.9</f>
        <v>16.899999999999999</v>
      </c>
      <c r="I2588" s="116"/>
    </row>
    <row r="2589" spans="1:9" s="17" customFormat="1" ht="12.75" customHeight="1" x14ac:dyDescent="0.2">
      <c r="A2589" s="65">
        <v>2580</v>
      </c>
      <c r="B2589" s="60">
        <v>2</v>
      </c>
      <c r="C2589" s="128" t="s">
        <v>488</v>
      </c>
      <c r="D2589" s="126"/>
      <c r="E2589" s="127"/>
      <c r="F2589" s="121" t="s">
        <v>102</v>
      </c>
      <c r="G2589" s="122"/>
      <c r="H2589" s="140">
        <v>384</v>
      </c>
      <c r="I2589" s="141"/>
    </row>
    <row r="2590" spans="1:9" s="17" customFormat="1" ht="12.75" customHeight="1" x14ac:dyDescent="0.2">
      <c r="A2590" s="65">
        <v>2581</v>
      </c>
      <c r="B2590" s="60"/>
      <c r="C2590" s="117" t="s">
        <v>1327</v>
      </c>
      <c r="D2590" s="118"/>
      <c r="E2590" s="119"/>
      <c r="F2590" s="113" t="s">
        <v>76</v>
      </c>
      <c r="G2590" s="114"/>
      <c r="H2590" s="115">
        <v>29.8</v>
      </c>
      <c r="I2590" s="116"/>
    </row>
    <row r="2591" spans="1:9" s="17" customFormat="1" ht="12.75" customHeight="1" x14ac:dyDescent="0.2">
      <c r="A2591" s="65">
        <v>2582</v>
      </c>
      <c r="B2591" s="60"/>
      <c r="C2591" s="117" t="s">
        <v>2043</v>
      </c>
      <c r="D2591" s="118"/>
      <c r="E2591" s="119"/>
      <c r="F2591" s="113" t="s">
        <v>62</v>
      </c>
      <c r="G2591" s="114"/>
      <c r="H2591" s="115">
        <v>45.5</v>
      </c>
      <c r="I2591" s="116"/>
    </row>
    <row r="2592" spans="1:9" s="17" customFormat="1" ht="21.75" customHeight="1" x14ac:dyDescent="0.2">
      <c r="A2592" s="65">
        <v>2583</v>
      </c>
      <c r="B2592" s="60"/>
      <c r="C2592" s="117" t="s">
        <v>5211</v>
      </c>
      <c r="D2592" s="118"/>
      <c r="E2592" s="119"/>
      <c r="F2592" s="113" t="s">
        <v>62</v>
      </c>
      <c r="G2592" s="114"/>
      <c r="H2592" s="115">
        <f>15.4+21.6+72.5-15.4+18.3+22-18.3-25.5</f>
        <v>90.59999999999998</v>
      </c>
      <c r="I2592" s="116"/>
    </row>
    <row r="2593" spans="1:9" s="17" customFormat="1" ht="12.75" customHeight="1" x14ac:dyDescent="0.2">
      <c r="A2593" s="65">
        <v>2584</v>
      </c>
      <c r="B2593" s="60"/>
      <c r="C2593" s="117" t="s">
        <v>1800</v>
      </c>
      <c r="D2593" s="118"/>
      <c r="E2593" s="119"/>
      <c r="F2593" s="121" t="s">
        <v>276</v>
      </c>
      <c r="G2593" s="122"/>
      <c r="H2593" s="115">
        <v>24.2</v>
      </c>
      <c r="I2593" s="116"/>
    </row>
    <row r="2594" spans="1:9" s="17" customFormat="1" ht="12.75" customHeight="1" x14ac:dyDescent="0.2">
      <c r="A2594" s="65">
        <v>2585</v>
      </c>
      <c r="B2594" s="60">
        <v>6</v>
      </c>
      <c r="C2594" s="128" t="s">
        <v>1582</v>
      </c>
      <c r="D2594" s="126"/>
      <c r="E2594" s="127"/>
      <c r="F2594" s="113" t="s">
        <v>157</v>
      </c>
      <c r="G2594" s="114"/>
      <c r="H2594" s="115">
        <v>367</v>
      </c>
      <c r="I2594" s="116"/>
    </row>
    <row r="2595" spans="1:9" s="17" customFormat="1" ht="12.75" customHeight="1" x14ac:dyDescent="0.2">
      <c r="A2595" s="65">
        <v>2586</v>
      </c>
      <c r="B2595" s="60"/>
      <c r="C2595" s="117" t="s">
        <v>5202</v>
      </c>
      <c r="D2595" s="118"/>
      <c r="E2595" s="119"/>
      <c r="F2595" s="113" t="s">
        <v>62</v>
      </c>
      <c r="G2595" s="114"/>
      <c r="H2595" s="115">
        <f>136.7+118.8+25-16.9-16.9</f>
        <v>246.70000000000002</v>
      </c>
      <c r="I2595" s="116"/>
    </row>
    <row r="2596" spans="1:9" s="17" customFormat="1" ht="12.75" customHeight="1" x14ac:dyDescent="0.2">
      <c r="A2596" s="65">
        <v>2587</v>
      </c>
      <c r="B2596" s="60"/>
      <c r="C2596" s="128" t="s">
        <v>4253</v>
      </c>
      <c r="D2596" s="126"/>
      <c r="E2596" s="127"/>
      <c r="F2596" s="125" t="s">
        <v>59</v>
      </c>
      <c r="G2596" s="125"/>
      <c r="H2596" s="115">
        <f>59.5-19.1-7.1+20.2+32.4-5.8-27.5</f>
        <v>52.600000000000009</v>
      </c>
      <c r="I2596" s="116"/>
    </row>
    <row r="2597" spans="1:9" s="17" customFormat="1" ht="12.75" customHeight="1" x14ac:dyDescent="0.2">
      <c r="A2597" s="65">
        <v>2588</v>
      </c>
      <c r="B2597" s="60"/>
      <c r="C2597" s="128" t="s">
        <v>2568</v>
      </c>
      <c r="D2597" s="126"/>
      <c r="E2597" s="127"/>
      <c r="F2597" s="125" t="s">
        <v>62</v>
      </c>
      <c r="G2597" s="125"/>
      <c r="H2597" s="115">
        <f>6.8+36.8-14.4-11.1-6.8+28.3</f>
        <v>39.599999999999994</v>
      </c>
      <c r="I2597" s="116"/>
    </row>
    <row r="2598" spans="1:9" s="17" customFormat="1" ht="12.75" customHeight="1" x14ac:dyDescent="0.2">
      <c r="A2598" s="65">
        <v>2589</v>
      </c>
      <c r="B2598" s="60"/>
      <c r="C2598" s="117" t="s">
        <v>1354</v>
      </c>
      <c r="D2598" s="118"/>
      <c r="E2598" s="119"/>
      <c r="F2598" s="124" t="s">
        <v>30</v>
      </c>
      <c r="G2598" s="124"/>
      <c r="H2598" s="115">
        <v>15.8</v>
      </c>
      <c r="I2598" s="116"/>
    </row>
    <row r="2599" spans="1:9" s="17" customFormat="1" x14ac:dyDescent="0.2">
      <c r="A2599" s="65">
        <v>2590</v>
      </c>
      <c r="B2599" s="60"/>
      <c r="C2599" s="128" t="s">
        <v>4468</v>
      </c>
      <c r="D2599" s="126"/>
      <c r="E2599" s="127"/>
      <c r="F2599" s="121" t="s">
        <v>71</v>
      </c>
      <c r="G2599" s="122"/>
      <c r="H2599" s="115">
        <f>22.2+33.6+14.9+14.6-7.6-22.2-15.4-14.9</f>
        <v>25.200000000000003</v>
      </c>
      <c r="I2599" s="116"/>
    </row>
    <row r="2600" spans="1:9" s="17" customFormat="1" ht="27.75" customHeight="1" x14ac:dyDescent="0.2">
      <c r="A2600" s="65">
        <v>2591</v>
      </c>
      <c r="B2600" s="60"/>
      <c r="C2600" s="128" t="s">
        <v>5107</v>
      </c>
      <c r="D2600" s="126"/>
      <c r="E2600" s="127"/>
      <c r="F2600" s="121" t="s">
        <v>17</v>
      </c>
      <c r="G2600" s="122"/>
      <c r="H2600" s="115">
        <f>26.2+12.7+16.7+29+17.7-7+43.4-17.7</f>
        <v>120.99999999999999</v>
      </c>
      <c r="I2600" s="116"/>
    </row>
    <row r="2601" spans="1:9" s="17" customFormat="1" ht="12.75" customHeight="1" x14ac:dyDescent="0.2">
      <c r="A2601" s="65">
        <v>2592</v>
      </c>
      <c r="B2601" s="60"/>
      <c r="C2601" s="117" t="s">
        <v>593</v>
      </c>
      <c r="D2601" s="118"/>
      <c r="E2601" s="119"/>
      <c r="F2601" s="124" t="s">
        <v>3</v>
      </c>
      <c r="G2601" s="124"/>
      <c r="H2601" s="115">
        <v>37.200000000000003</v>
      </c>
      <c r="I2601" s="116"/>
    </row>
    <row r="2602" spans="1:9" s="23" customFormat="1" ht="12.75" customHeight="1" x14ac:dyDescent="0.2">
      <c r="A2602" s="65">
        <v>2593</v>
      </c>
      <c r="B2602" s="60"/>
      <c r="C2602" s="117" t="s">
        <v>934</v>
      </c>
      <c r="D2602" s="118"/>
      <c r="E2602" s="119"/>
      <c r="F2602" s="124" t="s">
        <v>87</v>
      </c>
      <c r="G2602" s="124"/>
      <c r="H2602" s="115">
        <f>14.1+17.1+38.2-38.2</f>
        <v>31.200000000000003</v>
      </c>
      <c r="I2602" s="116"/>
    </row>
    <row r="2603" spans="1:9" s="17" customFormat="1" ht="12.75" customHeight="1" x14ac:dyDescent="0.2">
      <c r="A2603" s="65">
        <v>2594</v>
      </c>
      <c r="B2603" s="60"/>
      <c r="C2603" s="117" t="s">
        <v>575</v>
      </c>
      <c r="D2603" s="118"/>
      <c r="E2603" s="119"/>
      <c r="F2603" s="124" t="s">
        <v>2</v>
      </c>
      <c r="G2603" s="124"/>
      <c r="H2603" s="115">
        <v>53.7</v>
      </c>
      <c r="I2603" s="116"/>
    </row>
    <row r="2604" spans="1:9" s="17" customFormat="1" ht="12.75" customHeight="1" x14ac:dyDescent="0.2">
      <c r="A2604" s="65">
        <v>2595</v>
      </c>
      <c r="B2604" s="60"/>
      <c r="C2604" s="128" t="s">
        <v>1376</v>
      </c>
      <c r="D2604" s="126"/>
      <c r="E2604" s="127"/>
      <c r="F2604" s="125" t="s">
        <v>62</v>
      </c>
      <c r="G2604" s="125"/>
      <c r="H2604" s="115">
        <v>17.7</v>
      </c>
      <c r="I2604" s="116"/>
    </row>
    <row r="2605" spans="1:9" s="17" customFormat="1" ht="12.75" customHeight="1" x14ac:dyDescent="0.2">
      <c r="A2605" s="65">
        <v>2596</v>
      </c>
      <c r="B2605" s="60"/>
      <c r="C2605" s="128" t="s">
        <v>5393</v>
      </c>
      <c r="D2605" s="126"/>
      <c r="E2605" s="127"/>
      <c r="F2605" s="125" t="s">
        <v>59</v>
      </c>
      <c r="G2605" s="125"/>
      <c r="H2605" s="115">
        <f>173.3-35</f>
        <v>138.30000000000001</v>
      </c>
      <c r="I2605" s="116"/>
    </row>
    <row r="2606" spans="1:9" s="17" customFormat="1" ht="12.75" customHeight="1" x14ac:dyDescent="0.2">
      <c r="A2606" s="65">
        <v>2597</v>
      </c>
      <c r="B2606" s="60"/>
      <c r="C2606" s="128" t="s">
        <v>3835</v>
      </c>
      <c r="D2606" s="126"/>
      <c r="E2606" s="127"/>
      <c r="F2606" s="125" t="s">
        <v>59</v>
      </c>
      <c r="G2606" s="125"/>
      <c r="H2606" s="115">
        <f>108.3-82.6</f>
        <v>25.700000000000003</v>
      </c>
      <c r="I2606" s="116"/>
    </row>
    <row r="2607" spans="1:9" s="17" customFormat="1" ht="12.75" customHeight="1" x14ac:dyDescent="0.2">
      <c r="A2607" s="65">
        <v>2598</v>
      </c>
      <c r="B2607" s="60"/>
      <c r="C2607" s="128" t="s">
        <v>1832</v>
      </c>
      <c r="D2607" s="126"/>
      <c r="E2607" s="127"/>
      <c r="F2607" s="125" t="s">
        <v>62</v>
      </c>
      <c r="G2607" s="125"/>
      <c r="H2607" s="115">
        <v>37</v>
      </c>
      <c r="I2607" s="116"/>
    </row>
    <row r="2608" spans="1:9" s="17" customFormat="1" ht="12.75" customHeight="1" x14ac:dyDescent="0.2">
      <c r="A2608" s="65">
        <v>2599</v>
      </c>
      <c r="B2608" s="60">
        <v>6</v>
      </c>
      <c r="C2608" s="128" t="s">
        <v>281</v>
      </c>
      <c r="D2608" s="126"/>
      <c r="E2608" s="127"/>
      <c r="F2608" s="121" t="s">
        <v>102</v>
      </c>
      <c r="G2608" s="122"/>
      <c r="H2608" s="140">
        <v>470</v>
      </c>
      <c r="I2608" s="141"/>
    </row>
    <row r="2609" spans="1:9" s="17" customFormat="1" ht="12.75" customHeight="1" x14ac:dyDescent="0.2">
      <c r="A2609" s="65">
        <v>2600</v>
      </c>
      <c r="B2609" s="60">
        <v>6</v>
      </c>
      <c r="C2609" s="117" t="s">
        <v>807</v>
      </c>
      <c r="D2609" s="118"/>
      <c r="E2609" s="119"/>
      <c r="F2609" s="121" t="s">
        <v>80</v>
      </c>
      <c r="G2609" s="122"/>
      <c r="H2609" s="115">
        <v>265</v>
      </c>
      <c r="I2609" s="116"/>
    </row>
    <row r="2610" spans="1:9" s="17" customFormat="1" ht="12.75" customHeight="1" x14ac:dyDescent="0.2">
      <c r="A2610" s="65">
        <v>2601</v>
      </c>
      <c r="B2610" s="60"/>
      <c r="C2610" s="117" t="s">
        <v>506</v>
      </c>
      <c r="D2610" s="118"/>
      <c r="E2610" s="119"/>
      <c r="F2610" s="121" t="s">
        <v>80</v>
      </c>
      <c r="G2610" s="122"/>
      <c r="H2610" s="115">
        <v>119</v>
      </c>
      <c r="I2610" s="116"/>
    </row>
    <row r="2611" spans="1:9" s="17" customFormat="1" ht="12.75" customHeight="1" x14ac:dyDescent="0.2">
      <c r="A2611" s="65">
        <v>2602</v>
      </c>
      <c r="B2611" s="60">
        <v>6</v>
      </c>
      <c r="C2611" s="128" t="s">
        <v>1720</v>
      </c>
      <c r="D2611" s="126"/>
      <c r="E2611" s="127"/>
      <c r="F2611" s="125" t="s">
        <v>76</v>
      </c>
      <c r="G2611" s="125"/>
      <c r="H2611" s="115">
        <v>235</v>
      </c>
      <c r="I2611" s="116"/>
    </row>
    <row r="2612" spans="1:9" s="17" customFormat="1" ht="12.75" customHeight="1" x14ac:dyDescent="0.2">
      <c r="A2612" s="65">
        <v>2603</v>
      </c>
      <c r="B2612" s="60">
        <v>6</v>
      </c>
      <c r="C2612" s="128" t="s">
        <v>280</v>
      </c>
      <c r="D2612" s="126"/>
      <c r="E2612" s="127"/>
      <c r="F2612" s="121" t="s">
        <v>102</v>
      </c>
      <c r="G2612" s="122"/>
      <c r="H2612" s="140">
        <v>550</v>
      </c>
      <c r="I2612" s="141"/>
    </row>
    <row r="2613" spans="1:9" s="17" customFormat="1" ht="12.75" customHeight="1" x14ac:dyDescent="0.2">
      <c r="A2613" s="65">
        <v>2604</v>
      </c>
      <c r="B2613" s="60"/>
      <c r="C2613" s="117" t="s">
        <v>232</v>
      </c>
      <c r="D2613" s="118"/>
      <c r="E2613" s="119"/>
      <c r="F2613" s="124" t="s">
        <v>16</v>
      </c>
      <c r="G2613" s="124"/>
      <c r="H2613" s="115">
        <v>293</v>
      </c>
      <c r="I2613" s="116"/>
    </row>
    <row r="2614" spans="1:9" s="17" customFormat="1" ht="12.75" customHeight="1" x14ac:dyDescent="0.2">
      <c r="A2614" s="65">
        <v>2605</v>
      </c>
      <c r="B2614" s="60"/>
      <c r="C2614" s="117" t="s">
        <v>594</v>
      </c>
      <c r="D2614" s="118"/>
      <c r="E2614" s="119"/>
      <c r="F2614" s="124" t="s">
        <v>16</v>
      </c>
      <c r="G2614" s="124"/>
      <c r="H2614" s="115">
        <v>250</v>
      </c>
      <c r="I2614" s="116"/>
    </row>
    <row r="2615" spans="1:9" s="17" customFormat="1" ht="12.75" customHeight="1" x14ac:dyDescent="0.2">
      <c r="A2615" s="65">
        <v>2606</v>
      </c>
      <c r="B2615" s="60">
        <v>6</v>
      </c>
      <c r="C2615" s="117" t="s">
        <v>808</v>
      </c>
      <c r="D2615" s="118"/>
      <c r="E2615" s="119"/>
      <c r="F2615" s="121" t="s">
        <v>80</v>
      </c>
      <c r="G2615" s="122"/>
      <c r="H2615" s="115">
        <v>235</v>
      </c>
      <c r="I2615" s="116"/>
    </row>
    <row r="2616" spans="1:9" s="17" customFormat="1" ht="12.75" customHeight="1" x14ac:dyDescent="0.2">
      <c r="A2616" s="65">
        <v>2607</v>
      </c>
      <c r="B2616" s="60"/>
      <c r="C2616" s="117" t="s">
        <v>1308</v>
      </c>
      <c r="D2616" s="118"/>
      <c r="E2616" s="119"/>
      <c r="F2616" s="121" t="s">
        <v>55</v>
      </c>
      <c r="G2616" s="122"/>
      <c r="H2616" s="115">
        <f>140-112</f>
        <v>28</v>
      </c>
      <c r="I2616" s="116"/>
    </row>
    <row r="2617" spans="1:9" s="17" customFormat="1" ht="27.75" customHeight="1" x14ac:dyDescent="0.2">
      <c r="A2617" s="65">
        <v>2608</v>
      </c>
      <c r="B2617" s="60"/>
      <c r="C2617" s="128" t="s">
        <v>4899</v>
      </c>
      <c r="D2617" s="126"/>
      <c r="E2617" s="127"/>
      <c r="F2617" s="125" t="s">
        <v>59</v>
      </c>
      <c r="G2617" s="125"/>
      <c r="H2617" s="115">
        <f>74.4+13.7-11.2-21.3-10.9</f>
        <v>44.70000000000001</v>
      </c>
      <c r="I2617" s="116"/>
    </row>
    <row r="2618" spans="1:9" s="17" customFormat="1" ht="12.75" customHeight="1" x14ac:dyDescent="0.2">
      <c r="A2618" s="65">
        <v>2609</v>
      </c>
      <c r="B2618" s="60">
        <v>6</v>
      </c>
      <c r="C2618" s="128" t="s">
        <v>3706</v>
      </c>
      <c r="D2618" s="126"/>
      <c r="E2618" s="127"/>
      <c r="F2618" s="121" t="s">
        <v>71</v>
      </c>
      <c r="G2618" s="122"/>
      <c r="H2618" s="115">
        <f>760-140-155</f>
        <v>465</v>
      </c>
      <c r="I2618" s="116"/>
    </row>
    <row r="2619" spans="1:9" s="17" customFormat="1" ht="12.75" customHeight="1" x14ac:dyDescent="0.2">
      <c r="A2619" s="65">
        <v>2610</v>
      </c>
      <c r="B2619" s="60"/>
      <c r="C2619" s="128" t="s">
        <v>4827</v>
      </c>
      <c r="D2619" s="126"/>
      <c r="E2619" s="127"/>
      <c r="F2619" s="121" t="s">
        <v>17</v>
      </c>
      <c r="G2619" s="122"/>
      <c r="H2619" s="115">
        <f>8.5+51.9-30.2+6+26.8-8.5-26.8-21.7</f>
        <v>6</v>
      </c>
      <c r="I2619" s="116"/>
    </row>
    <row r="2620" spans="1:9" s="17" customFormat="1" ht="12.75" customHeight="1" x14ac:dyDescent="0.2">
      <c r="A2620" s="65">
        <v>2611</v>
      </c>
      <c r="B2620" s="60"/>
      <c r="C2620" s="128" t="s">
        <v>4013</v>
      </c>
      <c r="D2620" s="126"/>
      <c r="E2620" s="127"/>
      <c r="F2620" s="125" t="s">
        <v>59</v>
      </c>
      <c r="G2620" s="125"/>
      <c r="H2620" s="115">
        <f>27.4+14.5+18.6-14.5+14.3-27.4-18.6</f>
        <v>14.299999999999997</v>
      </c>
      <c r="I2620" s="116"/>
    </row>
    <row r="2621" spans="1:9" s="17" customFormat="1" ht="12.75" customHeight="1" x14ac:dyDescent="0.2">
      <c r="A2621" s="65">
        <v>2612</v>
      </c>
      <c r="B2621" s="60">
        <v>6</v>
      </c>
      <c r="C2621" s="128" t="s">
        <v>1583</v>
      </c>
      <c r="D2621" s="126"/>
      <c r="E2621" s="127"/>
      <c r="F2621" s="121" t="s">
        <v>1584</v>
      </c>
      <c r="G2621" s="122"/>
      <c r="H2621" s="115">
        <v>345</v>
      </c>
      <c r="I2621" s="116"/>
    </row>
    <row r="2622" spans="1:9" s="17" customFormat="1" ht="12.75" customHeight="1" x14ac:dyDescent="0.2">
      <c r="A2622" s="65">
        <v>2613</v>
      </c>
      <c r="B2622" s="60"/>
      <c r="C2622" s="117" t="s">
        <v>4743</v>
      </c>
      <c r="D2622" s="118"/>
      <c r="E2622" s="119"/>
      <c r="F2622" s="121" t="s">
        <v>17</v>
      </c>
      <c r="G2622" s="122"/>
      <c r="H2622" s="115">
        <f>32.6-19.4</f>
        <v>13.200000000000003</v>
      </c>
      <c r="I2622" s="116"/>
    </row>
    <row r="2623" spans="1:9" s="17" customFormat="1" ht="12.75" customHeight="1" x14ac:dyDescent="0.2">
      <c r="A2623" s="65">
        <v>2614</v>
      </c>
      <c r="B2623" s="60"/>
      <c r="C2623" s="117" t="s">
        <v>653</v>
      </c>
      <c r="D2623" s="118"/>
      <c r="E2623" s="119"/>
      <c r="F2623" s="113" t="s">
        <v>654</v>
      </c>
      <c r="G2623" s="114"/>
      <c r="H2623" s="115">
        <v>98.5</v>
      </c>
      <c r="I2623" s="116"/>
    </row>
    <row r="2624" spans="1:9" s="17" customFormat="1" ht="12.75" customHeight="1" x14ac:dyDescent="0.2">
      <c r="A2624" s="65">
        <v>2615</v>
      </c>
      <c r="B2624" s="60"/>
      <c r="C2624" s="117" t="s">
        <v>1547</v>
      </c>
      <c r="D2624" s="118"/>
      <c r="E2624" s="119"/>
      <c r="F2624" s="113" t="s">
        <v>62</v>
      </c>
      <c r="G2624" s="114"/>
      <c r="H2624" s="115">
        <f>49.3+75.9</f>
        <v>125.2</v>
      </c>
      <c r="I2624" s="116"/>
    </row>
    <row r="2625" spans="1:9" s="17" customFormat="1" ht="12.75" customHeight="1" x14ac:dyDescent="0.2">
      <c r="A2625" s="65">
        <v>2616</v>
      </c>
      <c r="B2625" s="60">
        <v>6</v>
      </c>
      <c r="C2625" s="117" t="s">
        <v>636</v>
      </c>
      <c r="D2625" s="118"/>
      <c r="E2625" s="119"/>
      <c r="F2625" s="113" t="s">
        <v>62</v>
      </c>
      <c r="G2625" s="114"/>
      <c r="H2625" s="115">
        <f>345-180</f>
        <v>165</v>
      </c>
      <c r="I2625" s="116"/>
    </row>
    <row r="2626" spans="1:9" s="17" customFormat="1" ht="12.75" customHeight="1" x14ac:dyDescent="0.2">
      <c r="A2626" s="65">
        <v>2617</v>
      </c>
      <c r="B2626" s="60"/>
      <c r="C2626" s="117" t="s">
        <v>576</v>
      </c>
      <c r="D2626" s="118"/>
      <c r="E2626" s="119"/>
      <c r="F2626" s="124" t="s">
        <v>3</v>
      </c>
      <c r="G2626" s="124"/>
      <c r="H2626" s="115">
        <v>138</v>
      </c>
      <c r="I2626" s="116"/>
    </row>
    <row r="2627" spans="1:9" s="17" customFormat="1" ht="12.75" customHeight="1" x14ac:dyDescent="0.2">
      <c r="A2627" s="65">
        <v>2618</v>
      </c>
      <c r="B2627" s="60">
        <v>6</v>
      </c>
      <c r="C2627" s="128" t="s">
        <v>3395</v>
      </c>
      <c r="D2627" s="126"/>
      <c r="E2627" s="127"/>
      <c r="F2627" s="125" t="s">
        <v>62</v>
      </c>
      <c r="G2627" s="125"/>
      <c r="H2627" s="115">
        <f>455-241-3.5</f>
        <v>210.5</v>
      </c>
      <c r="I2627" s="116"/>
    </row>
    <row r="2628" spans="1:9" s="17" customFormat="1" ht="12.75" customHeight="1" x14ac:dyDescent="0.2">
      <c r="A2628" s="65">
        <v>2619</v>
      </c>
      <c r="B2628" s="60"/>
      <c r="C2628" s="128" t="s">
        <v>2567</v>
      </c>
      <c r="D2628" s="126"/>
      <c r="E2628" s="127"/>
      <c r="F2628" s="125" t="s">
        <v>59</v>
      </c>
      <c r="G2628" s="125"/>
      <c r="H2628" s="115">
        <f>15.4+16.6+21.4</f>
        <v>53.4</v>
      </c>
      <c r="I2628" s="116"/>
    </row>
    <row r="2629" spans="1:9" s="17" customFormat="1" ht="12.75" customHeight="1" x14ac:dyDescent="0.2">
      <c r="A2629" s="65">
        <v>2620</v>
      </c>
      <c r="B2629" s="60">
        <v>6</v>
      </c>
      <c r="C2629" s="128" t="s">
        <v>1586</v>
      </c>
      <c r="D2629" s="126"/>
      <c r="E2629" s="127"/>
      <c r="F2629" s="121" t="s">
        <v>1585</v>
      </c>
      <c r="G2629" s="122"/>
      <c r="H2629" s="115">
        <v>560</v>
      </c>
      <c r="I2629" s="116"/>
    </row>
    <row r="2630" spans="1:9" s="17" customFormat="1" ht="12.75" customHeight="1" x14ac:dyDescent="0.2">
      <c r="A2630" s="65">
        <v>2621</v>
      </c>
      <c r="B2630" s="60">
        <v>6</v>
      </c>
      <c r="C2630" s="117" t="s">
        <v>2644</v>
      </c>
      <c r="D2630" s="118"/>
      <c r="E2630" s="119"/>
      <c r="F2630" s="121" t="s">
        <v>71</v>
      </c>
      <c r="G2630" s="122"/>
      <c r="H2630" s="115">
        <v>260.3</v>
      </c>
      <c r="I2630" s="116"/>
    </row>
    <row r="2631" spans="1:9" s="17" customFormat="1" ht="27" customHeight="1" x14ac:dyDescent="0.2">
      <c r="A2631" s="65">
        <v>2622</v>
      </c>
      <c r="B2631" s="60">
        <v>6</v>
      </c>
      <c r="C2631" s="117" t="s">
        <v>2645</v>
      </c>
      <c r="D2631" s="118"/>
      <c r="E2631" s="119"/>
      <c r="F2631" s="121" t="s">
        <v>2646</v>
      </c>
      <c r="G2631" s="122"/>
      <c r="H2631" s="115">
        <v>1106.3</v>
      </c>
      <c r="I2631" s="116"/>
    </row>
    <row r="2632" spans="1:9" s="17" customFormat="1" ht="12.75" customHeight="1" x14ac:dyDescent="0.2">
      <c r="A2632" s="65">
        <v>2623</v>
      </c>
      <c r="B2632" s="60"/>
      <c r="C2632" s="128" t="s">
        <v>1595</v>
      </c>
      <c r="D2632" s="126"/>
      <c r="E2632" s="127"/>
      <c r="F2632" s="125" t="s">
        <v>62</v>
      </c>
      <c r="G2632" s="125"/>
      <c r="H2632" s="115">
        <v>48.6</v>
      </c>
      <c r="I2632" s="116"/>
    </row>
    <row r="2633" spans="1:9" s="17" customFormat="1" ht="12.75" customHeight="1" x14ac:dyDescent="0.2">
      <c r="A2633" s="65">
        <v>2624</v>
      </c>
      <c r="B2633" s="60"/>
      <c r="C2633" s="117" t="s">
        <v>848</v>
      </c>
      <c r="D2633" s="118"/>
      <c r="E2633" s="119"/>
      <c r="F2633" s="113" t="s">
        <v>29</v>
      </c>
      <c r="G2633" s="114"/>
      <c r="H2633" s="115">
        <v>85</v>
      </c>
      <c r="I2633" s="116"/>
    </row>
    <row r="2634" spans="1:9" s="17" customFormat="1" ht="12.75" customHeight="1" x14ac:dyDescent="0.2">
      <c r="A2634" s="65">
        <v>2625</v>
      </c>
      <c r="B2634" s="60">
        <v>6</v>
      </c>
      <c r="C2634" s="128" t="s">
        <v>2052</v>
      </c>
      <c r="D2634" s="126"/>
      <c r="E2634" s="127"/>
      <c r="F2634" s="125" t="s">
        <v>62</v>
      </c>
      <c r="G2634" s="125"/>
      <c r="H2634" s="140">
        <v>390</v>
      </c>
      <c r="I2634" s="141"/>
    </row>
    <row r="2635" spans="1:9" s="17" customFormat="1" ht="12.75" customHeight="1" x14ac:dyDescent="0.2">
      <c r="A2635" s="65">
        <v>2626</v>
      </c>
      <c r="B2635" s="60"/>
      <c r="C2635" s="128" t="s">
        <v>753</v>
      </c>
      <c r="D2635" s="126"/>
      <c r="E2635" s="127"/>
      <c r="F2635" s="121" t="s">
        <v>752</v>
      </c>
      <c r="G2635" s="122"/>
      <c r="H2635" s="142">
        <v>1.9</v>
      </c>
      <c r="I2635" s="143"/>
    </row>
    <row r="2636" spans="1:9" s="17" customFormat="1" ht="12.75" customHeight="1" x14ac:dyDescent="0.2">
      <c r="A2636" s="65">
        <v>2627</v>
      </c>
      <c r="B2636" s="60"/>
      <c r="C2636" s="128" t="s">
        <v>1183</v>
      </c>
      <c r="D2636" s="126"/>
      <c r="E2636" s="127"/>
      <c r="F2636" s="121" t="s">
        <v>393</v>
      </c>
      <c r="G2636" s="122"/>
      <c r="H2636" s="140">
        <f>9+7.3+7.8-7.3</f>
        <v>16.8</v>
      </c>
      <c r="I2636" s="141"/>
    </row>
    <row r="2637" spans="1:9" s="17" customFormat="1" ht="12.75" customHeight="1" x14ac:dyDescent="0.2">
      <c r="A2637" s="65">
        <v>2628</v>
      </c>
      <c r="B2637" s="60"/>
      <c r="C2637" s="128" t="s">
        <v>708</v>
      </c>
      <c r="D2637" s="126"/>
      <c r="E2637" s="127"/>
      <c r="F2637" s="121" t="s">
        <v>393</v>
      </c>
      <c r="G2637" s="122"/>
      <c r="H2637" s="137">
        <v>12</v>
      </c>
      <c r="I2637" s="137"/>
    </row>
    <row r="2638" spans="1:9" s="17" customFormat="1" ht="12.75" customHeight="1" x14ac:dyDescent="0.2">
      <c r="A2638" s="65">
        <v>2629</v>
      </c>
      <c r="B2638" s="60"/>
      <c r="C2638" s="128" t="s">
        <v>1189</v>
      </c>
      <c r="D2638" s="126"/>
      <c r="E2638" s="127"/>
      <c r="F2638" s="121" t="s">
        <v>393</v>
      </c>
      <c r="G2638" s="122"/>
      <c r="H2638" s="140">
        <f>55.6-3</f>
        <v>52.6</v>
      </c>
      <c r="I2638" s="141"/>
    </row>
    <row r="2639" spans="1:9" s="17" customFormat="1" ht="12.75" customHeight="1" x14ac:dyDescent="0.2">
      <c r="A2639" s="65">
        <v>2630</v>
      </c>
      <c r="B2639" s="60"/>
      <c r="C2639" s="128" t="s">
        <v>2028</v>
      </c>
      <c r="D2639" s="126"/>
      <c r="E2639" s="127"/>
      <c r="F2639" s="121" t="s">
        <v>393</v>
      </c>
      <c r="G2639" s="122"/>
      <c r="H2639" s="140">
        <f>90.3-15+1.9-3.1-1.9-4</f>
        <v>68.2</v>
      </c>
      <c r="I2639" s="141"/>
    </row>
    <row r="2640" spans="1:9" s="17" customFormat="1" ht="12.75" customHeight="1" x14ac:dyDescent="0.2">
      <c r="A2640" s="65">
        <v>2631</v>
      </c>
      <c r="B2640" s="78" t="s">
        <v>3540</v>
      </c>
      <c r="C2640" s="128" t="s">
        <v>4847</v>
      </c>
      <c r="D2640" s="126"/>
      <c r="E2640" s="127"/>
      <c r="F2640" s="121" t="s">
        <v>4848</v>
      </c>
      <c r="G2640" s="122"/>
      <c r="H2640" s="137">
        <v>9.8000000000000007</v>
      </c>
      <c r="I2640" s="137"/>
    </row>
    <row r="2641" spans="1:9" s="17" customFormat="1" ht="12.75" customHeight="1" x14ac:dyDescent="0.2">
      <c r="A2641" s="65">
        <v>2632</v>
      </c>
      <c r="B2641" s="78"/>
      <c r="C2641" s="128" t="s">
        <v>4849</v>
      </c>
      <c r="D2641" s="126"/>
      <c r="E2641" s="127"/>
      <c r="F2641" s="121" t="s">
        <v>4848</v>
      </c>
      <c r="G2641" s="122"/>
      <c r="H2641" s="137">
        <v>34.5</v>
      </c>
      <c r="I2641" s="137"/>
    </row>
    <row r="2642" spans="1:9" s="17" customFormat="1" ht="12.75" customHeight="1" x14ac:dyDescent="0.2">
      <c r="A2642" s="65">
        <v>2633</v>
      </c>
      <c r="B2642" s="60"/>
      <c r="C2642" s="128" t="s">
        <v>2795</v>
      </c>
      <c r="D2642" s="126"/>
      <c r="E2642" s="127"/>
      <c r="F2642" s="121" t="s">
        <v>393</v>
      </c>
      <c r="G2642" s="122"/>
      <c r="H2642" s="140">
        <f>49.2-8.9-2-1.3</f>
        <v>37.000000000000007</v>
      </c>
      <c r="I2642" s="141"/>
    </row>
    <row r="2643" spans="1:9" s="17" customFormat="1" ht="12.75" customHeight="1" x14ac:dyDescent="0.2">
      <c r="A2643" s="65">
        <v>2634</v>
      </c>
      <c r="B2643" s="60"/>
      <c r="C2643" s="128" t="s">
        <v>2485</v>
      </c>
      <c r="D2643" s="126"/>
      <c r="E2643" s="127"/>
      <c r="F2643" s="121" t="s">
        <v>393</v>
      </c>
      <c r="G2643" s="122"/>
      <c r="H2643" s="140">
        <v>14.4</v>
      </c>
      <c r="I2643" s="141"/>
    </row>
    <row r="2644" spans="1:9" s="17" customFormat="1" ht="12.75" customHeight="1" x14ac:dyDescent="0.2">
      <c r="A2644" s="65">
        <v>2635</v>
      </c>
      <c r="B2644" s="60"/>
      <c r="C2644" s="128" t="s">
        <v>1260</v>
      </c>
      <c r="D2644" s="126"/>
      <c r="E2644" s="127"/>
      <c r="F2644" s="121" t="s">
        <v>393</v>
      </c>
      <c r="G2644" s="122"/>
      <c r="H2644" s="140">
        <f>9.5+10</f>
        <v>19.5</v>
      </c>
      <c r="I2644" s="141"/>
    </row>
    <row r="2645" spans="1:9" s="17" customFormat="1" ht="12.75" customHeight="1" x14ac:dyDescent="0.2">
      <c r="A2645" s="65">
        <v>2636</v>
      </c>
      <c r="B2645" s="60"/>
      <c r="C2645" s="128" t="s">
        <v>1261</v>
      </c>
      <c r="D2645" s="126"/>
      <c r="E2645" s="127"/>
      <c r="F2645" s="121" t="s">
        <v>393</v>
      </c>
      <c r="G2645" s="122"/>
      <c r="H2645" s="140">
        <v>3.6</v>
      </c>
      <c r="I2645" s="141"/>
    </row>
    <row r="2646" spans="1:9" s="17" customFormat="1" ht="12.75" customHeight="1" x14ac:dyDescent="0.2">
      <c r="A2646" s="65">
        <v>2637</v>
      </c>
      <c r="B2646" s="60" t="s">
        <v>741</v>
      </c>
      <c r="C2646" s="128" t="s">
        <v>1528</v>
      </c>
      <c r="D2646" s="126"/>
      <c r="E2646" s="127"/>
      <c r="F2646" s="121" t="s">
        <v>393</v>
      </c>
      <c r="G2646" s="122"/>
      <c r="H2646" s="140">
        <v>55</v>
      </c>
      <c r="I2646" s="141"/>
    </row>
    <row r="2647" spans="1:9" s="17" customFormat="1" ht="12.75" customHeight="1" x14ac:dyDescent="0.2">
      <c r="A2647" s="65">
        <v>2638</v>
      </c>
      <c r="B2647" s="60"/>
      <c r="C2647" s="128" t="s">
        <v>1722</v>
      </c>
      <c r="D2647" s="126"/>
      <c r="E2647" s="127"/>
      <c r="F2647" s="121" t="s">
        <v>393</v>
      </c>
      <c r="G2647" s="122"/>
      <c r="H2647" s="140">
        <v>37</v>
      </c>
      <c r="I2647" s="141"/>
    </row>
    <row r="2648" spans="1:9" s="17" customFormat="1" ht="12.75" customHeight="1" x14ac:dyDescent="0.2">
      <c r="A2648" s="65">
        <v>2639</v>
      </c>
      <c r="B2648" s="60"/>
      <c r="C2648" s="117" t="s">
        <v>34</v>
      </c>
      <c r="D2648" s="118"/>
      <c r="E2648" s="119"/>
      <c r="F2648" s="121" t="s">
        <v>23</v>
      </c>
      <c r="G2648" s="122"/>
      <c r="H2648" s="115">
        <v>0.7</v>
      </c>
      <c r="I2648" s="116"/>
    </row>
    <row r="2649" spans="1:9" s="17" customFormat="1" ht="12.75" customHeight="1" x14ac:dyDescent="0.2">
      <c r="A2649" s="65">
        <v>2640</v>
      </c>
      <c r="B2649" s="60"/>
      <c r="C2649" s="117" t="s">
        <v>301</v>
      </c>
      <c r="D2649" s="118"/>
      <c r="E2649" s="119"/>
      <c r="F2649" s="121" t="s">
        <v>23</v>
      </c>
      <c r="G2649" s="122"/>
      <c r="H2649" s="115">
        <v>3.8</v>
      </c>
      <c r="I2649" s="116"/>
    </row>
    <row r="2650" spans="1:9" s="17" customFormat="1" ht="12.75" customHeight="1" x14ac:dyDescent="0.2">
      <c r="A2650" s="65">
        <v>2641</v>
      </c>
      <c r="B2650" s="60"/>
      <c r="C2650" s="117" t="s">
        <v>3484</v>
      </c>
      <c r="D2650" s="118"/>
      <c r="E2650" s="119"/>
      <c r="F2650" s="121" t="s">
        <v>23</v>
      </c>
      <c r="G2650" s="122"/>
      <c r="H2650" s="115">
        <v>6.4</v>
      </c>
      <c r="I2650" s="116"/>
    </row>
    <row r="2651" spans="1:9" s="17" customFormat="1" ht="23.25" customHeight="1" x14ac:dyDescent="0.2">
      <c r="A2651" s="65">
        <v>2642</v>
      </c>
      <c r="B2651" s="60"/>
      <c r="C2651" s="117" t="s">
        <v>651</v>
      </c>
      <c r="D2651" s="118"/>
      <c r="E2651" s="119"/>
      <c r="F2651" s="121" t="s">
        <v>26</v>
      </c>
      <c r="G2651" s="122"/>
      <c r="H2651" s="115">
        <v>30.7</v>
      </c>
      <c r="I2651" s="116"/>
    </row>
    <row r="2652" spans="1:9" s="17" customFormat="1" ht="12.75" customHeight="1" x14ac:dyDescent="0.2">
      <c r="A2652" s="65">
        <v>2643</v>
      </c>
      <c r="B2652" s="60"/>
      <c r="C2652" s="117" t="s">
        <v>619</v>
      </c>
      <c r="D2652" s="118"/>
      <c r="E2652" s="119"/>
      <c r="F2652" s="121" t="s">
        <v>26</v>
      </c>
      <c r="G2652" s="122"/>
      <c r="H2652" s="115"/>
      <c r="I2652" s="116"/>
    </row>
    <row r="2653" spans="1:9" s="17" customFormat="1" ht="12.75" customHeight="1" x14ac:dyDescent="0.2">
      <c r="A2653" s="65">
        <v>2644</v>
      </c>
      <c r="B2653" s="60"/>
      <c r="C2653" s="117" t="s">
        <v>856</v>
      </c>
      <c r="D2653" s="118"/>
      <c r="E2653" s="119"/>
      <c r="F2653" s="121" t="s">
        <v>26</v>
      </c>
      <c r="G2653" s="122"/>
      <c r="H2653" s="115">
        <f>17.6+6.5-8.4+1.8-6.5</f>
        <v>11</v>
      </c>
      <c r="I2653" s="116"/>
    </row>
    <row r="2654" spans="1:9" s="17" customFormat="1" ht="12.75" customHeight="1" x14ac:dyDescent="0.2">
      <c r="A2654" s="65">
        <v>2645</v>
      </c>
      <c r="B2654" s="60"/>
      <c r="C2654" s="117" t="s">
        <v>46</v>
      </c>
      <c r="D2654" s="118"/>
      <c r="E2654" s="119"/>
      <c r="F2654" s="121" t="s">
        <v>26</v>
      </c>
      <c r="G2654" s="122"/>
      <c r="H2654" s="115">
        <v>2.7</v>
      </c>
      <c r="I2654" s="116"/>
    </row>
    <row r="2655" spans="1:9" s="17" customFormat="1" ht="12.75" customHeight="1" x14ac:dyDescent="0.2">
      <c r="A2655" s="65">
        <v>2646</v>
      </c>
      <c r="B2655" s="60" t="s">
        <v>741</v>
      </c>
      <c r="C2655" s="117" t="s">
        <v>4841</v>
      </c>
      <c r="D2655" s="118"/>
      <c r="E2655" s="119"/>
      <c r="F2655" s="121" t="s">
        <v>26</v>
      </c>
      <c r="G2655" s="122"/>
      <c r="H2655" s="115">
        <v>60.4</v>
      </c>
      <c r="I2655" s="116"/>
    </row>
    <row r="2656" spans="1:9" s="17" customFormat="1" ht="12.75" customHeight="1" x14ac:dyDescent="0.2">
      <c r="A2656" s="65">
        <v>2647</v>
      </c>
      <c r="B2656" s="60"/>
      <c r="C2656" s="117" t="s">
        <v>2434</v>
      </c>
      <c r="D2656" s="118"/>
      <c r="E2656" s="119"/>
      <c r="F2656" s="121" t="s">
        <v>26</v>
      </c>
      <c r="G2656" s="122"/>
      <c r="H2656" s="115">
        <f>3.4+46.3-21.3-5-5+5.5</f>
        <v>23.899999999999995</v>
      </c>
      <c r="I2656" s="116"/>
    </row>
    <row r="2657" spans="1:9" s="17" customFormat="1" ht="12.75" customHeight="1" x14ac:dyDescent="0.2">
      <c r="A2657" s="65">
        <v>2648</v>
      </c>
      <c r="B2657" s="60"/>
      <c r="C2657" s="117" t="s">
        <v>4178</v>
      </c>
      <c r="D2657" s="118"/>
      <c r="E2657" s="119"/>
      <c r="F2657" s="121" t="s">
        <v>26</v>
      </c>
      <c r="G2657" s="122"/>
      <c r="H2657" s="115">
        <f>20.3-12.5</f>
        <v>7.8000000000000007</v>
      </c>
      <c r="I2657" s="116"/>
    </row>
    <row r="2658" spans="1:9" s="17" customFormat="1" ht="12.75" customHeight="1" x14ac:dyDescent="0.2">
      <c r="A2658" s="65">
        <v>2649</v>
      </c>
      <c r="B2658" s="60" t="s">
        <v>741</v>
      </c>
      <c r="C2658" s="117" t="s">
        <v>3160</v>
      </c>
      <c r="D2658" s="118"/>
      <c r="E2658" s="119"/>
      <c r="F2658" s="121" t="s">
        <v>41</v>
      </c>
      <c r="G2658" s="122"/>
      <c r="H2658" s="115">
        <f>3.9-1</f>
        <v>2.9</v>
      </c>
      <c r="I2658" s="116"/>
    </row>
    <row r="2659" spans="1:9" s="17" customFormat="1" ht="12.75" customHeight="1" x14ac:dyDescent="0.2">
      <c r="A2659" s="65">
        <v>2650</v>
      </c>
      <c r="B2659" s="60" t="s">
        <v>741</v>
      </c>
      <c r="C2659" s="117" t="s">
        <v>1719</v>
      </c>
      <c r="D2659" s="118"/>
      <c r="E2659" s="119"/>
      <c r="F2659" s="121" t="s">
        <v>41</v>
      </c>
      <c r="G2659" s="122"/>
      <c r="H2659" s="115">
        <v>2.4</v>
      </c>
      <c r="I2659" s="116"/>
    </row>
    <row r="2660" spans="1:9" s="17" customFormat="1" ht="12.75" customHeight="1" x14ac:dyDescent="0.2">
      <c r="A2660" s="65">
        <v>2651</v>
      </c>
      <c r="B2660" s="60"/>
      <c r="C2660" s="117" t="s">
        <v>1510</v>
      </c>
      <c r="D2660" s="118"/>
      <c r="E2660" s="119"/>
      <c r="F2660" s="121" t="s">
        <v>41</v>
      </c>
      <c r="G2660" s="122"/>
      <c r="H2660" s="115">
        <f>20.7-2.8-0.4-1-1-2.7</f>
        <v>12.8</v>
      </c>
      <c r="I2660" s="116"/>
    </row>
    <row r="2661" spans="1:9" s="17" customFormat="1" ht="12.75" customHeight="1" x14ac:dyDescent="0.2">
      <c r="A2661" s="65">
        <v>2652</v>
      </c>
      <c r="B2661" s="60"/>
      <c r="C2661" s="117" t="s">
        <v>3915</v>
      </c>
      <c r="D2661" s="118"/>
      <c r="E2661" s="119"/>
      <c r="F2661" s="121" t="s">
        <v>41</v>
      </c>
      <c r="G2661" s="122"/>
      <c r="H2661" s="115">
        <f>9.4-0.7-1.5</f>
        <v>7.2000000000000011</v>
      </c>
      <c r="I2661" s="116"/>
    </row>
    <row r="2662" spans="1:9" s="17" customFormat="1" ht="12.75" customHeight="1" x14ac:dyDescent="0.2">
      <c r="A2662" s="65">
        <v>2653</v>
      </c>
      <c r="B2662" s="60"/>
      <c r="C2662" s="117" t="s">
        <v>3098</v>
      </c>
      <c r="D2662" s="118"/>
      <c r="E2662" s="119"/>
      <c r="F2662" s="121" t="s">
        <v>41</v>
      </c>
      <c r="G2662" s="122"/>
      <c r="H2662" s="115">
        <f>53.3-2-12.2-2.1-1-3.4-5.4-3-8.3-1.4+11.2-1.7-1.7-5.4-4.2-1.5+25.9-1.5-1.6-2.4-3.9+3.5-1-5.1-3.2-3.5-1-1-3.8</f>
        <v>12.599999999999994</v>
      </c>
      <c r="I2662" s="116"/>
    </row>
    <row r="2663" spans="1:9" s="17" customFormat="1" ht="12.75" customHeight="1" x14ac:dyDescent="0.2">
      <c r="A2663" s="65">
        <v>2654</v>
      </c>
      <c r="B2663" s="60" t="s">
        <v>1624</v>
      </c>
      <c r="C2663" s="117" t="s">
        <v>4654</v>
      </c>
      <c r="D2663" s="118"/>
      <c r="E2663" s="119"/>
      <c r="F2663" s="121" t="s">
        <v>41</v>
      </c>
      <c r="G2663" s="122"/>
      <c r="H2663" s="115">
        <f>30.2-1.3-0.7-2.2</f>
        <v>26</v>
      </c>
      <c r="I2663" s="116"/>
    </row>
    <row r="2664" spans="1:9" s="17" customFormat="1" ht="12.75" customHeight="1" x14ac:dyDescent="0.2">
      <c r="A2664" s="65">
        <v>2655</v>
      </c>
      <c r="B2664" s="60"/>
      <c r="C2664" s="117" t="s">
        <v>5346</v>
      </c>
      <c r="D2664" s="118"/>
      <c r="E2664" s="119"/>
      <c r="F2664" s="121" t="s">
        <v>41</v>
      </c>
      <c r="G2664" s="122"/>
      <c r="H2664" s="115">
        <f>8.6-0.2</f>
        <v>8.4</v>
      </c>
      <c r="I2664" s="116"/>
    </row>
    <row r="2665" spans="1:9" s="17" customFormat="1" ht="12.75" customHeight="1" x14ac:dyDescent="0.2">
      <c r="A2665" s="65">
        <v>2656</v>
      </c>
      <c r="B2665" s="60"/>
      <c r="C2665" s="117" t="s">
        <v>2880</v>
      </c>
      <c r="D2665" s="118"/>
      <c r="E2665" s="119"/>
      <c r="F2665" s="121" t="s">
        <v>41</v>
      </c>
      <c r="G2665" s="122"/>
      <c r="H2665" s="115">
        <f>11.5-0.3-6.8-1+20.8</f>
        <v>24.2</v>
      </c>
      <c r="I2665" s="116"/>
    </row>
    <row r="2666" spans="1:9" s="17" customFormat="1" ht="12.75" customHeight="1" x14ac:dyDescent="0.2">
      <c r="A2666" s="65">
        <v>2657</v>
      </c>
      <c r="B2666" s="60"/>
      <c r="C2666" s="117" t="s">
        <v>5296</v>
      </c>
      <c r="D2666" s="118"/>
      <c r="E2666" s="119"/>
      <c r="F2666" s="121" t="s">
        <v>49</v>
      </c>
      <c r="G2666" s="122"/>
      <c r="H2666" s="115">
        <f>47.9-0.5-1.1-2.8-1-5.2</f>
        <v>37.299999999999997</v>
      </c>
      <c r="I2666" s="116"/>
    </row>
    <row r="2667" spans="1:9" s="17" customFormat="1" ht="12.75" customHeight="1" x14ac:dyDescent="0.2">
      <c r="A2667" s="65">
        <v>2658</v>
      </c>
      <c r="B2667" s="60"/>
      <c r="C2667" s="117" t="s">
        <v>1715</v>
      </c>
      <c r="D2667" s="118"/>
      <c r="E2667" s="119"/>
      <c r="F2667" s="121" t="s">
        <v>49</v>
      </c>
      <c r="G2667" s="122"/>
      <c r="H2667" s="115">
        <f>29.2-1</f>
        <v>28.2</v>
      </c>
      <c r="I2667" s="116"/>
    </row>
    <row r="2668" spans="1:9" s="17" customFormat="1" ht="12.75" customHeight="1" x14ac:dyDescent="0.2">
      <c r="A2668" s="65">
        <v>2659</v>
      </c>
      <c r="B2668" s="60"/>
      <c r="C2668" s="117" t="s">
        <v>3929</v>
      </c>
      <c r="D2668" s="118"/>
      <c r="E2668" s="119"/>
      <c r="F2668" s="121" t="s">
        <v>41</v>
      </c>
      <c r="G2668" s="122"/>
      <c r="H2668" s="115">
        <f>23.9-2</f>
        <v>21.9</v>
      </c>
      <c r="I2668" s="116"/>
    </row>
    <row r="2669" spans="1:9" s="17" customFormat="1" ht="12.75" customHeight="1" x14ac:dyDescent="0.2">
      <c r="A2669" s="65">
        <v>2660</v>
      </c>
      <c r="B2669" s="60"/>
      <c r="C2669" s="117" t="s">
        <v>3916</v>
      </c>
      <c r="D2669" s="118"/>
      <c r="E2669" s="119"/>
      <c r="F2669" s="121" t="s">
        <v>41</v>
      </c>
      <c r="G2669" s="122"/>
      <c r="H2669" s="115">
        <f>1.6+5.2-1.6</f>
        <v>5.2000000000000011</v>
      </c>
      <c r="I2669" s="116"/>
    </row>
    <row r="2670" spans="1:9" s="17" customFormat="1" ht="12.75" customHeight="1" x14ac:dyDescent="0.2">
      <c r="A2670" s="65">
        <v>2661</v>
      </c>
      <c r="B2670" s="60"/>
      <c r="C2670" s="117" t="s">
        <v>1767</v>
      </c>
      <c r="D2670" s="118"/>
      <c r="E2670" s="119"/>
      <c r="F2670" s="121" t="s">
        <v>41</v>
      </c>
      <c r="G2670" s="122"/>
      <c r="H2670" s="115">
        <v>6.8</v>
      </c>
      <c r="I2670" s="116"/>
    </row>
    <row r="2671" spans="1:9" s="17" customFormat="1" ht="12.75" customHeight="1" x14ac:dyDescent="0.2">
      <c r="A2671" s="65">
        <v>2662</v>
      </c>
      <c r="B2671" s="60"/>
      <c r="C2671" s="117" t="s">
        <v>4691</v>
      </c>
      <c r="D2671" s="118"/>
      <c r="E2671" s="119"/>
      <c r="F2671" s="121" t="s">
        <v>41</v>
      </c>
      <c r="G2671" s="122"/>
      <c r="H2671" s="115">
        <f>36.4+9.4-1.2</f>
        <v>44.599999999999994</v>
      </c>
      <c r="I2671" s="116"/>
    </row>
    <row r="2672" spans="1:9" s="17" customFormat="1" ht="12.75" customHeight="1" x14ac:dyDescent="0.2">
      <c r="A2672" s="65">
        <v>2663</v>
      </c>
      <c r="B2672" s="60"/>
      <c r="C2672" s="117" t="s">
        <v>3261</v>
      </c>
      <c r="D2672" s="118"/>
      <c r="E2672" s="119"/>
      <c r="F2672" s="121" t="s">
        <v>41</v>
      </c>
      <c r="G2672" s="122"/>
      <c r="H2672" s="115">
        <f>21.9+20+11.3-0.3-2-1.6-0.8-2</f>
        <v>46.500000000000007</v>
      </c>
      <c r="I2672" s="116"/>
    </row>
    <row r="2673" spans="1:9" s="17" customFormat="1" ht="12.75" customHeight="1" x14ac:dyDescent="0.2">
      <c r="A2673" s="65">
        <v>2664</v>
      </c>
      <c r="B2673" s="60"/>
      <c r="C2673" s="117" t="s">
        <v>3917</v>
      </c>
      <c r="D2673" s="118"/>
      <c r="E2673" s="119"/>
      <c r="F2673" s="121" t="s">
        <v>41</v>
      </c>
      <c r="G2673" s="122"/>
      <c r="H2673" s="115">
        <f>29.5+36-64.1+24.2+12.2+17.7+35.7+24.5+14.6-17.7+19.7-1.4</f>
        <v>130.9</v>
      </c>
      <c r="I2673" s="116"/>
    </row>
    <row r="2674" spans="1:9" s="17" customFormat="1" ht="12.75" customHeight="1" x14ac:dyDescent="0.2">
      <c r="A2674" s="65">
        <v>2665</v>
      </c>
      <c r="B2674" s="60" t="s">
        <v>3601</v>
      </c>
      <c r="C2674" s="117" t="s">
        <v>4498</v>
      </c>
      <c r="D2674" s="118"/>
      <c r="E2674" s="119"/>
      <c r="F2674" s="121" t="s">
        <v>41</v>
      </c>
      <c r="G2674" s="122"/>
      <c r="H2674" s="115">
        <v>8.8000000000000007</v>
      </c>
      <c r="I2674" s="116"/>
    </row>
    <row r="2675" spans="1:9" s="17" customFormat="1" ht="12.75" customHeight="1" x14ac:dyDescent="0.2">
      <c r="A2675" s="65">
        <v>2666</v>
      </c>
      <c r="B2675" s="60"/>
      <c r="C2675" s="117" t="s">
        <v>751</v>
      </c>
      <c r="D2675" s="118"/>
      <c r="E2675" s="119"/>
      <c r="F2675" s="121" t="s">
        <v>41</v>
      </c>
      <c r="G2675" s="122"/>
      <c r="H2675" s="115">
        <v>1.5</v>
      </c>
      <c r="I2675" s="116"/>
    </row>
    <row r="2676" spans="1:9" s="17" customFormat="1" ht="12.75" customHeight="1" x14ac:dyDescent="0.2">
      <c r="A2676" s="65">
        <v>2667</v>
      </c>
      <c r="B2676" s="60"/>
      <c r="C2676" s="117" t="s">
        <v>2973</v>
      </c>
      <c r="D2676" s="118"/>
      <c r="E2676" s="119"/>
      <c r="F2676" s="121" t="s">
        <v>41</v>
      </c>
      <c r="G2676" s="122"/>
      <c r="H2676" s="115">
        <f>4.3+10.8-4.3+4.3</f>
        <v>15.100000000000001</v>
      </c>
      <c r="I2676" s="116"/>
    </row>
    <row r="2677" spans="1:9" s="17" customFormat="1" ht="12.75" customHeight="1" x14ac:dyDescent="0.2">
      <c r="A2677" s="65">
        <v>2668</v>
      </c>
      <c r="B2677" s="60"/>
      <c r="C2677" s="117" t="s">
        <v>1928</v>
      </c>
      <c r="D2677" s="118"/>
      <c r="E2677" s="119"/>
      <c r="F2677" s="121" t="s">
        <v>41</v>
      </c>
      <c r="G2677" s="122"/>
      <c r="H2677" s="115">
        <f>15.9+99.1-29.7-1.7+4.6-8.6</f>
        <v>79.599999999999994</v>
      </c>
      <c r="I2677" s="116"/>
    </row>
    <row r="2678" spans="1:9" s="17" customFormat="1" ht="12.75" customHeight="1" x14ac:dyDescent="0.2">
      <c r="A2678" s="65">
        <v>2669</v>
      </c>
      <c r="B2678" s="60"/>
      <c r="C2678" s="117" t="s">
        <v>2592</v>
      </c>
      <c r="D2678" s="118"/>
      <c r="E2678" s="119"/>
      <c r="F2678" s="121" t="s">
        <v>41</v>
      </c>
      <c r="G2678" s="122"/>
      <c r="H2678" s="115">
        <f>62.5-20.4-0.1+16.5-3.3-2.4-5</f>
        <v>47.800000000000004</v>
      </c>
      <c r="I2678" s="116"/>
    </row>
    <row r="2679" spans="1:9" s="17" customFormat="1" ht="12.75" customHeight="1" x14ac:dyDescent="0.2">
      <c r="A2679" s="65">
        <v>2670</v>
      </c>
      <c r="B2679" s="60"/>
      <c r="C2679" s="117" t="s">
        <v>1252</v>
      </c>
      <c r="D2679" s="118"/>
      <c r="E2679" s="119"/>
      <c r="F2679" s="121" t="s">
        <v>41</v>
      </c>
      <c r="G2679" s="122"/>
      <c r="H2679" s="115">
        <f>22.1-7.9</f>
        <v>14.200000000000001</v>
      </c>
      <c r="I2679" s="116"/>
    </row>
    <row r="2680" spans="1:9" s="17" customFormat="1" ht="12.75" customHeight="1" x14ac:dyDescent="0.2">
      <c r="A2680" s="65">
        <v>2671</v>
      </c>
      <c r="B2680" s="60"/>
      <c r="C2680" s="117" t="s">
        <v>2601</v>
      </c>
      <c r="D2680" s="118"/>
      <c r="E2680" s="119"/>
      <c r="F2680" s="121" t="s">
        <v>41</v>
      </c>
      <c r="G2680" s="122"/>
      <c r="H2680" s="115">
        <f>16.7-2.8-1.5</f>
        <v>12.399999999999999</v>
      </c>
      <c r="I2680" s="116"/>
    </row>
    <row r="2681" spans="1:9" s="17" customFormat="1" ht="12.75" customHeight="1" x14ac:dyDescent="0.2">
      <c r="A2681" s="65">
        <v>2672</v>
      </c>
      <c r="B2681" s="60"/>
      <c r="C2681" s="117" t="s">
        <v>113</v>
      </c>
      <c r="D2681" s="118"/>
      <c r="E2681" s="119"/>
      <c r="F2681" s="121" t="s">
        <v>49</v>
      </c>
      <c r="G2681" s="122"/>
      <c r="H2681" s="115">
        <v>19.5</v>
      </c>
      <c r="I2681" s="116"/>
    </row>
    <row r="2682" spans="1:9" s="17" customFormat="1" ht="12.75" customHeight="1" x14ac:dyDescent="0.2">
      <c r="A2682" s="65">
        <v>2673</v>
      </c>
      <c r="B2682" s="60"/>
      <c r="C2682" s="117" t="s">
        <v>149</v>
      </c>
      <c r="D2682" s="118"/>
      <c r="E2682" s="119"/>
      <c r="F2682" s="121" t="s">
        <v>41</v>
      </c>
      <c r="G2682" s="122"/>
      <c r="H2682" s="115"/>
      <c r="I2682" s="116"/>
    </row>
    <row r="2683" spans="1:9" s="17" customFormat="1" ht="12.75" customHeight="1" x14ac:dyDescent="0.2">
      <c r="A2683" s="65">
        <v>2674</v>
      </c>
      <c r="B2683" s="60"/>
      <c r="C2683" s="117" t="s">
        <v>1622</v>
      </c>
      <c r="D2683" s="118"/>
      <c r="E2683" s="119"/>
      <c r="F2683" s="121" t="s">
        <v>805</v>
      </c>
      <c r="G2683" s="122"/>
      <c r="H2683" s="115">
        <f>61-2.2-5</f>
        <v>53.8</v>
      </c>
      <c r="I2683" s="116"/>
    </row>
    <row r="2684" spans="1:9" s="17" customFormat="1" ht="12.75" customHeight="1" x14ac:dyDescent="0.2">
      <c r="A2684" s="65">
        <v>2675</v>
      </c>
      <c r="B2684" s="60"/>
      <c r="C2684" s="117" t="s">
        <v>2223</v>
      </c>
      <c r="D2684" s="118"/>
      <c r="E2684" s="119"/>
      <c r="F2684" s="121" t="s">
        <v>41</v>
      </c>
      <c r="G2684" s="122"/>
      <c r="H2684" s="115">
        <v>80.599999999999994</v>
      </c>
      <c r="I2684" s="116"/>
    </row>
    <row r="2685" spans="1:9" s="17" customFormat="1" ht="12.75" customHeight="1" x14ac:dyDescent="0.2">
      <c r="A2685" s="65">
        <v>2676</v>
      </c>
      <c r="B2685" s="60"/>
      <c r="C2685" s="117" t="s">
        <v>723</v>
      </c>
      <c r="D2685" s="118"/>
      <c r="E2685" s="119"/>
      <c r="F2685" s="121" t="s">
        <v>41</v>
      </c>
      <c r="G2685" s="122"/>
      <c r="H2685" s="115">
        <v>11.5</v>
      </c>
      <c r="I2685" s="116"/>
    </row>
    <row r="2686" spans="1:9" s="17" customFormat="1" ht="12.75" customHeight="1" x14ac:dyDescent="0.2">
      <c r="A2686" s="65">
        <v>2677</v>
      </c>
      <c r="B2686" s="60"/>
      <c r="C2686" s="117" t="s">
        <v>4368</v>
      </c>
      <c r="D2686" s="118"/>
      <c r="E2686" s="119"/>
      <c r="F2686" s="121" t="s">
        <v>41</v>
      </c>
      <c r="G2686" s="122"/>
      <c r="H2686" s="115">
        <f>39.5+2.6+45.7</f>
        <v>87.800000000000011</v>
      </c>
      <c r="I2686" s="116"/>
    </row>
    <row r="2687" spans="1:9" s="17" customFormat="1" ht="12.75" customHeight="1" x14ac:dyDescent="0.2">
      <c r="A2687" s="65">
        <v>2678</v>
      </c>
      <c r="B2687" s="60"/>
      <c r="C2687" s="117" t="s">
        <v>2482</v>
      </c>
      <c r="D2687" s="118"/>
      <c r="E2687" s="119"/>
      <c r="F2687" s="121" t="s">
        <v>41</v>
      </c>
      <c r="G2687" s="122"/>
      <c r="H2687" s="115">
        <f>41-0.1-9.8-5</f>
        <v>26.099999999999998</v>
      </c>
      <c r="I2687" s="116"/>
    </row>
    <row r="2688" spans="1:9" s="17" customFormat="1" ht="12.75" customHeight="1" x14ac:dyDescent="0.2">
      <c r="A2688" s="65">
        <v>2679</v>
      </c>
      <c r="B2688" s="60"/>
      <c r="C2688" s="117" t="s">
        <v>3250</v>
      </c>
      <c r="D2688" s="118"/>
      <c r="E2688" s="119"/>
      <c r="F2688" s="121" t="s">
        <v>41</v>
      </c>
      <c r="G2688" s="122"/>
      <c r="H2688" s="115">
        <v>0.5</v>
      </c>
      <c r="I2688" s="116"/>
    </row>
    <row r="2689" spans="1:9" s="17" customFormat="1" ht="12.75" customHeight="1" x14ac:dyDescent="0.2">
      <c r="A2689" s="65">
        <v>2680</v>
      </c>
      <c r="B2689" s="60"/>
      <c r="C2689" s="117" t="s">
        <v>736</v>
      </c>
      <c r="D2689" s="118"/>
      <c r="E2689" s="119"/>
      <c r="F2689" s="121" t="s">
        <v>41</v>
      </c>
      <c r="G2689" s="122"/>
      <c r="H2689" s="115">
        <v>2.5</v>
      </c>
      <c r="I2689" s="116"/>
    </row>
    <row r="2690" spans="1:9" s="17" customFormat="1" ht="12.75" customHeight="1" x14ac:dyDescent="0.2">
      <c r="A2690" s="65">
        <v>2681</v>
      </c>
      <c r="B2690" s="60"/>
      <c r="C2690" s="117" t="s">
        <v>2870</v>
      </c>
      <c r="D2690" s="118"/>
      <c r="E2690" s="119"/>
      <c r="F2690" s="121" t="s">
        <v>41</v>
      </c>
      <c r="G2690" s="122"/>
      <c r="H2690" s="115">
        <v>2</v>
      </c>
      <c r="I2690" s="116"/>
    </row>
    <row r="2691" spans="1:9" s="17" customFormat="1" ht="12.75" customHeight="1" x14ac:dyDescent="0.2">
      <c r="A2691" s="65">
        <v>2682</v>
      </c>
      <c r="B2691" s="60"/>
      <c r="C2691" s="117" t="s">
        <v>2871</v>
      </c>
      <c r="D2691" s="118"/>
      <c r="E2691" s="119"/>
      <c r="F2691" s="121" t="s">
        <v>41</v>
      </c>
      <c r="G2691" s="122"/>
      <c r="H2691" s="115">
        <v>1.5</v>
      </c>
      <c r="I2691" s="116"/>
    </row>
    <row r="2692" spans="1:9" s="17" customFormat="1" ht="12.75" customHeight="1" x14ac:dyDescent="0.2">
      <c r="A2692" s="65">
        <v>2683</v>
      </c>
      <c r="B2692" s="60"/>
      <c r="C2692" s="117" t="s">
        <v>2432</v>
      </c>
      <c r="D2692" s="118"/>
      <c r="E2692" s="119"/>
      <c r="F2692" s="121" t="s">
        <v>2433</v>
      </c>
      <c r="G2692" s="122"/>
      <c r="H2692" s="115">
        <v>3.2</v>
      </c>
      <c r="I2692" s="116"/>
    </row>
    <row r="2693" spans="1:9" s="17" customFormat="1" ht="12.75" customHeight="1" x14ac:dyDescent="0.2">
      <c r="A2693" s="65">
        <v>2684</v>
      </c>
      <c r="B2693" s="60"/>
      <c r="C2693" s="117" t="s">
        <v>3249</v>
      </c>
      <c r="D2693" s="118"/>
      <c r="E2693" s="119"/>
      <c r="F2693" s="121" t="s">
        <v>41</v>
      </c>
      <c r="G2693" s="122"/>
      <c r="H2693" s="115">
        <v>1.2</v>
      </c>
      <c r="I2693" s="116"/>
    </row>
    <row r="2694" spans="1:9" s="17" customFormat="1" ht="12.75" customHeight="1" x14ac:dyDescent="0.2">
      <c r="A2694" s="65">
        <v>2685</v>
      </c>
      <c r="B2694" s="60" t="s">
        <v>3540</v>
      </c>
      <c r="C2694" s="117" t="s">
        <v>3622</v>
      </c>
      <c r="D2694" s="118"/>
      <c r="E2694" s="119"/>
      <c r="F2694" s="121" t="s">
        <v>41</v>
      </c>
      <c r="G2694" s="122"/>
      <c r="H2694" s="115">
        <v>3</v>
      </c>
      <c r="I2694" s="116"/>
    </row>
    <row r="2695" spans="1:9" s="17" customFormat="1" ht="12.75" customHeight="1" x14ac:dyDescent="0.2">
      <c r="A2695" s="65">
        <v>2686</v>
      </c>
      <c r="B2695" s="60" t="s">
        <v>741</v>
      </c>
      <c r="C2695" s="117" t="s">
        <v>3159</v>
      </c>
      <c r="D2695" s="118"/>
      <c r="E2695" s="119"/>
      <c r="F2695" s="121" t="s">
        <v>41</v>
      </c>
      <c r="G2695" s="122"/>
      <c r="H2695" s="115">
        <f>22.1-0.3</f>
        <v>21.8</v>
      </c>
      <c r="I2695" s="116"/>
    </row>
    <row r="2696" spans="1:9" s="17" customFormat="1" ht="12.75" customHeight="1" x14ac:dyDescent="0.2">
      <c r="A2696" s="65">
        <v>2687</v>
      </c>
      <c r="B2696" s="60" t="s">
        <v>741</v>
      </c>
      <c r="C2696" s="117" t="s">
        <v>742</v>
      </c>
      <c r="D2696" s="118"/>
      <c r="E2696" s="119"/>
      <c r="F2696" s="121" t="s">
        <v>41</v>
      </c>
      <c r="G2696" s="122"/>
      <c r="H2696" s="115">
        <v>7.4</v>
      </c>
      <c r="I2696" s="116"/>
    </row>
    <row r="2697" spans="1:9" s="17" customFormat="1" ht="12.75" customHeight="1" x14ac:dyDescent="0.2">
      <c r="A2697" s="65">
        <v>2688</v>
      </c>
      <c r="B2697" s="60"/>
      <c r="C2697" s="117" t="s">
        <v>737</v>
      </c>
      <c r="D2697" s="118"/>
      <c r="E2697" s="119"/>
      <c r="F2697" s="121" t="s">
        <v>41</v>
      </c>
      <c r="G2697" s="122"/>
      <c r="H2697" s="115">
        <v>2.5</v>
      </c>
      <c r="I2697" s="116"/>
    </row>
    <row r="2698" spans="1:9" s="17" customFormat="1" ht="12.75" customHeight="1" x14ac:dyDescent="0.2">
      <c r="A2698" s="65">
        <v>2689</v>
      </c>
      <c r="B2698" s="60"/>
      <c r="C2698" s="117" t="s">
        <v>738</v>
      </c>
      <c r="D2698" s="118"/>
      <c r="E2698" s="119"/>
      <c r="F2698" s="121" t="s">
        <v>41</v>
      </c>
      <c r="G2698" s="122"/>
      <c r="H2698" s="115">
        <v>6.7</v>
      </c>
      <c r="I2698" s="116"/>
    </row>
    <row r="2699" spans="1:9" s="17" customFormat="1" ht="12.75" customHeight="1" x14ac:dyDescent="0.2">
      <c r="A2699" s="65">
        <v>2690</v>
      </c>
      <c r="B2699" s="60"/>
      <c r="C2699" s="117" t="s">
        <v>739</v>
      </c>
      <c r="D2699" s="118"/>
      <c r="E2699" s="119"/>
      <c r="F2699" s="121" t="s">
        <v>41</v>
      </c>
      <c r="G2699" s="122"/>
      <c r="H2699" s="115">
        <f>18.3-3.6-7-0.1</f>
        <v>7.6000000000000014</v>
      </c>
      <c r="I2699" s="116"/>
    </row>
    <row r="2700" spans="1:9" s="17" customFormat="1" ht="12.75" customHeight="1" x14ac:dyDescent="0.2">
      <c r="A2700" s="65">
        <v>2691</v>
      </c>
      <c r="B2700" s="60"/>
      <c r="C2700" s="117" t="s">
        <v>740</v>
      </c>
      <c r="D2700" s="118"/>
      <c r="E2700" s="119"/>
      <c r="F2700" s="121" t="s">
        <v>41</v>
      </c>
      <c r="G2700" s="122"/>
      <c r="H2700" s="115">
        <f>31.7-3.5</f>
        <v>28.2</v>
      </c>
      <c r="I2700" s="116"/>
    </row>
    <row r="2701" spans="1:9" s="17" customFormat="1" ht="12.75" customHeight="1" x14ac:dyDescent="0.2">
      <c r="A2701" s="65">
        <v>2692</v>
      </c>
      <c r="B2701" s="60"/>
      <c r="C2701" s="117" t="s">
        <v>4515</v>
      </c>
      <c r="D2701" s="118"/>
      <c r="E2701" s="119"/>
      <c r="F2701" s="121" t="s">
        <v>41</v>
      </c>
      <c r="G2701" s="122"/>
      <c r="H2701" s="115">
        <f>1.8+2.2+3.2-1.8-2.2</f>
        <v>3.2</v>
      </c>
      <c r="I2701" s="116"/>
    </row>
    <row r="2702" spans="1:9" s="17" customFormat="1" ht="12.75" customHeight="1" x14ac:dyDescent="0.2">
      <c r="A2702" s="65">
        <v>2693</v>
      </c>
      <c r="B2702" s="60"/>
      <c r="C2702" s="117" t="s">
        <v>792</v>
      </c>
      <c r="D2702" s="118"/>
      <c r="E2702" s="119"/>
      <c r="F2702" s="121" t="s">
        <v>49</v>
      </c>
      <c r="G2702" s="122"/>
      <c r="H2702" s="115">
        <v>7.4</v>
      </c>
      <c r="I2702" s="116"/>
    </row>
    <row r="2703" spans="1:9" s="17" customFormat="1" ht="12.75" customHeight="1" x14ac:dyDescent="0.2">
      <c r="A2703" s="65">
        <v>2694</v>
      </c>
      <c r="B2703" s="60"/>
      <c r="C2703" s="117" t="s">
        <v>731</v>
      </c>
      <c r="D2703" s="118"/>
      <c r="E2703" s="119"/>
      <c r="F2703" s="121" t="s">
        <v>49</v>
      </c>
      <c r="G2703" s="122"/>
      <c r="H2703" s="115">
        <f>11+5.4</f>
        <v>16.399999999999999</v>
      </c>
      <c r="I2703" s="116"/>
    </row>
    <row r="2704" spans="1:9" s="17" customFormat="1" ht="12.75" customHeight="1" x14ac:dyDescent="0.2">
      <c r="A2704" s="65">
        <v>2695</v>
      </c>
      <c r="B2704" s="60"/>
      <c r="C2704" s="117" t="s">
        <v>2743</v>
      </c>
      <c r="D2704" s="118"/>
      <c r="E2704" s="119"/>
      <c r="F2704" s="121" t="s">
        <v>41</v>
      </c>
      <c r="G2704" s="122"/>
      <c r="H2704" s="115">
        <f>15.5+2-2+10-9</f>
        <v>16.5</v>
      </c>
      <c r="I2704" s="116"/>
    </row>
    <row r="2705" spans="1:9" s="17" customFormat="1" ht="12.75" customHeight="1" x14ac:dyDescent="0.2">
      <c r="A2705" s="65">
        <v>2696</v>
      </c>
      <c r="B2705" s="60"/>
      <c r="C2705" s="117" t="s">
        <v>2060</v>
      </c>
      <c r="D2705" s="118"/>
      <c r="E2705" s="119"/>
      <c r="F2705" s="121" t="s">
        <v>41</v>
      </c>
      <c r="G2705" s="122"/>
      <c r="H2705" s="115">
        <v>7.2</v>
      </c>
      <c r="I2705" s="116"/>
    </row>
    <row r="2706" spans="1:9" s="17" customFormat="1" ht="12.75" customHeight="1" x14ac:dyDescent="0.2">
      <c r="A2706" s="65">
        <v>2697</v>
      </c>
      <c r="B2706" s="60"/>
      <c r="C2706" s="117" t="s">
        <v>1353</v>
      </c>
      <c r="D2706" s="118"/>
      <c r="E2706" s="119"/>
      <c r="F2706" s="121" t="s">
        <v>41</v>
      </c>
      <c r="G2706" s="122"/>
      <c r="H2706" s="115">
        <f>0.5+8.2-0.5</f>
        <v>8.1999999999999993</v>
      </c>
      <c r="I2706" s="116"/>
    </row>
    <row r="2707" spans="1:9" s="17" customFormat="1" ht="12.75" customHeight="1" x14ac:dyDescent="0.2">
      <c r="A2707" s="65">
        <v>2698</v>
      </c>
      <c r="B2707" s="60"/>
      <c r="C2707" s="117" t="s">
        <v>2609</v>
      </c>
      <c r="D2707" s="118"/>
      <c r="E2707" s="119"/>
      <c r="F2707" s="121" t="s">
        <v>41</v>
      </c>
      <c r="G2707" s="122"/>
      <c r="H2707" s="115">
        <v>11.4</v>
      </c>
      <c r="I2707" s="116"/>
    </row>
    <row r="2708" spans="1:9" s="17" customFormat="1" ht="12.75" customHeight="1" x14ac:dyDescent="0.2">
      <c r="A2708" s="65">
        <v>2699</v>
      </c>
      <c r="B2708" s="60"/>
      <c r="C2708" s="117" t="s">
        <v>1981</v>
      </c>
      <c r="D2708" s="118"/>
      <c r="E2708" s="119"/>
      <c r="F2708" s="121" t="s">
        <v>41</v>
      </c>
      <c r="G2708" s="122"/>
      <c r="H2708" s="115">
        <v>22.3</v>
      </c>
      <c r="I2708" s="116"/>
    </row>
    <row r="2709" spans="1:9" s="17" customFormat="1" ht="12.75" customHeight="1" x14ac:dyDescent="0.2">
      <c r="A2709" s="65">
        <v>2700</v>
      </c>
      <c r="B2709" s="60"/>
      <c r="C2709" s="117" t="s">
        <v>2061</v>
      </c>
      <c r="D2709" s="118"/>
      <c r="E2709" s="119"/>
      <c r="F2709" s="121" t="s">
        <v>41</v>
      </c>
      <c r="G2709" s="122"/>
      <c r="H2709" s="115">
        <v>5.6</v>
      </c>
      <c r="I2709" s="116"/>
    </row>
    <row r="2710" spans="1:9" s="17" customFormat="1" ht="12.75" customHeight="1" x14ac:dyDescent="0.2">
      <c r="A2710" s="65">
        <v>2701</v>
      </c>
      <c r="B2710" s="60"/>
      <c r="C2710" s="117" t="s">
        <v>2753</v>
      </c>
      <c r="D2710" s="118"/>
      <c r="E2710" s="119"/>
      <c r="F2710" s="121" t="s">
        <v>2433</v>
      </c>
      <c r="G2710" s="122"/>
      <c r="H2710" s="115">
        <v>7.7</v>
      </c>
      <c r="I2710" s="116"/>
    </row>
    <row r="2711" spans="1:9" s="17" customFormat="1" ht="12.75" customHeight="1" x14ac:dyDescent="0.2">
      <c r="A2711" s="65">
        <v>2702</v>
      </c>
      <c r="B2711" s="60"/>
      <c r="C2711" s="117" t="s">
        <v>3377</v>
      </c>
      <c r="D2711" s="118"/>
      <c r="E2711" s="119"/>
      <c r="F2711" s="121" t="s">
        <v>41</v>
      </c>
      <c r="G2711" s="122"/>
      <c r="H2711" s="115">
        <v>10.3</v>
      </c>
      <c r="I2711" s="116"/>
    </row>
    <row r="2712" spans="1:9" s="17" customFormat="1" ht="12.75" customHeight="1" x14ac:dyDescent="0.2">
      <c r="A2712" s="65">
        <v>2703</v>
      </c>
      <c r="B2712" s="60"/>
      <c r="C2712" s="117" t="s">
        <v>1285</v>
      </c>
      <c r="D2712" s="118"/>
      <c r="E2712" s="119"/>
      <c r="F2712" s="121" t="s">
        <v>49</v>
      </c>
      <c r="G2712" s="122"/>
      <c r="H2712" s="115">
        <f>5.4+1.4+2.7-6.8</f>
        <v>2.7</v>
      </c>
      <c r="I2712" s="116"/>
    </row>
    <row r="2713" spans="1:9" s="17" customFormat="1" ht="12.75" customHeight="1" x14ac:dyDescent="0.2">
      <c r="A2713" s="65">
        <v>2704</v>
      </c>
      <c r="B2713" s="60"/>
      <c r="C2713" s="117" t="s">
        <v>3376</v>
      </c>
      <c r="D2713" s="118"/>
      <c r="E2713" s="119"/>
      <c r="F2713" s="121" t="s">
        <v>49</v>
      </c>
      <c r="G2713" s="122"/>
      <c r="H2713" s="115">
        <v>4.8</v>
      </c>
      <c r="I2713" s="116"/>
    </row>
    <row r="2714" spans="1:9" s="17" customFormat="1" ht="12.75" customHeight="1" x14ac:dyDescent="0.2">
      <c r="A2714" s="65">
        <v>2705</v>
      </c>
      <c r="B2714" s="60"/>
      <c r="C2714" s="117" t="s">
        <v>2754</v>
      </c>
      <c r="D2714" s="118"/>
      <c r="E2714" s="119"/>
      <c r="F2714" s="121" t="s">
        <v>41</v>
      </c>
      <c r="G2714" s="122"/>
      <c r="H2714" s="115">
        <v>8.5</v>
      </c>
      <c r="I2714" s="116"/>
    </row>
    <row r="2715" spans="1:9" s="17" customFormat="1" ht="12.75" customHeight="1" x14ac:dyDescent="0.2">
      <c r="A2715" s="65">
        <v>2706</v>
      </c>
      <c r="B2715" s="60"/>
      <c r="C2715" s="117" t="s">
        <v>4174</v>
      </c>
      <c r="D2715" s="118"/>
      <c r="E2715" s="119"/>
      <c r="F2715" s="121" t="s">
        <v>41</v>
      </c>
      <c r="G2715" s="122"/>
      <c r="H2715" s="115">
        <v>13.5</v>
      </c>
      <c r="I2715" s="116"/>
    </row>
    <row r="2716" spans="1:9" s="17" customFormat="1" ht="12.75" customHeight="1" x14ac:dyDescent="0.2">
      <c r="A2716" s="65">
        <v>2707</v>
      </c>
      <c r="B2716" s="60" t="s">
        <v>3540</v>
      </c>
      <c r="C2716" s="117" t="s">
        <v>5008</v>
      </c>
      <c r="D2716" s="118"/>
      <c r="E2716" s="119"/>
      <c r="F2716" s="121" t="s">
        <v>41</v>
      </c>
      <c r="G2716" s="122"/>
      <c r="H2716" s="115">
        <v>3.1</v>
      </c>
      <c r="I2716" s="116"/>
    </row>
    <row r="2717" spans="1:9" s="17" customFormat="1" ht="12.75" customHeight="1" x14ac:dyDescent="0.2">
      <c r="A2717" s="65">
        <v>2708</v>
      </c>
      <c r="B2717" s="60"/>
      <c r="C2717" s="117" t="s">
        <v>4692</v>
      </c>
      <c r="D2717" s="118"/>
      <c r="E2717" s="119"/>
      <c r="F2717" s="121" t="s">
        <v>41</v>
      </c>
      <c r="G2717" s="122"/>
      <c r="H2717" s="115">
        <f>5.8-1.6-1.3</f>
        <v>2.8999999999999995</v>
      </c>
      <c r="I2717" s="116"/>
    </row>
    <row r="2718" spans="1:9" s="17" customFormat="1" ht="12.75" customHeight="1" x14ac:dyDescent="0.2">
      <c r="A2718" s="65">
        <v>2709</v>
      </c>
      <c r="B2718" s="60"/>
      <c r="C2718" s="117" t="s">
        <v>2425</v>
      </c>
      <c r="D2718" s="118"/>
      <c r="E2718" s="119"/>
      <c r="F2718" s="121" t="s">
        <v>41</v>
      </c>
      <c r="G2718" s="122"/>
      <c r="H2718" s="115">
        <v>8</v>
      </c>
      <c r="I2718" s="116"/>
    </row>
    <row r="2719" spans="1:9" s="17" customFormat="1" ht="12.75" customHeight="1" x14ac:dyDescent="0.2">
      <c r="A2719" s="65">
        <v>2710</v>
      </c>
      <c r="B2719" s="60"/>
      <c r="C2719" s="117" t="s">
        <v>225</v>
      </c>
      <c r="D2719" s="118"/>
      <c r="E2719" s="119"/>
      <c r="F2719" s="121" t="s">
        <v>49</v>
      </c>
      <c r="G2719" s="122"/>
      <c r="H2719" s="115">
        <v>11.5</v>
      </c>
      <c r="I2719" s="116"/>
    </row>
    <row r="2720" spans="1:9" s="17" customFormat="1" ht="12.75" customHeight="1" x14ac:dyDescent="0.2">
      <c r="A2720" s="65">
        <v>2711</v>
      </c>
      <c r="B2720" s="60"/>
      <c r="C2720" s="117" t="s">
        <v>3050</v>
      </c>
      <c r="D2720" s="118"/>
      <c r="E2720" s="119"/>
      <c r="F2720" s="121" t="s">
        <v>41</v>
      </c>
      <c r="G2720" s="122"/>
      <c r="H2720" s="115">
        <f>12.7+0.9-0.9</f>
        <v>12.7</v>
      </c>
      <c r="I2720" s="116"/>
    </row>
    <row r="2721" spans="1:9" s="17" customFormat="1" ht="12.75" customHeight="1" x14ac:dyDescent="0.2">
      <c r="A2721" s="65">
        <v>2712</v>
      </c>
      <c r="B2721" s="60" t="s">
        <v>1624</v>
      </c>
      <c r="C2721" s="117" t="s">
        <v>4402</v>
      </c>
      <c r="D2721" s="118"/>
      <c r="E2721" s="119"/>
      <c r="F2721" s="121" t="s">
        <v>41</v>
      </c>
      <c r="G2721" s="122"/>
      <c r="H2721" s="115">
        <v>2.7</v>
      </c>
      <c r="I2721" s="116"/>
    </row>
    <row r="2722" spans="1:9" s="17" customFormat="1" ht="12.75" customHeight="1" x14ac:dyDescent="0.2">
      <c r="A2722" s="65">
        <v>2713</v>
      </c>
      <c r="B2722" s="60"/>
      <c r="C2722" s="117" t="s">
        <v>1479</v>
      </c>
      <c r="D2722" s="118"/>
      <c r="E2722" s="119"/>
      <c r="F2722" s="121" t="s">
        <v>41</v>
      </c>
      <c r="G2722" s="122"/>
      <c r="H2722" s="115">
        <f>6.1-1</f>
        <v>5.0999999999999996</v>
      </c>
      <c r="I2722" s="116"/>
    </row>
    <row r="2723" spans="1:9" s="17" customFormat="1" ht="12.75" customHeight="1" x14ac:dyDescent="0.2">
      <c r="A2723" s="65">
        <v>2714</v>
      </c>
      <c r="B2723" s="60" t="s">
        <v>1624</v>
      </c>
      <c r="C2723" s="117" t="s">
        <v>4401</v>
      </c>
      <c r="D2723" s="118"/>
      <c r="E2723" s="119"/>
      <c r="F2723" s="121" t="s">
        <v>41</v>
      </c>
      <c r="G2723" s="122"/>
      <c r="H2723" s="115">
        <f>2.8-0.7+4.9</f>
        <v>7</v>
      </c>
      <c r="I2723" s="116"/>
    </row>
    <row r="2724" spans="1:9" s="17" customFormat="1" ht="12.75" customHeight="1" x14ac:dyDescent="0.2">
      <c r="A2724" s="65">
        <v>2715</v>
      </c>
      <c r="B2724" s="60"/>
      <c r="C2724" s="117" t="s">
        <v>3383</v>
      </c>
      <c r="D2724" s="118"/>
      <c r="E2724" s="119"/>
      <c r="F2724" s="121" t="s">
        <v>41</v>
      </c>
      <c r="G2724" s="122"/>
      <c r="H2724" s="115">
        <v>2</v>
      </c>
      <c r="I2724" s="116"/>
    </row>
    <row r="2725" spans="1:9" s="17" customFormat="1" ht="12.75" customHeight="1" x14ac:dyDescent="0.2">
      <c r="A2725" s="65">
        <v>2716</v>
      </c>
      <c r="B2725" s="60"/>
      <c r="C2725" s="117" t="s">
        <v>1548</v>
      </c>
      <c r="D2725" s="118"/>
      <c r="E2725" s="119"/>
      <c r="F2725" s="121" t="s">
        <v>41</v>
      </c>
      <c r="G2725" s="122"/>
      <c r="H2725" s="115">
        <f>4.7-1.1+3+0.7-3.7-1</f>
        <v>2.5999999999999996</v>
      </c>
      <c r="I2725" s="116"/>
    </row>
    <row r="2726" spans="1:9" s="17" customFormat="1" ht="12.75" customHeight="1" x14ac:dyDescent="0.2">
      <c r="A2726" s="65">
        <v>2717</v>
      </c>
      <c r="B2726" s="60"/>
      <c r="C2726" s="117" t="s">
        <v>5265</v>
      </c>
      <c r="D2726" s="118"/>
      <c r="E2726" s="119"/>
      <c r="F2726" s="121" t="s">
        <v>41</v>
      </c>
      <c r="G2726" s="122"/>
      <c r="H2726" s="115">
        <f>9.2-5-2</f>
        <v>2.1999999999999993</v>
      </c>
      <c r="I2726" s="116"/>
    </row>
    <row r="2727" spans="1:9" s="17" customFormat="1" ht="12.75" customHeight="1" x14ac:dyDescent="0.2">
      <c r="A2727" s="65">
        <v>2718</v>
      </c>
      <c r="B2727" s="60"/>
      <c r="C2727" s="117" t="s">
        <v>2486</v>
      </c>
      <c r="D2727" s="118"/>
      <c r="E2727" s="119"/>
      <c r="F2727" s="121" t="s">
        <v>41</v>
      </c>
      <c r="G2727" s="122"/>
      <c r="H2727" s="115">
        <v>3.2</v>
      </c>
      <c r="I2727" s="116"/>
    </row>
    <row r="2728" spans="1:9" s="17" customFormat="1" ht="12.75" customHeight="1" x14ac:dyDescent="0.2">
      <c r="A2728" s="65">
        <v>2719</v>
      </c>
      <c r="B2728" s="60" t="s">
        <v>1624</v>
      </c>
      <c r="C2728" s="117" t="s">
        <v>4516</v>
      </c>
      <c r="D2728" s="118"/>
      <c r="E2728" s="119"/>
      <c r="F2728" s="121" t="s">
        <v>41</v>
      </c>
      <c r="G2728" s="122"/>
      <c r="H2728" s="115">
        <f>29.4+4-4-6.3-1.1-3.2</f>
        <v>18.799999999999997</v>
      </c>
      <c r="I2728" s="116"/>
    </row>
    <row r="2729" spans="1:9" s="17" customFormat="1" ht="12.75" customHeight="1" x14ac:dyDescent="0.2">
      <c r="A2729" s="65">
        <v>2720</v>
      </c>
      <c r="B2729" s="60" t="s">
        <v>1624</v>
      </c>
      <c r="C2729" s="117" t="s">
        <v>5142</v>
      </c>
      <c r="D2729" s="118"/>
      <c r="E2729" s="119"/>
      <c r="F2729" s="121" t="s">
        <v>41</v>
      </c>
      <c r="G2729" s="122"/>
      <c r="H2729" s="115">
        <f>1.9-1-0.3</f>
        <v>0.59999999999999987</v>
      </c>
      <c r="I2729" s="116"/>
    </row>
    <row r="2730" spans="1:9" s="17" customFormat="1" ht="12.75" customHeight="1" x14ac:dyDescent="0.2">
      <c r="A2730" s="65">
        <v>2721</v>
      </c>
      <c r="B2730" s="60"/>
      <c r="C2730" s="117" t="s">
        <v>2038</v>
      </c>
      <c r="D2730" s="118"/>
      <c r="E2730" s="119"/>
      <c r="F2730" s="121" t="s">
        <v>49</v>
      </c>
      <c r="G2730" s="122"/>
      <c r="H2730" s="115">
        <f>26.9+1.7-1.7-1-5.5-1-2-1-1</f>
        <v>15.399999999999999</v>
      </c>
      <c r="I2730" s="116"/>
    </row>
    <row r="2731" spans="1:9" s="17" customFormat="1" ht="12.75" customHeight="1" x14ac:dyDescent="0.2">
      <c r="A2731" s="65">
        <v>2722</v>
      </c>
      <c r="B2731" s="60" t="s">
        <v>1624</v>
      </c>
      <c r="C2731" s="117" t="s">
        <v>2519</v>
      </c>
      <c r="D2731" s="118"/>
      <c r="E2731" s="119"/>
      <c r="F2731" s="121" t="s">
        <v>49</v>
      </c>
      <c r="G2731" s="122"/>
      <c r="H2731" s="115">
        <v>2.2000000000000002</v>
      </c>
      <c r="I2731" s="116"/>
    </row>
    <row r="2732" spans="1:9" s="17" customFormat="1" ht="12.75" customHeight="1" x14ac:dyDescent="0.2">
      <c r="A2732" s="65">
        <v>2723</v>
      </c>
      <c r="B2732" s="60"/>
      <c r="C2732" s="117" t="s">
        <v>2418</v>
      </c>
      <c r="D2732" s="118"/>
      <c r="E2732" s="119"/>
      <c r="F2732" s="121" t="s">
        <v>805</v>
      </c>
      <c r="G2732" s="122"/>
      <c r="H2732" s="115">
        <v>11.5</v>
      </c>
      <c r="I2732" s="116"/>
    </row>
    <row r="2733" spans="1:9" s="17" customFormat="1" ht="12.75" customHeight="1" x14ac:dyDescent="0.2">
      <c r="A2733" s="65">
        <v>2724</v>
      </c>
      <c r="B2733" s="60"/>
      <c r="C2733" s="117" t="s">
        <v>2834</v>
      </c>
      <c r="D2733" s="118"/>
      <c r="E2733" s="119"/>
      <c r="F2733" s="121" t="s">
        <v>41</v>
      </c>
      <c r="G2733" s="122"/>
      <c r="H2733" s="115">
        <f>65.5+1.8-0.8-1-1-6.3-0.1</f>
        <v>58.1</v>
      </c>
      <c r="I2733" s="116"/>
    </row>
    <row r="2734" spans="1:9" s="17" customFormat="1" ht="12.75" customHeight="1" x14ac:dyDescent="0.2">
      <c r="A2734" s="65">
        <v>2725</v>
      </c>
      <c r="B2734" s="60" t="s">
        <v>1624</v>
      </c>
      <c r="C2734" s="117" t="s">
        <v>3541</v>
      </c>
      <c r="D2734" s="118"/>
      <c r="E2734" s="119"/>
      <c r="F2734" s="121" t="s">
        <v>41</v>
      </c>
      <c r="G2734" s="122"/>
      <c r="H2734" s="115">
        <v>10.6</v>
      </c>
      <c r="I2734" s="116"/>
    </row>
    <row r="2735" spans="1:9" s="17" customFormat="1" ht="12.75" customHeight="1" x14ac:dyDescent="0.2">
      <c r="A2735" s="65">
        <v>2726</v>
      </c>
      <c r="B2735" s="60"/>
      <c r="C2735" s="117" t="s">
        <v>1519</v>
      </c>
      <c r="D2735" s="118"/>
      <c r="E2735" s="119"/>
      <c r="F2735" s="121" t="s">
        <v>49</v>
      </c>
      <c r="G2735" s="122"/>
      <c r="H2735" s="115">
        <f>6.3-1.2</f>
        <v>5.0999999999999996</v>
      </c>
      <c r="I2735" s="116"/>
    </row>
    <row r="2736" spans="1:9" s="17" customFormat="1" ht="12.75" customHeight="1" x14ac:dyDescent="0.2">
      <c r="A2736" s="65">
        <v>2727</v>
      </c>
      <c r="B2736" s="60"/>
      <c r="C2736" s="117" t="s">
        <v>4837</v>
      </c>
      <c r="D2736" s="118"/>
      <c r="E2736" s="119"/>
      <c r="F2736" s="121" t="s">
        <v>41</v>
      </c>
      <c r="G2736" s="122"/>
      <c r="H2736" s="115">
        <f>67.1+1.1+0.7-0.7-1.1-1+7.4-1-1-3+6.2-1.5-1.5-1.5</f>
        <v>70.2</v>
      </c>
      <c r="I2736" s="116"/>
    </row>
    <row r="2737" spans="1:9" s="17" customFormat="1" ht="12.75" customHeight="1" x14ac:dyDescent="0.2">
      <c r="A2737" s="65">
        <v>2728</v>
      </c>
      <c r="B2737" s="60"/>
      <c r="C2737" s="117" t="s">
        <v>2758</v>
      </c>
      <c r="D2737" s="118"/>
      <c r="E2737" s="119"/>
      <c r="F2737" s="121" t="s">
        <v>41</v>
      </c>
      <c r="G2737" s="122"/>
      <c r="H2737" s="115">
        <f>8.7-3.5-2.4</f>
        <v>2.7999999999999994</v>
      </c>
      <c r="I2737" s="116"/>
    </row>
    <row r="2738" spans="1:9" s="17" customFormat="1" ht="12.75" customHeight="1" x14ac:dyDescent="0.2">
      <c r="A2738" s="65">
        <v>2729</v>
      </c>
      <c r="B2738" s="60"/>
      <c r="C2738" s="117" t="s">
        <v>1639</v>
      </c>
      <c r="D2738" s="118"/>
      <c r="E2738" s="119"/>
      <c r="F2738" s="121" t="s">
        <v>41</v>
      </c>
      <c r="G2738" s="122"/>
      <c r="H2738" s="115">
        <f>39.1+11+0.4+1.8-0.4-5-9-1.8-6</f>
        <v>30.1</v>
      </c>
      <c r="I2738" s="116"/>
    </row>
    <row r="2739" spans="1:9" s="17" customFormat="1" ht="12.75" customHeight="1" x14ac:dyDescent="0.2">
      <c r="A2739" s="65">
        <v>2730</v>
      </c>
      <c r="B2739" s="60" t="s">
        <v>1624</v>
      </c>
      <c r="C2739" s="117" t="s">
        <v>4299</v>
      </c>
      <c r="D2739" s="118"/>
      <c r="E2739" s="119"/>
      <c r="F2739" s="121" t="s">
        <v>41</v>
      </c>
      <c r="G2739" s="122"/>
      <c r="H2739" s="115">
        <f>3.3+2-0.5-0.8+1</f>
        <v>5</v>
      </c>
      <c r="I2739" s="116"/>
    </row>
    <row r="2740" spans="1:9" s="17" customFormat="1" ht="12.75" customHeight="1" x14ac:dyDescent="0.2">
      <c r="A2740" s="65">
        <v>2731</v>
      </c>
      <c r="B2740" s="60" t="s">
        <v>1624</v>
      </c>
      <c r="C2740" s="117" t="s">
        <v>4298</v>
      </c>
      <c r="D2740" s="118"/>
      <c r="E2740" s="119"/>
      <c r="F2740" s="121" t="s">
        <v>49</v>
      </c>
      <c r="G2740" s="122"/>
      <c r="H2740" s="115">
        <v>0.2</v>
      </c>
      <c r="I2740" s="116"/>
    </row>
    <row r="2741" spans="1:9" s="17" customFormat="1" ht="12.75" customHeight="1" x14ac:dyDescent="0.2">
      <c r="A2741" s="65">
        <v>2732</v>
      </c>
      <c r="B2741" s="60"/>
      <c r="C2741" s="117" t="s">
        <v>3161</v>
      </c>
      <c r="D2741" s="118"/>
      <c r="E2741" s="119"/>
      <c r="F2741" s="121" t="s">
        <v>341</v>
      </c>
      <c r="G2741" s="122"/>
      <c r="H2741" s="115">
        <f>68.9-26.2+26-5.8-1-6.2</f>
        <v>55.7</v>
      </c>
      <c r="I2741" s="116"/>
    </row>
    <row r="2742" spans="1:9" s="17" customFormat="1" ht="21" customHeight="1" x14ac:dyDescent="0.2">
      <c r="A2742" s="65">
        <v>2733</v>
      </c>
      <c r="B2742" s="60"/>
      <c r="C2742" s="117" t="s">
        <v>3568</v>
      </c>
      <c r="D2742" s="118"/>
      <c r="E2742" s="119"/>
      <c r="F2742" s="121" t="s">
        <v>41</v>
      </c>
      <c r="G2742" s="122"/>
      <c r="H2742" s="115">
        <f>0.4+9.8+3.7-0.4+1-1-1-1-0.5-1-1-3.7+23.9+0.8-5.3-1+1-3+4.5-0.8+8.6+7.3-2-4-1-0.5-2.5+1+2.9-1+3.7-2.9-1-1.6+1.2-1.2-1.5-1-4.6-3.7</f>
        <v>21.599999999999998</v>
      </c>
      <c r="I2742" s="116"/>
    </row>
    <row r="2743" spans="1:9" s="17" customFormat="1" ht="12.75" customHeight="1" x14ac:dyDescent="0.2">
      <c r="A2743" s="65">
        <v>2734</v>
      </c>
      <c r="B2743" s="60"/>
      <c r="C2743" s="117" t="s">
        <v>1723</v>
      </c>
      <c r="D2743" s="118"/>
      <c r="E2743" s="119"/>
      <c r="F2743" s="121" t="s">
        <v>41</v>
      </c>
      <c r="G2743" s="122"/>
      <c r="H2743" s="115">
        <f>29.4+42.7</f>
        <v>72.099999999999994</v>
      </c>
      <c r="I2743" s="116"/>
    </row>
    <row r="2744" spans="1:9" s="17" customFormat="1" ht="12.75" customHeight="1" x14ac:dyDescent="0.2">
      <c r="A2744" s="65">
        <v>2735</v>
      </c>
      <c r="B2744" s="60" t="s">
        <v>1624</v>
      </c>
      <c r="C2744" s="117" t="s">
        <v>5347</v>
      </c>
      <c r="D2744" s="118"/>
      <c r="E2744" s="119"/>
      <c r="F2744" s="121" t="s">
        <v>41</v>
      </c>
      <c r="G2744" s="122"/>
      <c r="H2744" s="115">
        <f>19.4-2.1-3+6.6+36.1-4.3-2.8</f>
        <v>49.900000000000006</v>
      </c>
      <c r="I2744" s="116"/>
    </row>
    <row r="2745" spans="1:9" s="17" customFormat="1" ht="12.75" customHeight="1" x14ac:dyDescent="0.2">
      <c r="A2745" s="65">
        <v>2736</v>
      </c>
      <c r="B2745" s="60" t="s">
        <v>1624</v>
      </c>
      <c r="C2745" s="117" t="s">
        <v>4310</v>
      </c>
      <c r="D2745" s="118"/>
      <c r="E2745" s="119"/>
      <c r="F2745" s="121" t="s">
        <v>41</v>
      </c>
      <c r="G2745" s="122"/>
      <c r="H2745" s="115">
        <f>2.7-0.5</f>
        <v>2.2000000000000002</v>
      </c>
      <c r="I2745" s="116"/>
    </row>
    <row r="2746" spans="1:9" s="17" customFormat="1" ht="12.75" customHeight="1" x14ac:dyDescent="0.2">
      <c r="A2746" s="65">
        <v>2737</v>
      </c>
      <c r="B2746" s="60"/>
      <c r="C2746" s="117" t="s">
        <v>1151</v>
      </c>
      <c r="D2746" s="118"/>
      <c r="E2746" s="119"/>
      <c r="F2746" s="121" t="s">
        <v>49</v>
      </c>
      <c r="G2746" s="122"/>
      <c r="H2746" s="115">
        <v>2.9</v>
      </c>
      <c r="I2746" s="116"/>
    </row>
    <row r="2747" spans="1:9" s="17" customFormat="1" ht="12.75" customHeight="1" x14ac:dyDescent="0.2">
      <c r="A2747" s="65">
        <v>2738</v>
      </c>
      <c r="B2747" s="60" t="s">
        <v>1624</v>
      </c>
      <c r="C2747" s="117" t="s">
        <v>4082</v>
      </c>
      <c r="D2747" s="118"/>
      <c r="E2747" s="119"/>
      <c r="F2747" s="121" t="s">
        <v>41</v>
      </c>
      <c r="G2747" s="122"/>
      <c r="H2747" s="115">
        <v>1.6</v>
      </c>
      <c r="I2747" s="116"/>
    </row>
    <row r="2748" spans="1:9" s="17" customFormat="1" ht="12.75" customHeight="1" x14ac:dyDescent="0.2">
      <c r="A2748" s="65">
        <v>2739</v>
      </c>
      <c r="B2748" s="60" t="s">
        <v>1624</v>
      </c>
      <c r="C2748" s="117" t="s">
        <v>3913</v>
      </c>
      <c r="D2748" s="118"/>
      <c r="E2748" s="119"/>
      <c r="F2748" s="121" t="s">
        <v>41</v>
      </c>
      <c r="G2748" s="122"/>
      <c r="H2748" s="115">
        <f>11.6-0.9+0.5-0.6-0.5</f>
        <v>10.1</v>
      </c>
      <c r="I2748" s="116"/>
    </row>
    <row r="2749" spans="1:9" s="17" customFormat="1" ht="12.75" customHeight="1" x14ac:dyDescent="0.2">
      <c r="A2749" s="65">
        <v>2740</v>
      </c>
      <c r="B2749" s="60"/>
      <c r="C2749" s="117" t="s">
        <v>460</v>
      </c>
      <c r="D2749" s="118"/>
      <c r="E2749" s="119"/>
      <c r="F2749" s="121" t="s">
        <v>49</v>
      </c>
      <c r="G2749" s="122"/>
      <c r="H2749" s="115">
        <v>2.4</v>
      </c>
      <c r="I2749" s="116"/>
    </row>
    <row r="2750" spans="1:9" s="17" customFormat="1" ht="12.75" customHeight="1" x14ac:dyDescent="0.2">
      <c r="A2750" s="65">
        <v>2741</v>
      </c>
      <c r="B2750" s="60"/>
      <c r="C2750" s="117" t="s">
        <v>827</v>
      </c>
      <c r="D2750" s="118"/>
      <c r="E2750" s="119"/>
      <c r="F2750" s="121" t="s">
        <v>41</v>
      </c>
      <c r="G2750" s="122"/>
      <c r="H2750" s="115">
        <v>14</v>
      </c>
      <c r="I2750" s="116"/>
    </row>
    <row r="2751" spans="1:9" s="17" customFormat="1" ht="12.75" customHeight="1" x14ac:dyDescent="0.2">
      <c r="A2751" s="65">
        <v>2742</v>
      </c>
      <c r="B2751" s="60"/>
      <c r="C2751" s="117" t="s">
        <v>2556</v>
      </c>
      <c r="D2751" s="118"/>
      <c r="E2751" s="119"/>
      <c r="F2751" s="121" t="s">
        <v>41</v>
      </c>
      <c r="G2751" s="122"/>
      <c r="H2751" s="150">
        <v>75.2</v>
      </c>
      <c r="I2751" s="151"/>
    </row>
    <row r="2752" spans="1:9" s="17" customFormat="1" ht="12.75" customHeight="1" x14ac:dyDescent="0.2">
      <c r="A2752" s="65">
        <v>2743</v>
      </c>
      <c r="B2752" s="60"/>
      <c r="C2752" s="117" t="s">
        <v>3287</v>
      </c>
      <c r="D2752" s="118"/>
      <c r="E2752" s="119"/>
      <c r="F2752" s="121" t="s">
        <v>41</v>
      </c>
      <c r="G2752" s="122"/>
      <c r="H2752" s="150">
        <f>23-3.5+1.9-1.15-1.35-2.35+2.7-0.55-2.7-0.15-1</f>
        <v>14.849999999999996</v>
      </c>
      <c r="I2752" s="151"/>
    </row>
    <row r="2753" spans="1:9" s="17" customFormat="1" ht="12.75" customHeight="1" x14ac:dyDescent="0.2">
      <c r="A2753" s="65">
        <v>2744</v>
      </c>
      <c r="B2753" s="60"/>
      <c r="C2753" s="117" t="s">
        <v>930</v>
      </c>
      <c r="D2753" s="118"/>
      <c r="E2753" s="119"/>
      <c r="F2753" s="121" t="s">
        <v>41</v>
      </c>
      <c r="G2753" s="122"/>
      <c r="H2753" s="115">
        <f>8-1.5</f>
        <v>6.5</v>
      </c>
      <c r="I2753" s="116"/>
    </row>
    <row r="2754" spans="1:9" s="17" customFormat="1" ht="12.75" customHeight="1" x14ac:dyDescent="0.2">
      <c r="A2754" s="65">
        <v>2745</v>
      </c>
      <c r="B2754" s="60"/>
      <c r="C2754" s="117" t="s">
        <v>3918</v>
      </c>
      <c r="D2754" s="118"/>
      <c r="E2754" s="119"/>
      <c r="F2754" s="121" t="s">
        <v>49</v>
      </c>
      <c r="G2754" s="122"/>
      <c r="H2754" s="115">
        <f>14+3.1+3.9+0.4+1.2-1.2-3.9+7.8-4.9-0.4</f>
        <v>20</v>
      </c>
      <c r="I2754" s="116"/>
    </row>
    <row r="2755" spans="1:9" s="17" customFormat="1" ht="12.75" customHeight="1" x14ac:dyDescent="0.2">
      <c r="A2755" s="65">
        <v>2746</v>
      </c>
      <c r="B2755" s="60"/>
      <c r="C2755" s="117" t="s">
        <v>2777</v>
      </c>
      <c r="D2755" s="118"/>
      <c r="E2755" s="119"/>
      <c r="F2755" s="121" t="s">
        <v>41</v>
      </c>
      <c r="G2755" s="122"/>
      <c r="H2755" s="115">
        <f>24.7+9.6+2-8.8-9.6+2.7+33.4-2.7-11.3-3.9-18.2+21.5-1-1-2</f>
        <v>35.400000000000006</v>
      </c>
      <c r="I2755" s="116"/>
    </row>
    <row r="2756" spans="1:9" s="17" customFormat="1" ht="12.75" customHeight="1" x14ac:dyDescent="0.2">
      <c r="A2756" s="65">
        <v>2747</v>
      </c>
      <c r="B2756" s="60" t="s">
        <v>1624</v>
      </c>
      <c r="C2756" s="117" t="s">
        <v>2508</v>
      </c>
      <c r="D2756" s="118"/>
      <c r="E2756" s="119"/>
      <c r="F2756" s="121" t="s">
        <v>41</v>
      </c>
      <c r="G2756" s="122"/>
      <c r="H2756" s="115">
        <v>26.9</v>
      </c>
      <c r="I2756" s="116"/>
    </row>
    <row r="2757" spans="1:9" s="17" customFormat="1" ht="12.75" customHeight="1" x14ac:dyDescent="0.2">
      <c r="A2757" s="65">
        <v>2748</v>
      </c>
      <c r="B2757" s="60" t="s">
        <v>1624</v>
      </c>
      <c r="C2757" s="117" t="s">
        <v>4519</v>
      </c>
      <c r="D2757" s="118"/>
      <c r="E2757" s="119"/>
      <c r="F2757" s="121" t="s">
        <v>41</v>
      </c>
      <c r="G2757" s="122"/>
      <c r="H2757" s="115">
        <f>7.3-1.5+3.2-1-1</f>
        <v>7</v>
      </c>
      <c r="I2757" s="116"/>
    </row>
    <row r="2758" spans="1:9" s="17" customFormat="1" ht="12.75" customHeight="1" x14ac:dyDescent="0.2">
      <c r="A2758" s="65">
        <v>2749</v>
      </c>
      <c r="B2758" s="60"/>
      <c r="C2758" s="117" t="s">
        <v>3055</v>
      </c>
      <c r="D2758" s="118"/>
      <c r="E2758" s="119"/>
      <c r="F2758" s="121" t="s">
        <v>41</v>
      </c>
      <c r="G2758" s="122"/>
      <c r="H2758" s="115">
        <v>4.4000000000000004</v>
      </c>
      <c r="I2758" s="116"/>
    </row>
    <row r="2759" spans="1:9" s="17" customFormat="1" ht="12.75" customHeight="1" x14ac:dyDescent="0.2">
      <c r="A2759" s="65">
        <v>2750</v>
      </c>
      <c r="B2759" s="60" t="s">
        <v>3540</v>
      </c>
      <c r="C2759" s="117" t="s">
        <v>4367</v>
      </c>
      <c r="D2759" s="118"/>
      <c r="E2759" s="119"/>
      <c r="F2759" s="121" t="s">
        <v>41</v>
      </c>
      <c r="G2759" s="122"/>
      <c r="H2759" s="115">
        <v>2.9</v>
      </c>
      <c r="I2759" s="116"/>
    </row>
    <row r="2760" spans="1:9" s="17" customFormat="1" ht="12.75" customHeight="1" x14ac:dyDescent="0.2">
      <c r="A2760" s="65">
        <v>2751</v>
      </c>
      <c r="B2760" s="60" t="s">
        <v>3601</v>
      </c>
      <c r="C2760" s="117" t="s">
        <v>4840</v>
      </c>
      <c r="D2760" s="118"/>
      <c r="E2760" s="119"/>
      <c r="F2760" s="121" t="s">
        <v>41</v>
      </c>
      <c r="G2760" s="122"/>
      <c r="H2760" s="115">
        <v>6</v>
      </c>
      <c r="I2760" s="116"/>
    </row>
    <row r="2761" spans="1:9" s="17" customFormat="1" ht="12.75" customHeight="1" x14ac:dyDescent="0.2">
      <c r="A2761" s="65">
        <v>2752</v>
      </c>
      <c r="B2761" s="60"/>
      <c r="C2761" s="117" t="s">
        <v>160</v>
      </c>
      <c r="D2761" s="118"/>
      <c r="E2761" s="119"/>
      <c r="F2761" s="121" t="s">
        <v>41</v>
      </c>
      <c r="G2761" s="122"/>
      <c r="H2761" s="115">
        <v>0.4</v>
      </c>
      <c r="I2761" s="116"/>
    </row>
    <row r="2762" spans="1:9" s="17" customFormat="1" ht="12.75" customHeight="1" x14ac:dyDescent="0.2">
      <c r="A2762" s="65">
        <v>2753</v>
      </c>
      <c r="B2762" s="60"/>
      <c r="C2762" s="117" t="s">
        <v>3566</v>
      </c>
      <c r="D2762" s="118"/>
      <c r="E2762" s="119"/>
      <c r="F2762" s="121" t="s">
        <v>41</v>
      </c>
      <c r="G2762" s="122"/>
      <c r="H2762" s="115">
        <f>30-3</f>
        <v>27</v>
      </c>
      <c r="I2762" s="116"/>
    </row>
    <row r="2763" spans="1:9" s="17" customFormat="1" ht="12.75" customHeight="1" x14ac:dyDescent="0.2">
      <c r="A2763" s="65">
        <v>2754</v>
      </c>
      <c r="B2763" s="60" t="s">
        <v>1624</v>
      </c>
      <c r="C2763" s="117" t="s">
        <v>3628</v>
      </c>
      <c r="D2763" s="118"/>
      <c r="E2763" s="119"/>
      <c r="F2763" s="121" t="s">
        <v>41</v>
      </c>
      <c r="G2763" s="122"/>
      <c r="H2763" s="115">
        <f>27.8-1</f>
        <v>26.8</v>
      </c>
      <c r="I2763" s="116"/>
    </row>
    <row r="2764" spans="1:9" s="17" customFormat="1" ht="12.75" customHeight="1" x14ac:dyDescent="0.2">
      <c r="A2764" s="65">
        <v>2755</v>
      </c>
      <c r="B2764" s="60"/>
      <c r="C2764" s="117" t="s">
        <v>882</v>
      </c>
      <c r="D2764" s="118"/>
      <c r="E2764" s="119"/>
      <c r="F2764" s="121" t="s">
        <v>49</v>
      </c>
      <c r="G2764" s="122"/>
      <c r="H2764" s="115">
        <v>4.7</v>
      </c>
      <c r="I2764" s="116"/>
    </row>
    <row r="2765" spans="1:9" s="17" customFormat="1" ht="12.75" customHeight="1" x14ac:dyDescent="0.2">
      <c r="A2765" s="65">
        <v>2756</v>
      </c>
      <c r="B2765" s="60"/>
      <c r="C2765" s="117" t="s">
        <v>243</v>
      </c>
      <c r="D2765" s="118"/>
      <c r="E2765" s="119"/>
      <c r="F2765" s="121" t="s">
        <v>49</v>
      </c>
      <c r="G2765" s="122"/>
      <c r="H2765" s="115">
        <v>2.6</v>
      </c>
      <c r="I2765" s="116"/>
    </row>
    <row r="2766" spans="1:9" s="17" customFormat="1" ht="12.75" customHeight="1" x14ac:dyDescent="0.2">
      <c r="A2766" s="65">
        <v>2757</v>
      </c>
      <c r="B2766" s="60"/>
      <c r="C2766" s="117" t="s">
        <v>2436</v>
      </c>
      <c r="D2766" s="118"/>
      <c r="E2766" s="119"/>
      <c r="F2766" s="121" t="s">
        <v>41</v>
      </c>
      <c r="G2766" s="122"/>
      <c r="H2766" s="115">
        <f>14.8+17.7-3-14.8+46.2-3-2.5</f>
        <v>55.400000000000006</v>
      </c>
      <c r="I2766" s="116"/>
    </row>
    <row r="2767" spans="1:9" s="17" customFormat="1" ht="12.75" customHeight="1" x14ac:dyDescent="0.2">
      <c r="A2767" s="65">
        <v>2758</v>
      </c>
      <c r="B2767" s="60"/>
      <c r="C2767" s="117" t="s">
        <v>3751</v>
      </c>
      <c r="D2767" s="118"/>
      <c r="E2767" s="119"/>
      <c r="F2767" s="121" t="s">
        <v>41</v>
      </c>
      <c r="G2767" s="122"/>
      <c r="H2767" s="115">
        <f>25.2+2.9-1-2.9</f>
        <v>24.2</v>
      </c>
      <c r="I2767" s="116"/>
    </row>
    <row r="2768" spans="1:9" s="17" customFormat="1" ht="12.75" customHeight="1" x14ac:dyDescent="0.2">
      <c r="A2768" s="65">
        <v>2759</v>
      </c>
      <c r="B2768" s="60"/>
      <c r="C2768" s="117" t="s">
        <v>4520</v>
      </c>
      <c r="D2768" s="118"/>
      <c r="E2768" s="119"/>
      <c r="F2768" s="121" t="s">
        <v>41</v>
      </c>
      <c r="G2768" s="122"/>
      <c r="H2768" s="115">
        <f>17-1.1-1-1</f>
        <v>13.9</v>
      </c>
      <c r="I2768" s="116"/>
    </row>
    <row r="2769" spans="1:9" s="17" customFormat="1" ht="12.75" customHeight="1" x14ac:dyDescent="0.2">
      <c r="A2769" s="65">
        <v>2760</v>
      </c>
      <c r="B2769" s="60" t="s">
        <v>1624</v>
      </c>
      <c r="C2769" s="117" t="s">
        <v>3844</v>
      </c>
      <c r="D2769" s="118"/>
      <c r="E2769" s="119"/>
      <c r="F2769" s="121" t="s">
        <v>41</v>
      </c>
      <c r="G2769" s="122"/>
      <c r="H2769" s="115">
        <f>8+59-1.6</f>
        <v>65.400000000000006</v>
      </c>
      <c r="I2769" s="116"/>
    </row>
    <row r="2770" spans="1:9" s="17" customFormat="1" ht="12.75" customHeight="1" x14ac:dyDescent="0.2">
      <c r="A2770" s="65">
        <v>2761</v>
      </c>
      <c r="B2770" s="60"/>
      <c r="C2770" s="117" t="s">
        <v>1152</v>
      </c>
      <c r="D2770" s="118"/>
      <c r="E2770" s="119"/>
      <c r="F2770" s="121" t="s">
        <v>49</v>
      </c>
      <c r="G2770" s="122"/>
      <c r="H2770" s="115">
        <v>11.8</v>
      </c>
      <c r="I2770" s="116"/>
    </row>
    <row r="2771" spans="1:9" s="17" customFormat="1" ht="12.75" customHeight="1" x14ac:dyDescent="0.2">
      <c r="A2771" s="65">
        <v>2762</v>
      </c>
      <c r="B2771" s="60"/>
      <c r="C2771" s="117" t="s">
        <v>1166</v>
      </c>
      <c r="D2771" s="118"/>
      <c r="E2771" s="119"/>
      <c r="F2771" s="121" t="s">
        <v>41</v>
      </c>
      <c r="G2771" s="122"/>
      <c r="H2771" s="115">
        <v>0.8</v>
      </c>
      <c r="I2771" s="116"/>
    </row>
    <row r="2772" spans="1:9" s="17" customFormat="1" ht="12.75" customHeight="1" x14ac:dyDescent="0.2">
      <c r="A2772" s="65">
        <v>2763</v>
      </c>
      <c r="B2772" s="60"/>
      <c r="C2772" s="117" t="s">
        <v>3252</v>
      </c>
      <c r="D2772" s="118"/>
      <c r="E2772" s="119"/>
      <c r="F2772" s="121" t="s">
        <v>41</v>
      </c>
      <c r="G2772" s="122"/>
      <c r="H2772" s="115">
        <f>2.7+0.6-2.7+2.7-1.2+2.7-2.7+46.4+4.3+17.3-4.3-5.3-3-8.5-1.5-8-6.3-0.6</f>
        <v>32.6</v>
      </c>
      <c r="I2772" s="116"/>
    </row>
    <row r="2773" spans="1:9" s="17" customFormat="1" ht="12.75" customHeight="1" x14ac:dyDescent="0.2">
      <c r="A2773" s="65">
        <v>2764</v>
      </c>
      <c r="B2773" s="60"/>
      <c r="C2773" s="117" t="s">
        <v>4684</v>
      </c>
      <c r="D2773" s="118"/>
      <c r="E2773" s="119"/>
      <c r="F2773" s="121" t="s">
        <v>41</v>
      </c>
      <c r="G2773" s="122"/>
      <c r="H2773" s="115">
        <f>9.3+5.7-6</f>
        <v>9</v>
      </c>
      <c r="I2773" s="116"/>
    </row>
    <row r="2774" spans="1:9" s="17" customFormat="1" ht="12.75" customHeight="1" x14ac:dyDescent="0.2">
      <c r="A2774" s="65">
        <v>2765</v>
      </c>
      <c r="B2774" s="60" t="s">
        <v>1624</v>
      </c>
      <c r="C2774" s="117" t="s">
        <v>4079</v>
      </c>
      <c r="D2774" s="118"/>
      <c r="E2774" s="119"/>
      <c r="F2774" s="121" t="s">
        <v>41</v>
      </c>
      <c r="G2774" s="122"/>
      <c r="H2774" s="115">
        <f>5.7-3.4+9.6</f>
        <v>11.9</v>
      </c>
      <c r="I2774" s="116"/>
    </row>
    <row r="2775" spans="1:9" s="17" customFormat="1" ht="12.75" customHeight="1" x14ac:dyDescent="0.2">
      <c r="A2775" s="65">
        <v>2766</v>
      </c>
      <c r="B2775" s="60" t="s">
        <v>1624</v>
      </c>
      <c r="C2775" s="117" t="s">
        <v>3914</v>
      </c>
      <c r="D2775" s="118"/>
      <c r="E2775" s="119"/>
      <c r="F2775" s="121" t="s">
        <v>41</v>
      </c>
      <c r="G2775" s="122"/>
      <c r="H2775" s="115">
        <f>1.9-0.4</f>
        <v>1.5</v>
      </c>
      <c r="I2775" s="116"/>
    </row>
    <row r="2776" spans="1:9" s="17" customFormat="1" ht="12.75" customHeight="1" x14ac:dyDescent="0.2">
      <c r="A2776" s="65">
        <v>2767</v>
      </c>
      <c r="B2776" s="60" t="s">
        <v>1624</v>
      </c>
      <c r="C2776" s="117" t="s">
        <v>4136</v>
      </c>
      <c r="D2776" s="118"/>
      <c r="E2776" s="119"/>
      <c r="F2776" s="121" t="s">
        <v>49</v>
      </c>
      <c r="G2776" s="122"/>
      <c r="H2776" s="115">
        <v>1.3</v>
      </c>
      <c r="I2776" s="116"/>
    </row>
    <row r="2777" spans="1:9" s="17" customFormat="1" ht="12.75" customHeight="1" x14ac:dyDescent="0.2">
      <c r="A2777" s="65">
        <v>2768</v>
      </c>
      <c r="B2777" s="60" t="s">
        <v>3540</v>
      </c>
      <c r="C2777" s="117" t="s">
        <v>4201</v>
      </c>
      <c r="D2777" s="118"/>
      <c r="E2777" s="119"/>
      <c r="F2777" s="121" t="s">
        <v>49</v>
      </c>
      <c r="G2777" s="122"/>
      <c r="H2777" s="115">
        <v>9.3000000000000007</v>
      </c>
      <c r="I2777" s="116"/>
    </row>
    <row r="2778" spans="1:9" s="17" customFormat="1" ht="12" customHeight="1" x14ac:dyDescent="0.2">
      <c r="A2778" s="65">
        <v>2769</v>
      </c>
      <c r="B2778" s="60"/>
      <c r="C2778" s="117" t="s">
        <v>1002</v>
      </c>
      <c r="D2778" s="118"/>
      <c r="E2778" s="119"/>
      <c r="F2778" s="121" t="s">
        <v>41</v>
      </c>
      <c r="G2778" s="122"/>
      <c r="H2778" s="115">
        <f>13.9-1.3-1-5.6</f>
        <v>6</v>
      </c>
      <c r="I2778" s="116"/>
    </row>
    <row r="2779" spans="1:9" s="17" customFormat="1" ht="12.75" customHeight="1" x14ac:dyDescent="0.2">
      <c r="A2779" s="65">
        <v>2770</v>
      </c>
      <c r="B2779" s="60"/>
      <c r="C2779" s="117" t="s">
        <v>1931</v>
      </c>
      <c r="D2779" s="118"/>
      <c r="E2779" s="119"/>
      <c r="F2779" s="121" t="s">
        <v>41</v>
      </c>
      <c r="G2779" s="122"/>
      <c r="H2779" s="115">
        <f>5+11.8+5.9+23.6+24.3+3+10+3-3-5-11.8-5.9-36.7+4.7</f>
        <v>28.900000000000009</v>
      </c>
      <c r="I2779" s="116"/>
    </row>
    <row r="2780" spans="1:9" s="17" customFormat="1" ht="12.75" customHeight="1" x14ac:dyDescent="0.2">
      <c r="A2780" s="65">
        <v>2771</v>
      </c>
      <c r="B2780" s="60"/>
      <c r="C2780" s="117" t="s">
        <v>2791</v>
      </c>
      <c r="D2780" s="118"/>
      <c r="E2780" s="119"/>
      <c r="F2780" s="121" t="s">
        <v>41</v>
      </c>
      <c r="G2780" s="122"/>
      <c r="H2780" s="115">
        <f>20.4+10+22.8+4.5+15.3-3+4.3</f>
        <v>74.3</v>
      </c>
      <c r="I2780" s="116"/>
    </row>
    <row r="2781" spans="1:9" s="17" customFormat="1" ht="12.75" customHeight="1" x14ac:dyDescent="0.2">
      <c r="A2781" s="65">
        <v>2772</v>
      </c>
      <c r="B2781" s="60" t="s">
        <v>1624</v>
      </c>
      <c r="C2781" s="117" t="s">
        <v>4199</v>
      </c>
      <c r="D2781" s="118"/>
      <c r="E2781" s="119"/>
      <c r="F2781" s="121" t="s">
        <v>41</v>
      </c>
      <c r="G2781" s="122"/>
      <c r="H2781" s="115">
        <f>10+2.5+5</f>
        <v>17.5</v>
      </c>
      <c r="I2781" s="116"/>
    </row>
    <row r="2782" spans="1:9" s="17" customFormat="1" ht="12.75" customHeight="1" x14ac:dyDescent="0.2">
      <c r="A2782" s="65">
        <v>2773</v>
      </c>
      <c r="B2782" s="60" t="s">
        <v>3601</v>
      </c>
      <c r="C2782" s="117" t="s">
        <v>4366</v>
      </c>
      <c r="D2782" s="118"/>
      <c r="E2782" s="119"/>
      <c r="F2782" s="121" t="s">
        <v>41</v>
      </c>
      <c r="G2782" s="122"/>
      <c r="H2782" s="115">
        <v>6.4</v>
      </c>
      <c r="I2782" s="116"/>
    </row>
    <row r="2783" spans="1:9" s="17" customFormat="1" ht="12" customHeight="1" x14ac:dyDescent="0.2">
      <c r="A2783" s="65">
        <v>2774</v>
      </c>
      <c r="B2783" s="60"/>
      <c r="C2783" s="117" t="s">
        <v>3181</v>
      </c>
      <c r="D2783" s="118"/>
      <c r="E2783" s="119"/>
      <c r="F2783" s="121" t="s">
        <v>49</v>
      </c>
      <c r="G2783" s="122"/>
      <c r="H2783" s="115">
        <f>244.8+4.7-0.3-4.7-15.6-8-69.7-1.2-1.5-10.9-1.2-1.3-1.3-1.2-1.3-1.3-1.2-1.3-1.3-1.3-1.3-1.2-1.5-9.2-1.4</f>
        <v>110.29999999999998</v>
      </c>
      <c r="I2783" s="116"/>
    </row>
    <row r="2784" spans="1:9" s="17" customFormat="1" ht="12.75" customHeight="1" x14ac:dyDescent="0.2">
      <c r="A2784" s="65">
        <v>2775</v>
      </c>
      <c r="B2784" s="60"/>
      <c r="C2784" s="117" t="s">
        <v>966</v>
      </c>
      <c r="D2784" s="118"/>
      <c r="E2784" s="119"/>
      <c r="F2784" s="121" t="s">
        <v>49</v>
      </c>
      <c r="G2784" s="122"/>
      <c r="H2784" s="115">
        <v>14.7</v>
      </c>
      <c r="I2784" s="116"/>
    </row>
    <row r="2785" spans="1:9" s="17" customFormat="1" ht="12.75" customHeight="1" x14ac:dyDescent="0.2">
      <c r="A2785" s="65">
        <v>2776</v>
      </c>
      <c r="B2785" s="60"/>
      <c r="C2785" s="117" t="s">
        <v>2726</v>
      </c>
      <c r="D2785" s="118"/>
      <c r="E2785" s="119"/>
      <c r="F2785" s="121" t="s">
        <v>41</v>
      </c>
      <c r="G2785" s="122"/>
      <c r="H2785" s="115">
        <f>17.6-8.8+0.2+6.6-1.4+38+48+9-11-27-6.6-9.8</f>
        <v>54.800000000000011</v>
      </c>
      <c r="I2785" s="116"/>
    </row>
    <row r="2786" spans="1:9" s="17" customFormat="1" ht="12.75" customHeight="1" x14ac:dyDescent="0.2">
      <c r="A2786" s="65">
        <v>2777</v>
      </c>
      <c r="B2786" s="60"/>
      <c r="C2786" s="117" t="s">
        <v>3233</v>
      </c>
      <c r="D2786" s="118"/>
      <c r="E2786" s="119"/>
      <c r="F2786" s="121" t="s">
        <v>41</v>
      </c>
      <c r="G2786" s="122"/>
      <c r="H2786" s="115">
        <f>6+4.7</f>
        <v>10.7</v>
      </c>
      <c r="I2786" s="116"/>
    </row>
    <row r="2787" spans="1:9" s="17" customFormat="1" ht="12.75" customHeight="1" x14ac:dyDescent="0.2">
      <c r="A2787" s="65">
        <v>2778</v>
      </c>
      <c r="B2787" s="60"/>
      <c r="C2787" s="117" t="s">
        <v>3919</v>
      </c>
      <c r="D2787" s="118"/>
      <c r="E2787" s="119"/>
      <c r="F2787" s="121" t="s">
        <v>49</v>
      </c>
      <c r="G2787" s="122"/>
      <c r="H2787" s="115">
        <f>3.5+2+4.8+1.1-1.1</f>
        <v>10.3</v>
      </c>
      <c r="I2787" s="116"/>
    </row>
    <row r="2788" spans="1:9" s="17" customFormat="1" ht="12.75" customHeight="1" x14ac:dyDescent="0.2">
      <c r="A2788" s="65">
        <v>2779</v>
      </c>
      <c r="B2788" s="60"/>
      <c r="C2788" s="117" t="s">
        <v>2976</v>
      </c>
      <c r="D2788" s="118"/>
      <c r="E2788" s="119"/>
      <c r="F2788" s="121" t="s">
        <v>41</v>
      </c>
      <c r="G2788" s="122"/>
      <c r="H2788" s="115">
        <f>9.8+4-0.2-1+7.5</f>
        <v>20.100000000000001</v>
      </c>
      <c r="I2788" s="116"/>
    </row>
    <row r="2789" spans="1:9" s="17" customFormat="1" ht="12.75" customHeight="1" x14ac:dyDescent="0.2">
      <c r="A2789" s="65">
        <v>2780</v>
      </c>
      <c r="B2789" s="60" t="s">
        <v>1624</v>
      </c>
      <c r="C2789" s="117" t="s">
        <v>3384</v>
      </c>
      <c r="D2789" s="118"/>
      <c r="E2789" s="119"/>
      <c r="F2789" s="121" t="s">
        <v>41</v>
      </c>
      <c r="G2789" s="122"/>
      <c r="H2789" s="115">
        <v>5.7</v>
      </c>
      <c r="I2789" s="116"/>
    </row>
    <row r="2790" spans="1:9" s="17" customFormat="1" ht="12.75" customHeight="1" x14ac:dyDescent="0.2">
      <c r="A2790" s="65">
        <v>2781</v>
      </c>
      <c r="B2790" s="60"/>
      <c r="C2790" s="117" t="s">
        <v>602</v>
      </c>
      <c r="D2790" s="118"/>
      <c r="E2790" s="119"/>
      <c r="F2790" s="121" t="s">
        <v>49</v>
      </c>
      <c r="G2790" s="122"/>
      <c r="H2790" s="115">
        <f>1+9.2-9.2</f>
        <v>1</v>
      </c>
      <c r="I2790" s="116"/>
    </row>
    <row r="2791" spans="1:9" s="17" customFormat="1" ht="12.75" customHeight="1" x14ac:dyDescent="0.2">
      <c r="A2791" s="65">
        <v>2782</v>
      </c>
      <c r="B2791" s="60"/>
      <c r="C2791" s="117" t="s">
        <v>2068</v>
      </c>
      <c r="D2791" s="118"/>
      <c r="E2791" s="119"/>
      <c r="F2791" s="121" t="s">
        <v>41</v>
      </c>
      <c r="G2791" s="122"/>
      <c r="H2791" s="115">
        <f>46.3-5</f>
        <v>41.3</v>
      </c>
      <c r="I2791" s="116"/>
    </row>
    <row r="2792" spans="1:9" s="17" customFormat="1" ht="12.75" customHeight="1" x14ac:dyDescent="0.2">
      <c r="A2792" s="65">
        <v>2783</v>
      </c>
      <c r="B2792" s="60"/>
      <c r="C2792" s="117" t="s">
        <v>2918</v>
      </c>
      <c r="D2792" s="118"/>
      <c r="E2792" s="119"/>
      <c r="F2792" s="121" t="s">
        <v>41</v>
      </c>
      <c r="G2792" s="122"/>
      <c r="H2792" s="115">
        <f>37.5+3.9</f>
        <v>41.4</v>
      </c>
      <c r="I2792" s="116"/>
    </row>
    <row r="2793" spans="1:9" s="17" customFormat="1" ht="12.75" customHeight="1" x14ac:dyDescent="0.2">
      <c r="A2793" s="65">
        <v>2784</v>
      </c>
      <c r="B2793" s="60"/>
      <c r="C2793" s="117" t="s">
        <v>244</v>
      </c>
      <c r="D2793" s="118"/>
      <c r="E2793" s="119"/>
      <c r="F2793" s="121" t="s">
        <v>49</v>
      </c>
      <c r="G2793" s="122"/>
      <c r="H2793" s="115">
        <v>5.8</v>
      </c>
      <c r="I2793" s="116"/>
    </row>
    <row r="2794" spans="1:9" s="17" customFormat="1" ht="12.75" customHeight="1" x14ac:dyDescent="0.2">
      <c r="A2794" s="65">
        <v>2785</v>
      </c>
      <c r="B2794" s="60"/>
      <c r="C2794" s="117" t="s">
        <v>1884</v>
      </c>
      <c r="D2794" s="118"/>
      <c r="E2794" s="119"/>
      <c r="F2794" s="121" t="s">
        <v>49</v>
      </c>
      <c r="G2794" s="122"/>
      <c r="H2794" s="115">
        <f>8.4+28</f>
        <v>36.4</v>
      </c>
      <c r="I2794" s="116"/>
    </row>
    <row r="2795" spans="1:9" s="17" customFormat="1" ht="12.75" customHeight="1" x14ac:dyDescent="0.2">
      <c r="A2795" s="65">
        <v>2786</v>
      </c>
      <c r="B2795" s="60"/>
      <c r="C2795" s="117" t="s">
        <v>3920</v>
      </c>
      <c r="D2795" s="118"/>
      <c r="E2795" s="119"/>
      <c r="F2795" s="121" t="s">
        <v>49</v>
      </c>
      <c r="G2795" s="122"/>
      <c r="H2795" s="115">
        <f>36.6-34.6+46-33-0.6</f>
        <v>14.4</v>
      </c>
      <c r="I2795" s="116"/>
    </row>
    <row r="2796" spans="1:9" s="17" customFormat="1" ht="12.75" customHeight="1" x14ac:dyDescent="0.2">
      <c r="A2796" s="65">
        <v>2787</v>
      </c>
      <c r="B2796" s="60" t="s">
        <v>3601</v>
      </c>
      <c r="C2796" s="117" t="s">
        <v>4945</v>
      </c>
      <c r="D2796" s="118"/>
      <c r="E2796" s="119"/>
      <c r="F2796" s="121" t="s">
        <v>41</v>
      </c>
      <c r="G2796" s="122"/>
      <c r="H2796" s="115">
        <v>48.8</v>
      </c>
      <c r="I2796" s="116"/>
    </row>
    <row r="2797" spans="1:9" s="17" customFormat="1" ht="12.75" customHeight="1" x14ac:dyDescent="0.2">
      <c r="A2797" s="65">
        <v>2788</v>
      </c>
      <c r="B2797" s="60"/>
      <c r="C2797" s="117" t="s">
        <v>4689</v>
      </c>
      <c r="D2797" s="118"/>
      <c r="E2797" s="119"/>
      <c r="F2797" s="121" t="s">
        <v>41</v>
      </c>
      <c r="G2797" s="122"/>
      <c r="H2797" s="115">
        <f>9.4+4.5+8.6-4.8-2.4-8.6+2.8+1.1+14.7-4.5-14.7-2.2+39.8-39.8+10.7-1.1+3.8-3.8-2.8+5.3+39.8-8.6+2.4+21-24.7+34.4+12.3+9-98.3-0.9+7.9+29.3-5-29.3-2.4+7.2+2.6+18.6+4+23.4-1+6-1.4-17.6-23.4</f>
        <v>21.299999999999983</v>
      </c>
      <c r="I2797" s="116"/>
    </row>
    <row r="2798" spans="1:9" s="17" customFormat="1" ht="12.75" customHeight="1" x14ac:dyDescent="0.2">
      <c r="A2798" s="65">
        <v>2789</v>
      </c>
      <c r="B2798" s="60"/>
      <c r="C2798" s="117" t="s">
        <v>1883</v>
      </c>
      <c r="D2798" s="118"/>
      <c r="E2798" s="119"/>
      <c r="F2798" s="121" t="s">
        <v>49</v>
      </c>
      <c r="G2798" s="122"/>
      <c r="H2798" s="115">
        <f>12.1-5.5</f>
        <v>6.6</v>
      </c>
      <c r="I2798" s="116"/>
    </row>
    <row r="2799" spans="1:9" s="17" customFormat="1" ht="12.75" customHeight="1" x14ac:dyDescent="0.2">
      <c r="A2799" s="65">
        <v>2790</v>
      </c>
      <c r="B2799" s="60"/>
      <c r="C2799" s="117" t="s">
        <v>3043</v>
      </c>
      <c r="D2799" s="118"/>
      <c r="E2799" s="119"/>
      <c r="F2799" s="121" t="s">
        <v>41</v>
      </c>
      <c r="G2799" s="122"/>
      <c r="H2799" s="115">
        <f>8.1+9.8-2.6-1.2+5-0.8+25.3+14.9-25.3-14.9-3.5-1+10.7</f>
        <v>24.500000000000004</v>
      </c>
      <c r="I2799" s="116"/>
    </row>
    <row r="2800" spans="1:9" s="17" customFormat="1" ht="12.75" customHeight="1" x14ac:dyDescent="0.2">
      <c r="A2800" s="65">
        <v>2791</v>
      </c>
      <c r="B2800" s="60" t="s">
        <v>1624</v>
      </c>
      <c r="C2800" s="117" t="s">
        <v>4842</v>
      </c>
      <c r="D2800" s="118"/>
      <c r="E2800" s="119"/>
      <c r="F2800" s="121" t="s">
        <v>41</v>
      </c>
      <c r="G2800" s="122"/>
      <c r="H2800" s="115">
        <v>5.9</v>
      </c>
      <c r="I2800" s="116"/>
    </row>
    <row r="2801" spans="1:9" s="17" customFormat="1" ht="12.75" customHeight="1" x14ac:dyDescent="0.2">
      <c r="A2801" s="65">
        <v>2792</v>
      </c>
      <c r="B2801" s="60"/>
      <c r="C2801" s="117" t="s">
        <v>1882</v>
      </c>
      <c r="D2801" s="118"/>
      <c r="E2801" s="119"/>
      <c r="F2801" s="121" t="s">
        <v>49</v>
      </c>
      <c r="G2801" s="122"/>
      <c r="H2801" s="115">
        <v>4</v>
      </c>
      <c r="I2801" s="116"/>
    </row>
    <row r="2802" spans="1:9" s="17" customFormat="1" ht="12.75" customHeight="1" x14ac:dyDescent="0.2">
      <c r="A2802" s="65">
        <v>2793</v>
      </c>
      <c r="B2802" s="60"/>
      <c r="C2802" s="117" t="s">
        <v>3162</v>
      </c>
      <c r="D2802" s="118"/>
      <c r="E2802" s="119"/>
      <c r="F2802" s="121" t="s">
        <v>341</v>
      </c>
      <c r="G2802" s="122"/>
      <c r="H2802" s="115">
        <f>80-58.2+39.7-2.3-10.9-5.6-1.8</f>
        <v>40.900000000000006</v>
      </c>
      <c r="I2802" s="116"/>
    </row>
    <row r="2803" spans="1:9" s="17" customFormat="1" ht="12.75" customHeight="1" x14ac:dyDescent="0.2">
      <c r="A2803" s="65">
        <v>2794</v>
      </c>
      <c r="B2803" s="60"/>
      <c r="C2803" s="117" t="s">
        <v>1881</v>
      </c>
      <c r="D2803" s="118"/>
      <c r="E2803" s="119"/>
      <c r="F2803" s="121" t="s">
        <v>41</v>
      </c>
      <c r="G2803" s="122"/>
      <c r="H2803" s="115">
        <v>18.5</v>
      </c>
      <c r="I2803" s="116"/>
    </row>
    <row r="2804" spans="1:9" s="17" customFormat="1" ht="12.75" customHeight="1" x14ac:dyDescent="0.2">
      <c r="A2804" s="65">
        <v>2795</v>
      </c>
      <c r="B2804" s="60"/>
      <c r="C2804" s="117" t="s">
        <v>2916</v>
      </c>
      <c r="D2804" s="118"/>
      <c r="E2804" s="119"/>
      <c r="F2804" s="121" t="s">
        <v>41</v>
      </c>
      <c r="G2804" s="122"/>
      <c r="H2804" s="115">
        <v>4.5</v>
      </c>
      <c r="I2804" s="116"/>
    </row>
    <row r="2805" spans="1:9" s="17" customFormat="1" ht="12.75" customHeight="1" x14ac:dyDescent="0.2">
      <c r="A2805" s="65">
        <v>2796</v>
      </c>
      <c r="B2805" s="60"/>
      <c r="C2805" s="117" t="s">
        <v>2243</v>
      </c>
      <c r="D2805" s="118"/>
      <c r="E2805" s="119"/>
      <c r="F2805" s="121" t="s">
        <v>49</v>
      </c>
      <c r="G2805" s="122"/>
      <c r="H2805" s="115">
        <v>26.7</v>
      </c>
      <c r="I2805" s="116"/>
    </row>
    <row r="2806" spans="1:9" s="17" customFormat="1" ht="12.75" customHeight="1" x14ac:dyDescent="0.2">
      <c r="A2806" s="65">
        <v>2797</v>
      </c>
      <c r="B2806" s="60"/>
      <c r="C2806" s="117" t="s">
        <v>2919</v>
      </c>
      <c r="D2806" s="118"/>
      <c r="E2806" s="119"/>
      <c r="F2806" s="121" t="s">
        <v>41</v>
      </c>
      <c r="G2806" s="122"/>
      <c r="H2806" s="115">
        <f>12.7+14.6+3.7+29.2+4.6-56.5+24+19.7+13.4-8.3+6.4-33.1-5.4+7.3+18.8+5.5+7.2+9.9</f>
        <v>73.700000000000017</v>
      </c>
      <c r="I2806" s="116"/>
    </row>
    <row r="2807" spans="1:9" s="17" customFormat="1" ht="12.75" customHeight="1" x14ac:dyDescent="0.2">
      <c r="A2807" s="65">
        <v>2798</v>
      </c>
      <c r="B2807" s="60"/>
      <c r="C2807" s="117" t="s">
        <v>3054</v>
      </c>
      <c r="D2807" s="118"/>
      <c r="E2807" s="119"/>
      <c r="F2807" s="121" t="s">
        <v>41</v>
      </c>
      <c r="G2807" s="122"/>
      <c r="H2807" s="115">
        <v>18.899999999999999</v>
      </c>
      <c r="I2807" s="116"/>
    </row>
    <row r="2808" spans="1:9" s="17" customFormat="1" ht="12.75" customHeight="1" x14ac:dyDescent="0.2">
      <c r="A2808" s="65">
        <v>2799</v>
      </c>
      <c r="B2808" s="60"/>
      <c r="C2808" s="117" t="s">
        <v>2435</v>
      </c>
      <c r="D2808" s="118"/>
      <c r="E2808" s="119"/>
      <c r="F2808" s="121" t="s">
        <v>805</v>
      </c>
      <c r="G2808" s="122"/>
      <c r="H2808" s="115">
        <v>8.5</v>
      </c>
      <c r="I2808" s="116"/>
    </row>
    <row r="2809" spans="1:9" s="17" customFormat="1" ht="12.75" customHeight="1" x14ac:dyDescent="0.2">
      <c r="A2809" s="65">
        <v>2800</v>
      </c>
      <c r="B2809" s="60"/>
      <c r="C2809" s="117" t="s">
        <v>1729</v>
      </c>
      <c r="D2809" s="118"/>
      <c r="E2809" s="119"/>
      <c r="F2809" s="121" t="s">
        <v>341</v>
      </c>
      <c r="G2809" s="122"/>
      <c r="H2809" s="115">
        <f>65.8-1.2-3.6</f>
        <v>60.999999999999993</v>
      </c>
      <c r="I2809" s="116"/>
    </row>
    <row r="2810" spans="1:9" s="17" customFormat="1" ht="12.75" customHeight="1" x14ac:dyDescent="0.2">
      <c r="A2810" s="65">
        <v>2801</v>
      </c>
      <c r="B2810" s="60"/>
      <c r="C2810" s="117" t="s">
        <v>2145</v>
      </c>
      <c r="D2810" s="118"/>
      <c r="E2810" s="119"/>
      <c r="F2810" s="121" t="s">
        <v>41</v>
      </c>
      <c r="G2810" s="122"/>
      <c r="H2810" s="115">
        <f>8.3+30.2</f>
        <v>38.5</v>
      </c>
      <c r="I2810" s="116"/>
    </row>
    <row r="2811" spans="1:9" s="17" customFormat="1" ht="12.75" customHeight="1" x14ac:dyDescent="0.2">
      <c r="A2811" s="65">
        <v>2802</v>
      </c>
      <c r="B2811" s="60"/>
      <c r="C2811" s="117" t="s">
        <v>1878</v>
      </c>
      <c r="D2811" s="118"/>
      <c r="E2811" s="119"/>
      <c r="F2811" s="121" t="s">
        <v>3</v>
      </c>
      <c r="G2811" s="122"/>
      <c r="H2811" s="115">
        <v>4.5999999999999996</v>
      </c>
      <c r="I2811" s="116"/>
    </row>
    <row r="2812" spans="1:9" s="17" customFormat="1" ht="12.75" customHeight="1" x14ac:dyDescent="0.2">
      <c r="A2812" s="65">
        <v>2803</v>
      </c>
      <c r="B2812" s="60"/>
      <c r="C2812" s="117" t="s">
        <v>1879</v>
      </c>
      <c r="D2812" s="118"/>
      <c r="E2812" s="119"/>
      <c r="F2812" s="121" t="s">
        <v>49</v>
      </c>
      <c r="G2812" s="122"/>
      <c r="H2812" s="115">
        <f>17.8+20</f>
        <v>37.799999999999997</v>
      </c>
      <c r="I2812" s="116"/>
    </row>
    <row r="2813" spans="1:9" s="17" customFormat="1" ht="12.75" customHeight="1" x14ac:dyDescent="0.2">
      <c r="A2813" s="65">
        <v>2804</v>
      </c>
      <c r="B2813" s="60"/>
      <c r="C2813" s="117" t="s">
        <v>2297</v>
      </c>
      <c r="D2813" s="118"/>
      <c r="E2813" s="119"/>
      <c r="F2813" s="121" t="s">
        <v>41</v>
      </c>
      <c r="G2813" s="122"/>
      <c r="H2813" s="115">
        <v>3.9</v>
      </c>
      <c r="I2813" s="116"/>
    </row>
    <row r="2814" spans="1:9" s="17" customFormat="1" ht="12.75" customHeight="1" x14ac:dyDescent="0.2">
      <c r="A2814" s="65">
        <v>2805</v>
      </c>
      <c r="B2814" s="60"/>
      <c r="C2814" s="117" t="s">
        <v>1880</v>
      </c>
      <c r="D2814" s="118"/>
      <c r="E2814" s="119"/>
      <c r="F2814" s="121" t="s">
        <v>49</v>
      </c>
      <c r="G2814" s="122"/>
      <c r="H2814" s="115">
        <f>39.4-10+13-5+64.8+8-28-25.7+24.8</f>
        <v>81.299999999999983</v>
      </c>
      <c r="I2814" s="116"/>
    </row>
    <row r="2815" spans="1:9" s="17" customFormat="1" ht="12.75" customHeight="1" x14ac:dyDescent="0.2">
      <c r="A2815" s="65">
        <v>2806</v>
      </c>
      <c r="B2815" s="60"/>
      <c r="C2815" s="117" t="s">
        <v>3068</v>
      </c>
      <c r="D2815" s="118"/>
      <c r="E2815" s="119"/>
      <c r="F2815" s="113" t="s">
        <v>76</v>
      </c>
      <c r="G2815" s="114"/>
      <c r="H2815" s="115">
        <f>23.6-3.9-1-10-1-1.3-1.7</f>
        <v>4.7000000000000028</v>
      </c>
      <c r="I2815" s="116"/>
    </row>
    <row r="2816" spans="1:9" s="17" customFormat="1" ht="12.75" customHeight="1" x14ac:dyDescent="0.2">
      <c r="A2816" s="65">
        <v>2807</v>
      </c>
      <c r="B2816" s="60" t="s">
        <v>741</v>
      </c>
      <c r="C2816" s="117" t="s">
        <v>1718</v>
      </c>
      <c r="D2816" s="118"/>
      <c r="E2816" s="119"/>
      <c r="F2816" s="113" t="s">
        <v>59</v>
      </c>
      <c r="G2816" s="114"/>
      <c r="H2816" s="115">
        <v>2.7</v>
      </c>
      <c r="I2816" s="116"/>
    </row>
    <row r="2817" spans="1:9" s="17" customFormat="1" ht="12.75" customHeight="1" x14ac:dyDescent="0.2">
      <c r="A2817" s="65">
        <v>2808</v>
      </c>
      <c r="B2817" s="60"/>
      <c r="C2817" s="117" t="s">
        <v>2035</v>
      </c>
      <c r="D2817" s="118"/>
      <c r="E2817" s="119"/>
      <c r="F2817" s="113" t="s">
        <v>76</v>
      </c>
      <c r="G2817" s="114"/>
      <c r="H2817" s="115">
        <f>60.7-1.7-2.5+2.5-2.5-2.5</f>
        <v>54</v>
      </c>
      <c r="I2817" s="116"/>
    </row>
    <row r="2818" spans="1:9" s="17" customFormat="1" ht="12.75" customHeight="1" x14ac:dyDescent="0.2">
      <c r="A2818" s="65">
        <v>2809</v>
      </c>
      <c r="B2818" s="60" t="s">
        <v>741</v>
      </c>
      <c r="C2818" s="117" t="s">
        <v>1378</v>
      </c>
      <c r="D2818" s="118"/>
      <c r="E2818" s="119"/>
      <c r="F2818" s="113" t="s">
        <v>76</v>
      </c>
      <c r="G2818" s="114"/>
      <c r="H2818" s="115">
        <v>2.5</v>
      </c>
      <c r="I2818" s="116"/>
    </row>
    <row r="2819" spans="1:9" s="17" customFormat="1" ht="12.75" customHeight="1" x14ac:dyDescent="0.2">
      <c r="A2819" s="65">
        <v>2810</v>
      </c>
      <c r="B2819" s="60"/>
      <c r="C2819" s="117" t="s">
        <v>512</v>
      </c>
      <c r="D2819" s="118"/>
      <c r="E2819" s="119"/>
      <c r="F2819" s="113" t="s">
        <v>76</v>
      </c>
      <c r="G2819" s="114"/>
      <c r="H2819" s="115">
        <v>10.8</v>
      </c>
      <c r="I2819" s="116"/>
    </row>
    <row r="2820" spans="1:9" s="17" customFormat="1" ht="12.75" customHeight="1" x14ac:dyDescent="0.2">
      <c r="A2820" s="65">
        <v>2811</v>
      </c>
      <c r="B2820" s="60" t="s">
        <v>741</v>
      </c>
      <c r="C2820" s="117" t="s">
        <v>4726</v>
      </c>
      <c r="D2820" s="118"/>
      <c r="E2820" s="119"/>
      <c r="F2820" s="125" t="s">
        <v>62</v>
      </c>
      <c r="G2820" s="125"/>
      <c r="H2820" s="115">
        <v>6.2</v>
      </c>
      <c r="I2820" s="116"/>
    </row>
    <row r="2821" spans="1:9" s="17" customFormat="1" ht="12.75" customHeight="1" x14ac:dyDescent="0.2">
      <c r="A2821" s="65">
        <v>2812</v>
      </c>
      <c r="B2821" s="60" t="s">
        <v>3540</v>
      </c>
      <c r="C2821" s="117" t="s">
        <v>4943</v>
      </c>
      <c r="D2821" s="118"/>
      <c r="E2821" s="119"/>
      <c r="F2821" s="113" t="s">
        <v>76</v>
      </c>
      <c r="G2821" s="114"/>
      <c r="H2821" s="115">
        <v>14.4</v>
      </c>
      <c r="I2821" s="116"/>
    </row>
    <row r="2822" spans="1:9" s="17" customFormat="1" ht="12.75" customHeight="1" x14ac:dyDescent="0.2">
      <c r="A2822" s="65">
        <v>2813</v>
      </c>
      <c r="B2822" s="60" t="s">
        <v>741</v>
      </c>
      <c r="C2822" s="117" t="s">
        <v>2649</v>
      </c>
      <c r="D2822" s="118"/>
      <c r="E2822" s="119"/>
      <c r="F2822" s="113" t="s">
        <v>76</v>
      </c>
      <c r="G2822" s="114"/>
      <c r="H2822" s="115">
        <v>6.3</v>
      </c>
      <c r="I2822" s="116"/>
    </row>
    <row r="2823" spans="1:9" s="17" customFormat="1" ht="12.75" customHeight="1" x14ac:dyDescent="0.2">
      <c r="A2823" s="65">
        <v>2814</v>
      </c>
      <c r="B2823" s="60" t="s">
        <v>741</v>
      </c>
      <c r="C2823" s="117" t="s">
        <v>3436</v>
      </c>
      <c r="D2823" s="118"/>
      <c r="E2823" s="119"/>
      <c r="F2823" s="113" t="s">
        <v>76</v>
      </c>
      <c r="G2823" s="114"/>
      <c r="H2823" s="115">
        <f>9.9-4.7</f>
        <v>5.2</v>
      </c>
      <c r="I2823" s="116"/>
    </row>
    <row r="2824" spans="1:9" s="17" customFormat="1" ht="12.75" customHeight="1" x14ac:dyDescent="0.2">
      <c r="A2824" s="65">
        <v>2815</v>
      </c>
      <c r="B2824" s="60" t="s">
        <v>741</v>
      </c>
      <c r="C2824" s="117" t="s">
        <v>3300</v>
      </c>
      <c r="D2824" s="118"/>
      <c r="E2824" s="119"/>
      <c r="F2824" s="113" t="s">
        <v>76</v>
      </c>
      <c r="G2824" s="114"/>
      <c r="H2824" s="115">
        <v>16.7</v>
      </c>
      <c r="I2824" s="116"/>
    </row>
    <row r="2825" spans="1:9" s="17" customFormat="1" ht="12.75" customHeight="1" x14ac:dyDescent="0.2">
      <c r="A2825" s="65">
        <v>2816</v>
      </c>
      <c r="B2825" s="60" t="s">
        <v>741</v>
      </c>
      <c r="C2825" s="117" t="s">
        <v>3301</v>
      </c>
      <c r="D2825" s="118"/>
      <c r="E2825" s="119"/>
      <c r="F2825" s="113" t="s">
        <v>76</v>
      </c>
      <c r="G2825" s="114"/>
      <c r="H2825" s="115">
        <v>41.2</v>
      </c>
      <c r="I2825" s="116"/>
    </row>
    <row r="2826" spans="1:9" s="17" customFormat="1" ht="12.75" customHeight="1" x14ac:dyDescent="0.2">
      <c r="A2826" s="65">
        <v>2817</v>
      </c>
      <c r="B2826" s="60"/>
      <c r="C2826" s="117" t="s">
        <v>196</v>
      </c>
      <c r="D2826" s="118"/>
      <c r="E2826" s="119"/>
      <c r="F2826" s="121" t="s">
        <v>1175</v>
      </c>
      <c r="G2826" s="122"/>
      <c r="H2826" s="115">
        <v>5.2</v>
      </c>
      <c r="I2826" s="116"/>
    </row>
    <row r="2827" spans="1:9" s="17" customFormat="1" ht="12.75" customHeight="1" x14ac:dyDescent="0.2">
      <c r="A2827" s="65">
        <v>2818</v>
      </c>
      <c r="B2827" s="60"/>
      <c r="C2827" s="117" t="s">
        <v>4443</v>
      </c>
      <c r="D2827" s="118"/>
      <c r="E2827" s="119"/>
      <c r="F2827" s="113" t="s">
        <v>29</v>
      </c>
      <c r="G2827" s="114"/>
      <c r="H2827" s="115">
        <f>50-1-5-0.9+5-3-23.3-2.2-1-5-1-1</f>
        <v>11.600000000000001</v>
      </c>
      <c r="I2827" s="116"/>
    </row>
    <row r="2828" spans="1:9" s="17" customFormat="1" ht="12" customHeight="1" x14ac:dyDescent="0.2">
      <c r="A2828" s="65">
        <v>2819</v>
      </c>
      <c r="B2828" s="60" t="s">
        <v>3636</v>
      </c>
      <c r="C2828" s="117" t="s">
        <v>2821</v>
      </c>
      <c r="D2828" s="118"/>
      <c r="E2828" s="119"/>
      <c r="F2828" s="113" t="s">
        <v>184</v>
      </c>
      <c r="G2828" s="114"/>
      <c r="H2828" s="115">
        <v>12</v>
      </c>
      <c r="I2828" s="116"/>
    </row>
    <row r="2829" spans="1:9" s="17" customFormat="1" ht="12" customHeight="1" x14ac:dyDescent="0.2">
      <c r="A2829" s="65">
        <v>2820</v>
      </c>
      <c r="B2829" s="60"/>
      <c r="C2829" s="117" t="s">
        <v>4406</v>
      </c>
      <c r="D2829" s="118"/>
      <c r="E2829" s="119"/>
      <c r="F2829" s="113" t="s">
        <v>483</v>
      </c>
      <c r="G2829" s="114"/>
      <c r="H2829" s="115">
        <f>20.7-1-1-2</f>
        <v>16.7</v>
      </c>
      <c r="I2829" s="116"/>
    </row>
    <row r="2830" spans="1:9" s="17" customFormat="1" ht="12.75" customHeight="1" x14ac:dyDescent="0.2">
      <c r="A2830" s="65">
        <v>2821</v>
      </c>
      <c r="B2830" s="60" t="s">
        <v>741</v>
      </c>
      <c r="C2830" s="117" t="s">
        <v>4725</v>
      </c>
      <c r="D2830" s="118"/>
      <c r="E2830" s="119"/>
      <c r="F2830" s="125" t="s">
        <v>62</v>
      </c>
      <c r="G2830" s="125"/>
      <c r="H2830" s="115">
        <v>19.600000000000001</v>
      </c>
      <c r="I2830" s="116"/>
    </row>
    <row r="2831" spans="1:9" s="17" customFormat="1" ht="12.75" customHeight="1" x14ac:dyDescent="0.2">
      <c r="A2831" s="65">
        <v>2822</v>
      </c>
      <c r="B2831" s="60" t="s">
        <v>1624</v>
      </c>
      <c r="C2831" s="117" t="s">
        <v>4138</v>
      </c>
      <c r="D2831" s="118"/>
      <c r="E2831" s="119"/>
      <c r="F2831" s="121" t="s">
        <v>56</v>
      </c>
      <c r="G2831" s="122"/>
      <c r="H2831" s="115">
        <v>36.5</v>
      </c>
      <c r="I2831" s="116"/>
    </row>
    <row r="2832" spans="1:9" s="17" customFormat="1" ht="12.75" customHeight="1" x14ac:dyDescent="0.2">
      <c r="A2832" s="65">
        <v>2823</v>
      </c>
      <c r="B2832" s="60" t="s">
        <v>1624</v>
      </c>
      <c r="C2832" s="117" t="s">
        <v>2503</v>
      </c>
      <c r="D2832" s="118"/>
      <c r="E2832" s="119"/>
      <c r="F2832" s="121" t="s">
        <v>3</v>
      </c>
      <c r="G2832" s="122"/>
      <c r="H2832" s="115">
        <v>0.5</v>
      </c>
      <c r="I2832" s="116"/>
    </row>
    <row r="2833" spans="1:9" s="17" customFormat="1" ht="12" customHeight="1" x14ac:dyDescent="0.2">
      <c r="A2833" s="65">
        <v>2824</v>
      </c>
      <c r="B2833" s="60"/>
      <c r="C2833" s="117" t="s">
        <v>4836</v>
      </c>
      <c r="D2833" s="118"/>
      <c r="E2833" s="119"/>
      <c r="F2833" s="113" t="s">
        <v>76</v>
      </c>
      <c r="G2833" s="114"/>
      <c r="H2833" s="115">
        <f>56.5-1-2-1-4.5-5.3-10-25</f>
        <v>7.7000000000000028</v>
      </c>
      <c r="I2833" s="116"/>
    </row>
    <row r="2834" spans="1:9" s="17" customFormat="1" ht="12.75" customHeight="1" x14ac:dyDescent="0.2">
      <c r="A2834" s="65">
        <v>2825</v>
      </c>
      <c r="B2834" s="60"/>
      <c r="C2834" s="117" t="s">
        <v>3804</v>
      </c>
      <c r="D2834" s="118"/>
      <c r="E2834" s="119"/>
      <c r="F2834" s="113" t="s">
        <v>29</v>
      </c>
      <c r="G2834" s="114"/>
      <c r="H2834" s="115">
        <f>30.7+15.1-1-1-1+7.9+131.9-5-1-3-0.1-2-30-3-6.9-7-1-5-30.7-5-5-8.4-1+8.4-1-5-2-4.5-3-3-2.4</f>
        <v>55.999999999999993</v>
      </c>
      <c r="I2834" s="116"/>
    </row>
    <row r="2835" spans="1:9" s="17" customFormat="1" ht="12.75" customHeight="1" x14ac:dyDescent="0.2">
      <c r="A2835" s="65">
        <v>2826</v>
      </c>
      <c r="B2835" s="60"/>
      <c r="C2835" s="117" t="s">
        <v>4863</v>
      </c>
      <c r="D2835" s="118"/>
      <c r="E2835" s="119"/>
      <c r="F2835" s="113" t="s">
        <v>76</v>
      </c>
      <c r="G2835" s="114"/>
      <c r="H2835" s="115">
        <v>12.3</v>
      </c>
      <c r="I2835" s="116"/>
    </row>
    <row r="2836" spans="1:9" s="17" customFormat="1" ht="12.75" customHeight="1" x14ac:dyDescent="0.2">
      <c r="A2836" s="65">
        <v>2827</v>
      </c>
      <c r="B2836" s="60"/>
      <c r="C2836" s="117" t="s">
        <v>4671</v>
      </c>
      <c r="D2836" s="118"/>
      <c r="E2836" s="119"/>
      <c r="F2836" s="113" t="s">
        <v>59</v>
      </c>
      <c r="G2836" s="114"/>
      <c r="H2836" s="115">
        <f>45.1-3.7-2.6-2.2-1-9.7-2-1-1+0.1-1.4-4-5.9-1</f>
        <v>9.6999999999999975</v>
      </c>
      <c r="I2836" s="116"/>
    </row>
    <row r="2837" spans="1:9" s="17" customFormat="1" ht="12.75" customHeight="1" x14ac:dyDescent="0.2">
      <c r="A2837" s="65">
        <v>2828</v>
      </c>
      <c r="B2837" s="60"/>
      <c r="C2837" s="117" t="s">
        <v>4153</v>
      </c>
      <c r="D2837" s="118"/>
      <c r="E2837" s="119"/>
      <c r="F2837" s="113" t="s">
        <v>59</v>
      </c>
      <c r="G2837" s="114"/>
      <c r="H2837" s="115">
        <v>7.7</v>
      </c>
      <c r="I2837" s="116"/>
    </row>
    <row r="2838" spans="1:9" s="17" customFormat="1" ht="12.75" customHeight="1" x14ac:dyDescent="0.2">
      <c r="A2838" s="65">
        <v>2829</v>
      </c>
      <c r="B2838" s="60"/>
      <c r="C2838" s="117" t="s">
        <v>1301</v>
      </c>
      <c r="D2838" s="118"/>
      <c r="E2838" s="119"/>
      <c r="F2838" s="113" t="s">
        <v>59</v>
      </c>
      <c r="G2838" s="114"/>
      <c r="H2838" s="115">
        <f>25.4-0.4-2.7</f>
        <v>22.3</v>
      </c>
      <c r="I2838" s="116"/>
    </row>
    <row r="2839" spans="1:9" s="17" customFormat="1" ht="12" customHeight="1" x14ac:dyDescent="0.2">
      <c r="A2839" s="65">
        <v>2830</v>
      </c>
      <c r="B2839" s="60"/>
      <c r="C2839" s="117" t="s">
        <v>1506</v>
      </c>
      <c r="D2839" s="118"/>
      <c r="E2839" s="119"/>
      <c r="F2839" s="121" t="s">
        <v>1173</v>
      </c>
      <c r="G2839" s="122"/>
      <c r="H2839" s="115">
        <v>10</v>
      </c>
      <c r="I2839" s="116"/>
    </row>
    <row r="2840" spans="1:9" s="17" customFormat="1" ht="12" customHeight="1" x14ac:dyDescent="0.2">
      <c r="A2840" s="65">
        <v>2831</v>
      </c>
      <c r="B2840" s="60" t="s">
        <v>741</v>
      </c>
      <c r="C2840" s="117" t="s">
        <v>2818</v>
      </c>
      <c r="D2840" s="118"/>
      <c r="E2840" s="119"/>
      <c r="F2840" s="121" t="s">
        <v>1173</v>
      </c>
      <c r="G2840" s="122"/>
      <c r="H2840" s="115">
        <v>60</v>
      </c>
      <c r="I2840" s="116"/>
    </row>
    <row r="2841" spans="1:9" s="17" customFormat="1" ht="12" customHeight="1" x14ac:dyDescent="0.2">
      <c r="A2841" s="65">
        <v>2832</v>
      </c>
      <c r="B2841" s="60"/>
      <c r="C2841" s="117" t="s">
        <v>1172</v>
      </c>
      <c r="D2841" s="118"/>
      <c r="E2841" s="119"/>
      <c r="F2841" s="121" t="s">
        <v>1170</v>
      </c>
      <c r="G2841" s="122"/>
      <c r="H2841" s="115">
        <v>30</v>
      </c>
      <c r="I2841" s="116"/>
    </row>
    <row r="2842" spans="1:9" s="17" customFormat="1" ht="12" customHeight="1" x14ac:dyDescent="0.2">
      <c r="A2842" s="65">
        <v>2833</v>
      </c>
      <c r="B2842" s="60" t="s">
        <v>741</v>
      </c>
      <c r="C2842" s="117" t="s">
        <v>2819</v>
      </c>
      <c r="D2842" s="118"/>
      <c r="E2842" s="119"/>
      <c r="F2842" s="121" t="s">
        <v>1170</v>
      </c>
      <c r="G2842" s="122"/>
      <c r="H2842" s="115">
        <v>15</v>
      </c>
      <c r="I2842" s="116"/>
    </row>
    <row r="2843" spans="1:9" s="17" customFormat="1" ht="12" customHeight="1" x14ac:dyDescent="0.2">
      <c r="A2843" s="65">
        <v>2834</v>
      </c>
      <c r="B2843" s="60"/>
      <c r="C2843" s="117" t="s">
        <v>2162</v>
      </c>
      <c r="D2843" s="118"/>
      <c r="E2843" s="119"/>
      <c r="F2843" s="121" t="s">
        <v>245</v>
      </c>
      <c r="G2843" s="122"/>
      <c r="H2843" s="115">
        <v>5.9</v>
      </c>
      <c r="I2843" s="116"/>
    </row>
    <row r="2844" spans="1:9" s="17" customFormat="1" ht="12" customHeight="1" x14ac:dyDescent="0.2">
      <c r="A2844" s="65">
        <v>2835</v>
      </c>
      <c r="B2844" s="60"/>
      <c r="C2844" s="117" t="s">
        <v>2606</v>
      </c>
      <c r="D2844" s="118"/>
      <c r="E2844" s="119"/>
      <c r="F2844" s="121" t="s">
        <v>245</v>
      </c>
      <c r="G2844" s="122"/>
      <c r="H2844" s="115">
        <v>4.5</v>
      </c>
      <c r="I2844" s="116"/>
    </row>
    <row r="2845" spans="1:9" s="17" customFormat="1" ht="11.25" customHeight="1" x14ac:dyDescent="0.2">
      <c r="A2845" s="65">
        <v>2836</v>
      </c>
      <c r="B2845" s="60"/>
      <c r="C2845" s="117" t="s">
        <v>1413</v>
      </c>
      <c r="D2845" s="118"/>
      <c r="E2845" s="119"/>
      <c r="F2845" s="121" t="s">
        <v>342</v>
      </c>
      <c r="G2845" s="122"/>
      <c r="H2845" s="115">
        <v>7.3</v>
      </c>
      <c r="I2845" s="116"/>
    </row>
    <row r="2846" spans="1:9" s="17" customFormat="1" ht="11.25" customHeight="1" x14ac:dyDescent="0.2">
      <c r="A2846" s="65">
        <v>2837</v>
      </c>
      <c r="B2846" s="60"/>
      <c r="C2846" s="117" t="s">
        <v>1552</v>
      </c>
      <c r="D2846" s="118"/>
      <c r="E2846" s="119"/>
      <c r="F2846" s="121" t="s">
        <v>43</v>
      </c>
      <c r="G2846" s="122"/>
      <c r="H2846" s="115">
        <v>19</v>
      </c>
      <c r="I2846" s="116"/>
    </row>
    <row r="2847" spans="1:9" s="17" customFormat="1" ht="12.75" customHeight="1" x14ac:dyDescent="0.2">
      <c r="A2847" s="65">
        <v>2838</v>
      </c>
      <c r="B2847" s="60" t="s">
        <v>1624</v>
      </c>
      <c r="C2847" s="117" t="s">
        <v>3767</v>
      </c>
      <c r="D2847" s="118"/>
      <c r="E2847" s="119"/>
      <c r="F2847" s="121" t="s">
        <v>85</v>
      </c>
      <c r="G2847" s="122"/>
      <c r="H2847" s="115">
        <f>54.5-10</f>
        <v>44.5</v>
      </c>
      <c r="I2847" s="116"/>
    </row>
    <row r="2848" spans="1:9" s="17" customFormat="1" ht="12.75" customHeight="1" x14ac:dyDescent="0.2">
      <c r="A2848" s="65">
        <v>2839</v>
      </c>
      <c r="B2848" s="60"/>
      <c r="C2848" s="117" t="s">
        <v>2635</v>
      </c>
      <c r="D2848" s="118"/>
      <c r="E2848" s="119"/>
      <c r="F2848" s="113" t="s">
        <v>76</v>
      </c>
      <c r="G2848" s="114"/>
      <c r="H2848" s="115">
        <f>38-15.7+2.5-2.5+3.7-1-2.7+7.6-0.1-22.3+22.3-7.5-1-5-1</f>
        <v>15.299999999999997</v>
      </c>
      <c r="I2848" s="116"/>
    </row>
    <row r="2849" spans="1:9" s="17" customFormat="1" ht="12.75" customHeight="1" x14ac:dyDescent="0.2">
      <c r="A2849" s="65">
        <v>2840</v>
      </c>
      <c r="B2849" s="60"/>
      <c r="C2849" s="117" t="s">
        <v>1788</v>
      </c>
      <c r="D2849" s="118"/>
      <c r="E2849" s="119"/>
      <c r="F2849" s="113" t="s">
        <v>62</v>
      </c>
      <c r="G2849" s="114"/>
      <c r="H2849" s="115">
        <f>49.2-6.4+6.7-6.7-14.4</f>
        <v>28.400000000000006</v>
      </c>
      <c r="I2849" s="116"/>
    </row>
    <row r="2850" spans="1:9" s="17" customFormat="1" ht="12.75" customHeight="1" x14ac:dyDescent="0.2">
      <c r="A2850" s="65">
        <v>2841</v>
      </c>
      <c r="B2850" s="60"/>
      <c r="C2850" s="117" t="s">
        <v>4862</v>
      </c>
      <c r="D2850" s="118"/>
      <c r="E2850" s="119"/>
      <c r="F2850" s="113" t="s">
        <v>76</v>
      </c>
      <c r="G2850" s="114"/>
      <c r="H2850" s="115">
        <v>4.9000000000000004</v>
      </c>
      <c r="I2850" s="116"/>
    </row>
    <row r="2851" spans="1:9" s="17" customFormat="1" ht="12.75" customHeight="1" x14ac:dyDescent="0.2">
      <c r="A2851" s="65">
        <v>2842</v>
      </c>
      <c r="B2851" s="60"/>
      <c r="C2851" s="117" t="s">
        <v>1430</v>
      </c>
      <c r="D2851" s="118"/>
      <c r="E2851" s="119"/>
      <c r="F2851" s="113" t="s">
        <v>59</v>
      </c>
      <c r="G2851" s="114"/>
      <c r="H2851" s="115">
        <v>15</v>
      </c>
      <c r="I2851" s="116"/>
    </row>
    <row r="2852" spans="1:9" s="17" customFormat="1" ht="12" customHeight="1" x14ac:dyDescent="0.2">
      <c r="A2852" s="65">
        <v>2843</v>
      </c>
      <c r="B2852" s="60"/>
      <c r="C2852" s="117" t="s">
        <v>3052</v>
      </c>
      <c r="D2852" s="118"/>
      <c r="E2852" s="119"/>
      <c r="F2852" s="113" t="s">
        <v>184</v>
      </c>
      <c r="G2852" s="114"/>
      <c r="H2852" s="115">
        <v>5</v>
      </c>
      <c r="I2852" s="116"/>
    </row>
    <row r="2853" spans="1:9" s="17" customFormat="1" ht="12" customHeight="1" x14ac:dyDescent="0.2">
      <c r="A2853" s="65">
        <v>2844</v>
      </c>
      <c r="B2853" s="60"/>
      <c r="C2853" s="117" t="s">
        <v>1362</v>
      </c>
      <c r="D2853" s="118"/>
      <c r="E2853" s="119"/>
      <c r="F2853" s="121" t="s">
        <v>1173</v>
      </c>
      <c r="G2853" s="122"/>
      <c r="H2853" s="115">
        <f>30-15</f>
        <v>15</v>
      </c>
      <c r="I2853" s="116"/>
    </row>
    <row r="2854" spans="1:9" s="17" customFormat="1" ht="12" customHeight="1" x14ac:dyDescent="0.2">
      <c r="A2854" s="65">
        <v>2845</v>
      </c>
      <c r="B2854" s="60"/>
      <c r="C2854" s="117" t="s">
        <v>1476</v>
      </c>
      <c r="D2854" s="118"/>
      <c r="E2854" s="119"/>
      <c r="F2854" s="121" t="s">
        <v>1006</v>
      </c>
      <c r="G2854" s="122"/>
      <c r="H2854" s="115">
        <f>330-90-45</f>
        <v>195</v>
      </c>
      <c r="I2854" s="116"/>
    </row>
    <row r="2855" spans="1:9" s="17" customFormat="1" ht="12" customHeight="1" x14ac:dyDescent="0.2">
      <c r="A2855" s="65">
        <v>2846</v>
      </c>
      <c r="B2855" s="60" t="s">
        <v>741</v>
      </c>
      <c r="C2855" s="117" t="s">
        <v>2817</v>
      </c>
      <c r="D2855" s="118"/>
      <c r="E2855" s="119"/>
      <c r="F2855" s="121" t="s">
        <v>1006</v>
      </c>
      <c r="G2855" s="122"/>
      <c r="H2855" s="115">
        <v>15</v>
      </c>
      <c r="I2855" s="116"/>
    </row>
    <row r="2856" spans="1:9" s="17" customFormat="1" ht="12" customHeight="1" x14ac:dyDescent="0.2">
      <c r="A2856" s="65">
        <v>2847</v>
      </c>
      <c r="B2856" s="60"/>
      <c r="C2856" s="117" t="s">
        <v>1174</v>
      </c>
      <c r="D2856" s="118"/>
      <c r="E2856" s="119"/>
      <c r="F2856" s="121" t="s">
        <v>1175</v>
      </c>
      <c r="G2856" s="122"/>
      <c r="H2856" s="115">
        <v>15</v>
      </c>
      <c r="I2856" s="116"/>
    </row>
    <row r="2857" spans="1:9" s="17" customFormat="1" ht="12" customHeight="1" x14ac:dyDescent="0.2">
      <c r="A2857" s="65">
        <v>2848</v>
      </c>
      <c r="B2857" s="60"/>
      <c r="C2857" s="117" t="s">
        <v>1587</v>
      </c>
      <c r="D2857" s="118"/>
      <c r="E2857" s="119"/>
      <c r="F2857" s="121" t="s">
        <v>1588</v>
      </c>
      <c r="G2857" s="122"/>
      <c r="H2857" s="115">
        <v>19.8</v>
      </c>
      <c r="I2857" s="116"/>
    </row>
    <row r="2858" spans="1:9" s="17" customFormat="1" ht="11.25" customHeight="1" x14ac:dyDescent="0.2">
      <c r="A2858" s="65">
        <v>2849</v>
      </c>
      <c r="B2858" s="60"/>
      <c r="C2858" s="117" t="s">
        <v>2680</v>
      </c>
      <c r="D2858" s="118"/>
      <c r="E2858" s="119"/>
      <c r="F2858" s="121" t="s">
        <v>55</v>
      </c>
      <c r="G2858" s="122"/>
      <c r="H2858" s="115">
        <v>15.8</v>
      </c>
      <c r="I2858" s="116"/>
    </row>
    <row r="2859" spans="1:9" s="17" customFormat="1" ht="12" customHeight="1" x14ac:dyDescent="0.2">
      <c r="A2859" s="65">
        <v>2850</v>
      </c>
      <c r="B2859" s="60"/>
      <c r="C2859" s="117" t="s">
        <v>1171</v>
      </c>
      <c r="D2859" s="118"/>
      <c r="E2859" s="119"/>
      <c r="F2859" s="121" t="s">
        <v>1170</v>
      </c>
      <c r="G2859" s="122"/>
      <c r="H2859" s="115">
        <v>30</v>
      </c>
      <c r="I2859" s="116"/>
    </row>
    <row r="2860" spans="1:9" s="17" customFormat="1" ht="12" customHeight="1" x14ac:dyDescent="0.2">
      <c r="A2860" s="65">
        <v>2851</v>
      </c>
      <c r="B2860" s="60" t="s">
        <v>741</v>
      </c>
      <c r="C2860" s="117" t="s">
        <v>2820</v>
      </c>
      <c r="D2860" s="118"/>
      <c r="E2860" s="119"/>
      <c r="F2860" s="121" t="s">
        <v>1170</v>
      </c>
      <c r="G2860" s="122"/>
      <c r="H2860" s="115">
        <v>15</v>
      </c>
      <c r="I2860" s="116"/>
    </row>
    <row r="2861" spans="1:9" s="17" customFormat="1" ht="12" customHeight="1" x14ac:dyDescent="0.2">
      <c r="A2861" s="65">
        <v>2852</v>
      </c>
      <c r="B2861" s="60"/>
      <c r="C2861" s="117" t="s">
        <v>2146</v>
      </c>
      <c r="D2861" s="118"/>
      <c r="E2861" s="119"/>
      <c r="F2861" s="121" t="s">
        <v>245</v>
      </c>
      <c r="G2861" s="122"/>
      <c r="H2861" s="115">
        <f>67.7-1.3-6-0.3-3.7+2.6</f>
        <v>59.000000000000007</v>
      </c>
      <c r="I2861" s="116"/>
    </row>
    <row r="2862" spans="1:9" s="17" customFormat="1" ht="12" customHeight="1" x14ac:dyDescent="0.2">
      <c r="A2862" s="65">
        <v>2853</v>
      </c>
      <c r="B2862" s="60"/>
      <c r="C2862" s="117" t="s">
        <v>3232</v>
      </c>
      <c r="D2862" s="118"/>
      <c r="E2862" s="119"/>
      <c r="F2862" s="121" t="s">
        <v>245</v>
      </c>
      <c r="G2862" s="122"/>
      <c r="H2862" s="115">
        <f>23.4-10.2</f>
        <v>13.2</v>
      </c>
      <c r="I2862" s="116"/>
    </row>
    <row r="2863" spans="1:9" s="17" customFormat="1" ht="12" customHeight="1" x14ac:dyDescent="0.2">
      <c r="A2863" s="65">
        <v>2854</v>
      </c>
      <c r="B2863" s="60"/>
      <c r="C2863" s="117" t="s">
        <v>4870</v>
      </c>
      <c r="D2863" s="118"/>
      <c r="E2863" s="119"/>
      <c r="F2863" s="121" t="s">
        <v>35</v>
      </c>
      <c r="G2863" s="122"/>
      <c r="H2863" s="115">
        <v>51.3</v>
      </c>
      <c r="I2863" s="116"/>
    </row>
    <row r="2864" spans="1:9" s="17" customFormat="1" ht="12.75" customHeight="1" x14ac:dyDescent="0.2">
      <c r="A2864" s="65">
        <v>2855</v>
      </c>
      <c r="B2864" s="60"/>
      <c r="C2864" s="117" t="s">
        <v>3900</v>
      </c>
      <c r="D2864" s="118"/>
      <c r="E2864" s="119"/>
      <c r="F2864" s="121" t="s">
        <v>56</v>
      </c>
      <c r="G2864" s="122"/>
      <c r="H2864" s="115">
        <v>10.9</v>
      </c>
      <c r="I2864" s="116"/>
    </row>
    <row r="2865" spans="1:9" s="17" customFormat="1" ht="11.25" customHeight="1" x14ac:dyDescent="0.2">
      <c r="A2865" s="65">
        <v>2856</v>
      </c>
      <c r="B2865" s="60"/>
      <c r="C2865" s="117" t="s">
        <v>1745</v>
      </c>
      <c r="D2865" s="118"/>
      <c r="E2865" s="119"/>
      <c r="F2865" s="121" t="s">
        <v>342</v>
      </c>
      <c r="G2865" s="122"/>
      <c r="H2865" s="115">
        <f>5.2+7.6+16.5</f>
        <v>29.3</v>
      </c>
      <c r="I2865" s="116"/>
    </row>
    <row r="2866" spans="1:9" s="17" customFormat="1" ht="11.25" customHeight="1" x14ac:dyDescent="0.2">
      <c r="A2866" s="65">
        <v>2857</v>
      </c>
      <c r="B2866" s="60"/>
      <c r="C2866" s="117" t="s">
        <v>2708</v>
      </c>
      <c r="D2866" s="118"/>
      <c r="E2866" s="119"/>
      <c r="F2866" s="121" t="s">
        <v>342</v>
      </c>
      <c r="G2866" s="122"/>
      <c r="H2866" s="115">
        <f>6.8+35</f>
        <v>41.8</v>
      </c>
      <c r="I2866" s="116"/>
    </row>
    <row r="2867" spans="1:9" s="17" customFormat="1" ht="11.25" customHeight="1" x14ac:dyDescent="0.2">
      <c r="A2867" s="65">
        <v>2858</v>
      </c>
      <c r="B2867" s="60"/>
      <c r="C2867" s="117" t="s">
        <v>2679</v>
      </c>
      <c r="D2867" s="118"/>
      <c r="E2867" s="119"/>
      <c r="F2867" s="121" t="s">
        <v>43</v>
      </c>
      <c r="G2867" s="122"/>
      <c r="H2867" s="115">
        <v>9.5</v>
      </c>
      <c r="I2867" s="116"/>
    </row>
    <row r="2868" spans="1:9" s="17" customFormat="1" ht="12.75" customHeight="1" x14ac:dyDescent="0.2">
      <c r="A2868" s="65">
        <v>2859</v>
      </c>
      <c r="B2868" s="60" t="s">
        <v>1624</v>
      </c>
      <c r="C2868" s="117" t="s">
        <v>4429</v>
      </c>
      <c r="D2868" s="118"/>
      <c r="E2868" s="119"/>
      <c r="F2868" s="121" t="s">
        <v>43</v>
      </c>
      <c r="G2868" s="122"/>
      <c r="H2868" s="115">
        <v>3.7</v>
      </c>
      <c r="I2868" s="116"/>
    </row>
    <row r="2869" spans="1:9" s="17" customFormat="1" ht="12.75" customHeight="1" x14ac:dyDescent="0.2">
      <c r="A2869" s="65">
        <v>2860</v>
      </c>
      <c r="B2869" s="60"/>
      <c r="C2869" s="117" t="s">
        <v>3899</v>
      </c>
      <c r="D2869" s="118"/>
      <c r="E2869" s="119"/>
      <c r="F2869" s="121" t="s">
        <v>1919</v>
      </c>
      <c r="G2869" s="122"/>
      <c r="H2869" s="115">
        <f>74.1-50.7</f>
        <v>23.399999999999991</v>
      </c>
      <c r="I2869" s="116"/>
    </row>
    <row r="2870" spans="1:9" s="17" customFormat="1" ht="12.75" customHeight="1" x14ac:dyDescent="0.2">
      <c r="A2870" s="65">
        <v>2861</v>
      </c>
      <c r="B2870" s="60"/>
      <c r="C2870" s="117" t="s">
        <v>4724</v>
      </c>
      <c r="D2870" s="118"/>
      <c r="E2870" s="119"/>
      <c r="F2870" s="125" t="s">
        <v>76</v>
      </c>
      <c r="G2870" s="125"/>
      <c r="H2870" s="115">
        <v>81</v>
      </c>
      <c r="I2870" s="116"/>
    </row>
    <row r="2871" spans="1:9" s="17" customFormat="1" ht="12.75" customHeight="1" x14ac:dyDescent="0.2">
      <c r="A2871" s="65">
        <v>2862</v>
      </c>
      <c r="B2871" s="60"/>
      <c r="C2871" s="117" t="s">
        <v>3898</v>
      </c>
      <c r="D2871" s="118"/>
      <c r="E2871" s="119"/>
      <c r="F2871" s="121" t="s">
        <v>427</v>
      </c>
      <c r="G2871" s="122"/>
      <c r="H2871" s="115">
        <v>13.6</v>
      </c>
      <c r="I2871" s="116"/>
    </row>
    <row r="2872" spans="1:9" s="17" customFormat="1" ht="12.75" customHeight="1" x14ac:dyDescent="0.2">
      <c r="A2872" s="65">
        <v>2863</v>
      </c>
      <c r="B2872" s="60"/>
      <c r="C2872" s="117" t="s">
        <v>4081</v>
      </c>
      <c r="D2872" s="118"/>
      <c r="E2872" s="119"/>
      <c r="F2872" s="125" t="s">
        <v>76</v>
      </c>
      <c r="G2872" s="125"/>
      <c r="H2872" s="115">
        <v>6.2</v>
      </c>
      <c r="I2872" s="116"/>
    </row>
    <row r="2873" spans="1:9" s="17" customFormat="1" ht="12.75" customHeight="1" x14ac:dyDescent="0.2">
      <c r="A2873" s="65">
        <v>2864</v>
      </c>
      <c r="B2873" s="60" t="s">
        <v>1624</v>
      </c>
      <c r="C2873" s="117" t="s">
        <v>4727</v>
      </c>
      <c r="D2873" s="118"/>
      <c r="E2873" s="119"/>
      <c r="F2873" s="125" t="s">
        <v>59</v>
      </c>
      <c r="G2873" s="125"/>
      <c r="H2873" s="115">
        <v>51.6</v>
      </c>
      <c r="I2873" s="116"/>
    </row>
    <row r="2874" spans="1:9" s="17" customFormat="1" ht="12.75" customHeight="1" x14ac:dyDescent="0.2">
      <c r="A2874" s="65">
        <v>2865</v>
      </c>
      <c r="B2874" s="60"/>
      <c r="C2874" s="117" t="s">
        <v>4667</v>
      </c>
      <c r="D2874" s="118"/>
      <c r="E2874" s="119"/>
      <c r="F2874" s="121" t="s">
        <v>1170</v>
      </c>
      <c r="G2874" s="122"/>
      <c r="H2874" s="115">
        <v>30</v>
      </c>
      <c r="I2874" s="116"/>
    </row>
    <row r="2875" spans="1:9" s="17" customFormat="1" ht="12.75" customHeight="1" x14ac:dyDescent="0.2">
      <c r="A2875" s="65">
        <v>2866</v>
      </c>
      <c r="B2875" s="60"/>
      <c r="C2875" s="117" t="s">
        <v>3897</v>
      </c>
      <c r="D2875" s="118"/>
      <c r="E2875" s="119"/>
      <c r="F2875" s="121" t="s">
        <v>245</v>
      </c>
      <c r="G2875" s="122"/>
      <c r="H2875" s="115">
        <f>18.1-1.3-2.5-5</f>
        <v>9.3000000000000007</v>
      </c>
      <c r="I2875" s="116"/>
    </row>
    <row r="2876" spans="1:9" s="17" customFormat="1" ht="12" customHeight="1" x14ac:dyDescent="0.2">
      <c r="A2876" s="65">
        <v>2867</v>
      </c>
      <c r="B2876" s="60"/>
      <c r="C2876" s="117" t="s">
        <v>2779</v>
      </c>
      <c r="D2876" s="118"/>
      <c r="E2876" s="119"/>
      <c r="F2876" s="121" t="s">
        <v>1006</v>
      </c>
      <c r="G2876" s="122"/>
      <c r="H2876" s="115">
        <f>150+135-75-45</f>
        <v>165</v>
      </c>
      <c r="I2876" s="116"/>
    </row>
    <row r="2877" spans="1:9" s="17" customFormat="1" ht="12" customHeight="1" x14ac:dyDescent="0.2">
      <c r="A2877" s="65">
        <v>2868</v>
      </c>
      <c r="B2877" s="60" t="s">
        <v>741</v>
      </c>
      <c r="C2877" s="117" t="s">
        <v>1509</v>
      </c>
      <c r="D2877" s="118"/>
      <c r="E2877" s="119"/>
      <c r="F2877" s="121" t="s">
        <v>1006</v>
      </c>
      <c r="G2877" s="122"/>
      <c r="H2877" s="115">
        <v>105</v>
      </c>
      <c r="I2877" s="116"/>
    </row>
    <row r="2878" spans="1:9" s="17" customFormat="1" ht="12.75" customHeight="1" x14ac:dyDescent="0.2">
      <c r="A2878" s="65">
        <v>2869</v>
      </c>
      <c r="B2878" s="60"/>
      <c r="C2878" s="117" t="s">
        <v>1757</v>
      </c>
      <c r="D2878" s="118"/>
      <c r="E2878" s="119"/>
      <c r="F2878" s="121" t="s">
        <v>107</v>
      </c>
      <c r="G2878" s="122"/>
      <c r="H2878" s="115">
        <f>67.8-18.5-9.3</f>
        <v>40</v>
      </c>
      <c r="I2878" s="116"/>
    </row>
    <row r="2879" spans="1:9" s="17" customFormat="1" ht="12" customHeight="1" x14ac:dyDescent="0.2">
      <c r="A2879" s="65">
        <v>2870</v>
      </c>
      <c r="B2879" s="60"/>
      <c r="C2879" s="117" t="s">
        <v>777</v>
      </c>
      <c r="D2879" s="118"/>
      <c r="E2879" s="119"/>
      <c r="F2879" s="121" t="s">
        <v>107</v>
      </c>
      <c r="G2879" s="122"/>
      <c r="H2879" s="115">
        <f>127.4-18.7-19.2-1.5</f>
        <v>88</v>
      </c>
      <c r="I2879" s="116"/>
    </row>
    <row r="2880" spans="1:9" s="17" customFormat="1" ht="12.75" customHeight="1" x14ac:dyDescent="0.2">
      <c r="A2880" s="65">
        <v>2871</v>
      </c>
      <c r="B2880" s="60"/>
      <c r="C2880" s="117" t="s">
        <v>4291</v>
      </c>
      <c r="D2880" s="118"/>
      <c r="E2880" s="119"/>
      <c r="F2880" s="121" t="s">
        <v>85</v>
      </c>
      <c r="G2880" s="122"/>
      <c r="H2880" s="115">
        <f>24.3+32.3-7.4-10-5-1-1</f>
        <v>32.199999999999996</v>
      </c>
      <c r="I2880" s="116"/>
    </row>
    <row r="2881" spans="1:9" s="17" customFormat="1" ht="11.25" customHeight="1" x14ac:dyDescent="0.2">
      <c r="A2881" s="65">
        <v>2872</v>
      </c>
      <c r="B2881" s="60"/>
      <c r="C2881" s="117" t="s">
        <v>2804</v>
      </c>
      <c r="D2881" s="118"/>
      <c r="E2881" s="119"/>
      <c r="F2881" s="121" t="s">
        <v>43</v>
      </c>
      <c r="G2881" s="122"/>
      <c r="H2881" s="115">
        <f>39.4-10.2</f>
        <v>29.2</v>
      </c>
      <c r="I2881" s="116"/>
    </row>
    <row r="2882" spans="1:9" s="17" customFormat="1" ht="12.75" customHeight="1" x14ac:dyDescent="0.2">
      <c r="A2882" s="65">
        <v>2873</v>
      </c>
      <c r="B2882" s="60" t="s">
        <v>1624</v>
      </c>
      <c r="C2882" s="117" t="s">
        <v>4430</v>
      </c>
      <c r="D2882" s="118"/>
      <c r="E2882" s="119"/>
      <c r="F2882" s="121" t="s">
        <v>43</v>
      </c>
      <c r="G2882" s="122"/>
      <c r="H2882" s="115">
        <v>12.4</v>
      </c>
      <c r="I2882" s="116"/>
    </row>
    <row r="2883" spans="1:9" s="17" customFormat="1" ht="12.75" customHeight="1" x14ac:dyDescent="0.2">
      <c r="A2883" s="65">
        <v>2874</v>
      </c>
      <c r="B2883" s="60"/>
      <c r="C2883" s="117" t="s">
        <v>4872</v>
      </c>
      <c r="D2883" s="118"/>
      <c r="E2883" s="119"/>
      <c r="F2883" s="121" t="s">
        <v>245</v>
      </c>
      <c r="G2883" s="122"/>
      <c r="H2883" s="115">
        <v>34.200000000000003</v>
      </c>
      <c r="I2883" s="116"/>
    </row>
    <row r="2884" spans="1:9" s="17" customFormat="1" ht="12.75" customHeight="1" x14ac:dyDescent="0.2">
      <c r="A2884" s="65">
        <v>2875</v>
      </c>
      <c r="B2884" s="60"/>
      <c r="C2884" s="117" t="s">
        <v>5345</v>
      </c>
      <c r="D2884" s="118"/>
      <c r="E2884" s="119"/>
      <c r="F2884" s="125" t="s">
        <v>57</v>
      </c>
      <c r="G2884" s="125"/>
      <c r="H2884" s="115">
        <f>54.4-4.8-0.3-6.5-1-0.2</f>
        <v>41.6</v>
      </c>
      <c r="I2884" s="116"/>
    </row>
    <row r="2885" spans="1:9" s="17" customFormat="1" ht="12.75" customHeight="1" x14ac:dyDescent="0.2">
      <c r="A2885" s="65">
        <v>2876</v>
      </c>
      <c r="B2885" s="60"/>
      <c r="C2885" s="117" t="s">
        <v>3893</v>
      </c>
      <c r="D2885" s="118"/>
      <c r="E2885" s="119"/>
      <c r="F2885" s="125" t="s">
        <v>57</v>
      </c>
      <c r="G2885" s="125"/>
      <c r="H2885" s="115">
        <f>69-1</f>
        <v>68</v>
      </c>
      <c r="I2885" s="116"/>
    </row>
    <row r="2886" spans="1:9" s="17" customFormat="1" ht="12.75" customHeight="1" x14ac:dyDescent="0.2">
      <c r="A2886" s="65">
        <v>2877</v>
      </c>
      <c r="B2886" s="60"/>
      <c r="C2886" s="117" t="s">
        <v>4861</v>
      </c>
      <c r="D2886" s="118"/>
      <c r="E2886" s="119"/>
      <c r="F2886" s="113" t="s">
        <v>62</v>
      </c>
      <c r="G2886" s="114"/>
      <c r="H2886" s="115">
        <v>18.8</v>
      </c>
      <c r="I2886" s="116"/>
    </row>
    <row r="2887" spans="1:9" s="17" customFormat="1" ht="12.75" customHeight="1" x14ac:dyDescent="0.2">
      <c r="A2887" s="65">
        <v>2878</v>
      </c>
      <c r="B2887" s="60"/>
      <c r="C2887" s="117" t="s">
        <v>4944</v>
      </c>
      <c r="D2887" s="118"/>
      <c r="E2887" s="119"/>
      <c r="F2887" s="113" t="s">
        <v>76</v>
      </c>
      <c r="G2887" s="114"/>
      <c r="H2887" s="115">
        <v>9.8000000000000007</v>
      </c>
      <c r="I2887" s="116"/>
    </row>
    <row r="2888" spans="1:9" s="17" customFormat="1" ht="12.75" customHeight="1" x14ac:dyDescent="0.2">
      <c r="A2888" s="65">
        <v>2879</v>
      </c>
      <c r="B2888" s="60"/>
      <c r="C2888" s="117" t="s">
        <v>3894</v>
      </c>
      <c r="D2888" s="118"/>
      <c r="E2888" s="119"/>
      <c r="F2888" s="125" t="s">
        <v>3652</v>
      </c>
      <c r="G2888" s="125"/>
      <c r="H2888" s="115">
        <f>32.4-1-1+2.1-2.1</f>
        <v>30.4</v>
      </c>
      <c r="I2888" s="116"/>
    </row>
    <row r="2889" spans="1:9" s="17" customFormat="1" ht="12.75" customHeight="1" x14ac:dyDescent="0.2">
      <c r="A2889" s="65">
        <v>2880</v>
      </c>
      <c r="B2889" s="60"/>
      <c r="C2889" s="117" t="s">
        <v>4873</v>
      </c>
      <c r="D2889" s="118"/>
      <c r="E2889" s="119"/>
      <c r="F2889" s="121" t="s">
        <v>245</v>
      </c>
      <c r="G2889" s="122"/>
      <c r="H2889" s="115">
        <v>31</v>
      </c>
      <c r="I2889" s="116"/>
    </row>
    <row r="2890" spans="1:9" s="17" customFormat="1" ht="12.75" customHeight="1" x14ac:dyDescent="0.2">
      <c r="A2890" s="65">
        <v>2881</v>
      </c>
      <c r="B2890" s="60"/>
      <c r="C2890" s="117" t="s">
        <v>4871</v>
      </c>
      <c r="D2890" s="118"/>
      <c r="E2890" s="119"/>
      <c r="F2890" s="121" t="s">
        <v>245</v>
      </c>
      <c r="G2890" s="122"/>
      <c r="H2890" s="115">
        <f>20.3-2-4-10</f>
        <v>4.3000000000000007</v>
      </c>
      <c r="I2890" s="116"/>
    </row>
    <row r="2891" spans="1:9" s="17" customFormat="1" ht="12" customHeight="1" x14ac:dyDescent="0.2">
      <c r="A2891" s="65">
        <v>2882</v>
      </c>
      <c r="B2891" s="60"/>
      <c r="C2891" s="117" t="s">
        <v>3895</v>
      </c>
      <c r="D2891" s="118"/>
      <c r="E2891" s="119"/>
      <c r="F2891" s="121" t="s">
        <v>2198</v>
      </c>
      <c r="G2891" s="122"/>
      <c r="H2891" s="115">
        <v>40</v>
      </c>
      <c r="I2891" s="116"/>
    </row>
    <row r="2892" spans="1:9" s="17" customFormat="1" ht="12" customHeight="1" x14ac:dyDescent="0.2">
      <c r="A2892" s="65">
        <v>2883</v>
      </c>
      <c r="B2892" s="60" t="s">
        <v>741</v>
      </c>
      <c r="C2892" s="117" t="s">
        <v>1015</v>
      </c>
      <c r="D2892" s="118"/>
      <c r="E2892" s="119"/>
      <c r="F2892" s="121" t="s">
        <v>1006</v>
      </c>
      <c r="G2892" s="122"/>
      <c r="H2892" s="115">
        <f>25+25</f>
        <v>50</v>
      </c>
      <c r="I2892" s="116"/>
    </row>
    <row r="2893" spans="1:9" s="17" customFormat="1" ht="12" customHeight="1" x14ac:dyDescent="0.2">
      <c r="A2893" s="65">
        <v>2884</v>
      </c>
      <c r="B2893" s="60" t="s">
        <v>741</v>
      </c>
      <c r="C2893" s="117" t="s">
        <v>2815</v>
      </c>
      <c r="D2893" s="118"/>
      <c r="E2893" s="119"/>
      <c r="F2893" s="121" t="s">
        <v>1006</v>
      </c>
      <c r="G2893" s="122"/>
      <c r="H2893" s="115">
        <v>25</v>
      </c>
      <c r="I2893" s="116"/>
    </row>
    <row r="2894" spans="1:9" s="17" customFormat="1" ht="12" customHeight="1" x14ac:dyDescent="0.2">
      <c r="A2894" s="65">
        <v>2885</v>
      </c>
      <c r="B2894" s="60"/>
      <c r="C2894" s="117" t="s">
        <v>4868</v>
      </c>
      <c r="D2894" s="118"/>
      <c r="E2894" s="119"/>
      <c r="F2894" s="121" t="s">
        <v>35</v>
      </c>
      <c r="G2894" s="122"/>
      <c r="H2894" s="115">
        <f>2+9.5-2-5</f>
        <v>4.5</v>
      </c>
      <c r="I2894" s="116"/>
    </row>
    <row r="2895" spans="1:9" s="17" customFormat="1" ht="12.75" customHeight="1" x14ac:dyDescent="0.2">
      <c r="A2895" s="65">
        <v>2886</v>
      </c>
      <c r="B2895" s="60"/>
      <c r="C2895" s="117" t="s">
        <v>3896</v>
      </c>
      <c r="D2895" s="118"/>
      <c r="E2895" s="119"/>
      <c r="F2895" s="121" t="s">
        <v>427</v>
      </c>
      <c r="G2895" s="122"/>
      <c r="H2895" s="115">
        <f>64-15-10</f>
        <v>39</v>
      </c>
      <c r="I2895" s="116"/>
    </row>
    <row r="2896" spans="1:9" s="17" customFormat="1" ht="12.75" customHeight="1" x14ac:dyDescent="0.2">
      <c r="A2896" s="65">
        <v>2887</v>
      </c>
      <c r="B2896" s="60"/>
      <c r="C2896" s="117" t="s">
        <v>4865</v>
      </c>
      <c r="D2896" s="118"/>
      <c r="E2896" s="119"/>
      <c r="F2896" s="121" t="s">
        <v>427</v>
      </c>
      <c r="G2896" s="122"/>
      <c r="H2896" s="115">
        <v>4.5999999999999996</v>
      </c>
      <c r="I2896" s="116"/>
    </row>
    <row r="2897" spans="1:9" s="17" customFormat="1" ht="12.75" customHeight="1" x14ac:dyDescent="0.2">
      <c r="A2897" s="65">
        <v>2888</v>
      </c>
      <c r="B2897" s="60"/>
      <c r="C2897" s="117" t="s">
        <v>2135</v>
      </c>
      <c r="D2897" s="118"/>
      <c r="E2897" s="119"/>
      <c r="F2897" s="121" t="s">
        <v>200</v>
      </c>
      <c r="G2897" s="122"/>
      <c r="H2897" s="115">
        <f>19.8-3-13.6</f>
        <v>3.2000000000000011</v>
      </c>
      <c r="I2897" s="116"/>
    </row>
    <row r="2898" spans="1:9" s="17" customFormat="1" ht="12.75" customHeight="1" x14ac:dyDescent="0.2">
      <c r="A2898" s="65">
        <v>2889</v>
      </c>
      <c r="B2898" s="60" t="s">
        <v>1624</v>
      </c>
      <c r="C2898" s="117" t="s">
        <v>2509</v>
      </c>
      <c r="D2898" s="118"/>
      <c r="E2898" s="119"/>
      <c r="F2898" s="121" t="s">
        <v>109</v>
      </c>
      <c r="G2898" s="122"/>
      <c r="H2898" s="115">
        <v>15.1</v>
      </c>
      <c r="I2898" s="116"/>
    </row>
    <row r="2899" spans="1:9" s="17" customFormat="1" ht="12.75" customHeight="1" x14ac:dyDescent="0.2">
      <c r="A2899" s="65">
        <v>2890</v>
      </c>
      <c r="B2899" s="60"/>
      <c r="C2899" s="117" t="s">
        <v>1765</v>
      </c>
      <c r="D2899" s="118"/>
      <c r="E2899" s="119"/>
      <c r="F2899" s="121" t="s">
        <v>85</v>
      </c>
      <c r="G2899" s="122"/>
      <c r="H2899" s="115">
        <v>4.2</v>
      </c>
      <c r="I2899" s="116"/>
    </row>
    <row r="2900" spans="1:9" s="17" customFormat="1" ht="11.25" customHeight="1" x14ac:dyDescent="0.2">
      <c r="A2900" s="65">
        <v>2891</v>
      </c>
      <c r="B2900" s="60"/>
      <c r="C2900" s="117" t="s">
        <v>2770</v>
      </c>
      <c r="D2900" s="118"/>
      <c r="E2900" s="119"/>
      <c r="F2900" s="121" t="s">
        <v>43</v>
      </c>
      <c r="G2900" s="122"/>
      <c r="H2900" s="115">
        <f>17.9-5</f>
        <v>12.899999999999999</v>
      </c>
      <c r="I2900" s="116"/>
    </row>
    <row r="2901" spans="1:9" s="17" customFormat="1" ht="12" customHeight="1" x14ac:dyDescent="0.2">
      <c r="A2901" s="65">
        <v>2892</v>
      </c>
      <c r="B2901" s="60"/>
      <c r="C2901" s="117" t="s">
        <v>1578</v>
      </c>
      <c r="D2901" s="118"/>
      <c r="E2901" s="119"/>
      <c r="F2901" s="113" t="s">
        <v>76</v>
      </c>
      <c r="G2901" s="114"/>
      <c r="H2901" s="115">
        <f>67.8-5.8-1.9</f>
        <v>60.1</v>
      </c>
      <c r="I2901" s="116"/>
    </row>
    <row r="2902" spans="1:9" s="17" customFormat="1" ht="12.75" customHeight="1" x14ac:dyDescent="0.2">
      <c r="A2902" s="65">
        <v>2893</v>
      </c>
      <c r="B2902" s="60"/>
      <c r="C2902" s="117" t="s">
        <v>3901</v>
      </c>
      <c r="D2902" s="118"/>
      <c r="E2902" s="119"/>
      <c r="F2902" s="113" t="s">
        <v>59</v>
      </c>
      <c r="G2902" s="114"/>
      <c r="H2902" s="115">
        <f>9.8-0.1-0.1</f>
        <v>9.6000000000000014</v>
      </c>
      <c r="I2902" s="116"/>
    </row>
    <row r="2903" spans="1:9" s="17" customFormat="1" ht="12.75" customHeight="1" x14ac:dyDescent="0.2">
      <c r="A2903" s="65">
        <v>2894</v>
      </c>
      <c r="B2903" s="60"/>
      <c r="C2903" s="117" t="s">
        <v>5231</v>
      </c>
      <c r="D2903" s="118"/>
      <c r="E2903" s="119"/>
      <c r="F2903" s="113" t="s">
        <v>29</v>
      </c>
      <c r="G2903" s="114"/>
      <c r="H2903" s="115">
        <v>13.4</v>
      </c>
      <c r="I2903" s="116"/>
    </row>
    <row r="2904" spans="1:9" s="17" customFormat="1" ht="12" customHeight="1" x14ac:dyDescent="0.2">
      <c r="A2904" s="65">
        <v>2895</v>
      </c>
      <c r="B2904" s="60"/>
      <c r="C2904" s="117" t="s">
        <v>3552</v>
      </c>
      <c r="D2904" s="118"/>
      <c r="E2904" s="119"/>
      <c r="F2904" s="121" t="s">
        <v>245</v>
      </c>
      <c r="G2904" s="122"/>
      <c r="H2904" s="115">
        <f>209.4-3.7-14-6-5-5-26.3-5-3-3-6-0.2+17.8-17.8-16.2-30-43.7-1-1</f>
        <v>40.300000000000011</v>
      </c>
      <c r="I2904" s="116"/>
    </row>
    <row r="2905" spans="1:9" s="17" customFormat="1" ht="11.25" customHeight="1" x14ac:dyDescent="0.2">
      <c r="A2905" s="65">
        <v>2896</v>
      </c>
      <c r="B2905" s="60"/>
      <c r="C2905" s="117" t="s">
        <v>1721</v>
      </c>
      <c r="D2905" s="118"/>
      <c r="E2905" s="119"/>
      <c r="F2905" s="121" t="s">
        <v>342</v>
      </c>
      <c r="G2905" s="122"/>
      <c r="H2905" s="115">
        <v>22.6</v>
      </c>
      <c r="I2905" s="116"/>
    </row>
    <row r="2906" spans="1:9" s="17" customFormat="1" ht="11.25" customHeight="1" x14ac:dyDescent="0.2">
      <c r="A2906" s="65">
        <v>2897</v>
      </c>
      <c r="B2906" s="60"/>
      <c r="C2906" s="117" t="s">
        <v>3327</v>
      </c>
      <c r="D2906" s="118"/>
      <c r="E2906" s="119"/>
      <c r="F2906" s="121" t="s">
        <v>342</v>
      </c>
      <c r="G2906" s="122"/>
      <c r="H2906" s="115">
        <v>2.2000000000000002</v>
      </c>
      <c r="I2906" s="116"/>
    </row>
    <row r="2907" spans="1:9" s="17" customFormat="1" ht="12.75" customHeight="1" x14ac:dyDescent="0.2">
      <c r="A2907" s="65">
        <v>2898</v>
      </c>
      <c r="B2907" s="60" t="s">
        <v>1624</v>
      </c>
      <c r="C2907" s="117" t="s">
        <v>4078</v>
      </c>
      <c r="D2907" s="118"/>
      <c r="E2907" s="119"/>
      <c r="F2907" s="121" t="s">
        <v>85</v>
      </c>
      <c r="G2907" s="122"/>
      <c r="H2907" s="115">
        <f>14.2+9.2</f>
        <v>23.4</v>
      </c>
      <c r="I2907" s="116"/>
    </row>
    <row r="2908" spans="1:9" s="17" customFormat="1" ht="12.75" customHeight="1" x14ac:dyDescent="0.2">
      <c r="A2908" s="65">
        <v>2899</v>
      </c>
      <c r="B2908" s="60"/>
      <c r="C2908" s="117" t="s">
        <v>178</v>
      </c>
      <c r="D2908" s="118"/>
      <c r="E2908" s="119"/>
      <c r="F2908" s="121" t="s">
        <v>56</v>
      </c>
      <c r="G2908" s="122"/>
      <c r="H2908" s="115">
        <v>22.2</v>
      </c>
      <c r="I2908" s="116"/>
    </row>
    <row r="2909" spans="1:9" s="17" customFormat="1" ht="12.75" customHeight="1" x14ac:dyDescent="0.2">
      <c r="A2909" s="65">
        <v>2900</v>
      </c>
      <c r="B2909" s="60"/>
      <c r="C2909" s="117" t="s">
        <v>3457</v>
      </c>
      <c r="D2909" s="118"/>
      <c r="E2909" s="119"/>
      <c r="F2909" s="113" t="s">
        <v>29</v>
      </c>
      <c r="G2909" s="114"/>
      <c r="H2909" s="115">
        <v>124.6</v>
      </c>
      <c r="I2909" s="116"/>
    </row>
    <row r="2910" spans="1:9" s="17" customFormat="1" ht="12.75" customHeight="1" x14ac:dyDescent="0.2">
      <c r="A2910" s="65">
        <v>2901</v>
      </c>
      <c r="B2910" s="60"/>
      <c r="C2910" s="117" t="s">
        <v>2732</v>
      </c>
      <c r="D2910" s="118"/>
      <c r="E2910" s="119"/>
      <c r="F2910" s="113" t="s">
        <v>29</v>
      </c>
      <c r="G2910" s="114"/>
      <c r="H2910" s="115">
        <f>37-3-1-1.5-2+2-2-2</f>
        <v>27.5</v>
      </c>
      <c r="I2910" s="116"/>
    </row>
    <row r="2911" spans="1:9" s="17" customFormat="1" ht="12.75" customHeight="1" x14ac:dyDescent="0.2">
      <c r="A2911" s="65">
        <v>2902</v>
      </c>
      <c r="B2911" s="60"/>
      <c r="C2911" s="117" t="s">
        <v>2629</v>
      </c>
      <c r="D2911" s="118"/>
      <c r="E2911" s="119"/>
      <c r="F2911" s="113" t="s">
        <v>29</v>
      </c>
      <c r="G2911" s="114"/>
      <c r="H2911" s="115">
        <f>21.1-3.8+14.5-1.8-0.6-14.2+13.9-2.5+7.7+8.5-7.7+4.8-4.8-8.5</f>
        <v>26.6</v>
      </c>
      <c r="I2911" s="116"/>
    </row>
    <row r="2912" spans="1:9" s="17" customFormat="1" ht="12.75" customHeight="1" x14ac:dyDescent="0.2">
      <c r="A2912" s="65">
        <v>2903</v>
      </c>
      <c r="B2912" s="60"/>
      <c r="C2912" s="117" t="s">
        <v>4200</v>
      </c>
      <c r="D2912" s="118"/>
      <c r="E2912" s="119"/>
      <c r="F2912" s="125" t="s">
        <v>62</v>
      </c>
      <c r="G2912" s="125"/>
      <c r="H2912" s="115">
        <f>14.7+4.1+23.2</f>
        <v>42</v>
      </c>
      <c r="I2912" s="116"/>
    </row>
    <row r="2913" spans="1:9" s="17" customFormat="1" ht="12.75" customHeight="1" x14ac:dyDescent="0.2">
      <c r="A2913" s="65">
        <v>2904</v>
      </c>
      <c r="B2913" s="60"/>
      <c r="C2913" s="117" t="s">
        <v>4009</v>
      </c>
      <c r="D2913" s="118"/>
      <c r="E2913" s="119"/>
      <c r="F2913" s="113" t="s">
        <v>29</v>
      </c>
      <c r="G2913" s="114"/>
      <c r="H2913" s="115">
        <v>25.3</v>
      </c>
      <c r="I2913" s="116"/>
    </row>
    <row r="2914" spans="1:9" s="17" customFormat="1" ht="25.5" customHeight="1" x14ac:dyDescent="0.2">
      <c r="A2914" s="65">
        <v>2905</v>
      </c>
      <c r="B2914" s="60"/>
      <c r="C2914" s="117" t="s">
        <v>4672</v>
      </c>
      <c r="D2914" s="118"/>
      <c r="E2914" s="119"/>
      <c r="F2914" s="113" t="s">
        <v>57</v>
      </c>
      <c r="G2914" s="114"/>
      <c r="H2914" s="115">
        <f>63.8+27.7+85.2+81.3+6.6-1</f>
        <v>263.60000000000002</v>
      </c>
      <c r="I2914" s="116"/>
    </row>
    <row r="2915" spans="1:9" s="17" customFormat="1" ht="12.75" customHeight="1" x14ac:dyDescent="0.2">
      <c r="A2915" s="65">
        <v>2906</v>
      </c>
      <c r="B2915" s="60"/>
      <c r="C2915" s="117" t="s">
        <v>3988</v>
      </c>
      <c r="D2915" s="118"/>
      <c r="E2915" s="119"/>
      <c r="F2915" s="113" t="s">
        <v>59</v>
      </c>
      <c r="G2915" s="113"/>
      <c r="H2915" s="115">
        <f>6.8+11.5+9-3-1-1-16.3</f>
        <v>6</v>
      </c>
      <c r="I2915" s="116"/>
    </row>
    <row r="2916" spans="1:9" s="17" customFormat="1" ht="12.75" customHeight="1" x14ac:dyDescent="0.2">
      <c r="A2916" s="65">
        <v>2907</v>
      </c>
      <c r="B2916" s="60"/>
      <c r="C2916" s="117" t="s">
        <v>3134</v>
      </c>
      <c r="D2916" s="118"/>
      <c r="E2916" s="119"/>
      <c r="F2916" s="125" t="s">
        <v>57</v>
      </c>
      <c r="G2916" s="125"/>
      <c r="H2916" s="115">
        <v>44.5</v>
      </c>
      <c r="I2916" s="115"/>
    </row>
    <row r="2917" spans="1:9" s="17" customFormat="1" ht="12" customHeight="1" x14ac:dyDescent="0.2">
      <c r="A2917" s="65">
        <v>2908</v>
      </c>
      <c r="B2917" s="60"/>
      <c r="C2917" s="117" t="s">
        <v>1165</v>
      </c>
      <c r="D2917" s="117"/>
      <c r="E2917" s="117"/>
      <c r="F2917" s="113" t="s">
        <v>76</v>
      </c>
      <c r="G2917" s="114"/>
      <c r="H2917" s="115">
        <v>60.4</v>
      </c>
      <c r="I2917" s="116"/>
    </row>
    <row r="2918" spans="1:9" s="17" customFormat="1" ht="12.75" customHeight="1" x14ac:dyDescent="0.2">
      <c r="A2918" s="65">
        <v>2909</v>
      </c>
      <c r="B2918" s="60"/>
      <c r="C2918" s="117" t="s">
        <v>4080</v>
      </c>
      <c r="D2918" s="118"/>
      <c r="E2918" s="119"/>
      <c r="F2918" s="121" t="s">
        <v>55</v>
      </c>
      <c r="G2918" s="122"/>
      <c r="H2918" s="115">
        <v>4.3</v>
      </c>
      <c r="I2918" s="116"/>
    </row>
    <row r="2919" spans="1:9" s="17" customFormat="1" ht="12" customHeight="1" x14ac:dyDescent="0.2">
      <c r="A2919" s="65">
        <v>2910</v>
      </c>
      <c r="B2919" s="60"/>
      <c r="C2919" s="117" t="s">
        <v>4867</v>
      </c>
      <c r="D2919" s="118"/>
      <c r="E2919" s="119"/>
      <c r="F2919" s="121" t="s">
        <v>35</v>
      </c>
      <c r="G2919" s="122"/>
      <c r="H2919" s="115">
        <v>8.9</v>
      </c>
      <c r="I2919" s="116"/>
    </row>
    <row r="2920" spans="1:9" s="17" customFormat="1" ht="12.75" customHeight="1" x14ac:dyDescent="0.2">
      <c r="A2920" s="65">
        <v>2911</v>
      </c>
      <c r="B2920" s="60"/>
      <c r="C2920" s="117" t="s">
        <v>1411</v>
      </c>
      <c r="D2920" s="118"/>
      <c r="E2920" s="119"/>
      <c r="F2920" s="121" t="s">
        <v>13</v>
      </c>
      <c r="G2920" s="122"/>
      <c r="H2920" s="115">
        <f>135.5+2.1+3.9-135.5+11.3-3.9-3.4</f>
        <v>10</v>
      </c>
      <c r="I2920" s="116"/>
    </row>
    <row r="2921" spans="1:9" s="17" customFormat="1" ht="12" customHeight="1" x14ac:dyDescent="0.2">
      <c r="A2921" s="65">
        <v>2912</v>
      </c>
      <c r="B2921" s="60"/>
      <c r="C2921" s="117" t="s">
        <v>876</v>
      </c>
      <c r="D2921" s="118"/>
      <c r="E2921" s="119"/>
      <c r="F2921" s="121" t="s">
        <v>1006</v>
      </c>
      <c r="G2921" s="122"/>
      <c r="H2921" s="115">
        <f>275-25-25</f>
        <v>225</v>
      </c>
      <c r="I2921" s="116"/>
    </row>
    <row r="2922" spans="1:9" s="17" customFormat="1" ht="12.75" customHeight="1" x14ac:dyDescent="0.2">
      <c r="A2922" s="65">
        <v>2913</v>
      </c>
      <c r="B2922" s="60"/>
      <c r="C2922" s="117" t="s">
        <v>688</v>
      </c>
      <c r="D2922" s="118"/>
      <c r="E2922" s="119"/>
      <c r="F2922" s="121" t="s">
        <v>3651</v>
      </c>
      <c r="G2922" s="122"/>
      <c r="H2922" s="115">
        <f>200-25-25-25</f>
        <v>125</v>
      </c>
      <c r="I2922" s="116"/>
    </row>
    <row r="2923" spans="1:9" s="17" customFormat="1" ht="12.75" customHeight="1" x14ac:dyDescent="0.2">
      <c r="A2923" s="65">
        <v>2914</v>
      </c>
      <c r="B2923" s="60"/>
      <c r="C2923" s="117" t="s">
        <v>4295</v>
      </c>
      <c r="D2923" s="118"/>
      <c r="E2923" s="119"/>
      <c r="F2923" s="121" t="s">
        <v>17</v>
      </c>
      <c r="G2923" s="122"/>
      <c r="H2923" s="115">
        <f>19.4+4.5-1</f>
        <v>22.9</v>
      </c>
      <c r="I2923" s="116"/>
    </row>
    <row r="2924" spans="1:9" s="17" customFormat="1" ht="12.75" customHeight="1" x14ac:dyDescent="0.2">
      <c r="A2924" s="65">
        <v>2915</v>
      </c>
      <c r="B2924" s="60"/>
      <c r="C2924" s="117" t="s">
        <v>4297</v>
      </c>
      <c r="D2924" s="118"/>
      <c r="E2924" s="119"/>
      <c r="F2924" s="121" t="s">
        <v>17</v>
      </c>
      <c r="G2924" s="122"/>
      <c r="H2924" s="115">
        <v>23.6</v>
      </c>
      <c r="I2924" s="116"/>
    </row>
    <row r="2925" spans="1:9" s="17" customFormat="1" ht="12.75" customHeight="1" x14ac:dyDescent="0.2">
      <c r="A2925" s="65">
        <v>2916</v>
      </c>
      <c r="B2925" s="60"/>
      <c r="C2925" s="117" t="s">
        <v>4296</v>
      </c>
      <c r="D2925" s="118"/>
      <c r="E2925" s="119"/>
      <c r="F2925" s="121" t="s">
        <v>17</v>
      </c>
      <c r="G2925" s="122"/>
      <c r="H2925" s="115">
        <v>46</v>
      </c>
      <c r="I2925" s="116"/>
    </row>
    <row r="2926" spans="1:9" s="17" customFormat="1" ht="12" customHeight="1" x14ac:dyDescent="0.2">
      <c r="A2926" s="65">
        <v>2917</v>
      </c>
      <c r="B2926" s="60"/>
      <c r="C2926" s="117" t="s">
        <v>689</v>
      </c>
      <c r="D2926" s="118"/>
      <c r="E2926" s="119"/>
      <c r="F2926" s="121" t="s">
        <v>690</v>
      </c>
      <c r="G2926" s="122"/>
      <c r="H2926" s="115">
        <v>25</v>
      </c>
      <c r="I2926" s="116"/>
    </row>
    <row r="2927" spans="1:9" s="17" customFormat="1" ht="12.75" customHeight="1" x14ac:dyDescent="0.2">
      <c r="A2927" s="65">
        <v>2918</v>
      </c>
      <c r="B2927" s="60"/>
      <c r="C2927" s="117" t="s">
        <v>188</v>
      </c>
      <c r="D2927" s="118"/>
      <c r="E2927" s="119"/>
      <c r="F2927" s="121" t="s">
        <v>1175</v>
      </c>
      <c r="G2927" s="122"/>
      <c r="H2927" s="115">
        <v>25</v>
      </c>
      <c r="I2927" s="116"/>
    </row>
    <row r="2928" spans="1:9" s="17" customFormat="1" ht="22.5" customHeight="1" x14ac:dyDescent="0.2">
      <c r="A2928" s="65">
        <v>2919</v>
      </c>
      <c r="B2928" s="60"/>
      <c r="C2928" s="117" t="s">
        <v>2411</v>
      </c>
      <c r="D2928" s="118"/>
      <c r="E2928" s="119"/>
      <c r="F2928" s="121" t="s">
        <v>56</v>
      </c>
      <c r="G2928" s="122"/>
      <c r="H2928" s="115">
        <f>62.6+3.7+3.9+26.5-3.7-9.2-1-2-3.9-3+4.9+52-18.5+7.6+10.8+6.3+30.8-1-2.6-4.1-1+30.8-1</f>
        <v>188.90000000000006</v>
      </c>
      <c r="I2928" s="116"/>
    </row>
    <row r="2929" spans="1:9" s="17" customFormat="1" x14ac:dyDescent="0.2">
      <c r="A2929" s="65">
        <v>2920</v>
      </c>
      <c r="B2929" s="60"/>
      <c r="C2929" s="117" t="s">
        <v>4389</v>
      </c>
      <c r="D2929" s="118"/>
      <c r="E2929" s="119"/>
      <c r="F2929" s="121" t="s">
        <v>56</v>
      </c>
      <c r="G2929" s="122"/>
      <c r="H2929" s="115">
        <f>10.4-1</f>
        <v>9.4</v>
      </c>
      <c r="I2929" s="116"/>
    </row>
    <row r="2930" spans="1:9" s="17" customFormat="1" ht="12.75" customHeight="1" x14ac:dyDescent="0.2">
      <c r="A2930" s="65">
        <v>2921</v>
      </c>
      <c r="B2930" s="60"/>
      <c r="C2930" s="117" t="s">
        <v>4864</v>
      </c>
      <c r="D2930" s="118"/>
      <c r="E2930" s="119"/>
      <c r="F2930" s="121" t="s">
        <v>427</v>
      </c>
      <c r="G2930" s="122"/>
      <c r="H2930" s="115">
        <v>9.8000000000000007</v>
      </c>
      <c r="I2930" s="116"/>
    </row>
    <row r="2931" spans="1:9" s="17" customFormat="1" ht="12.75" customHeight="1" x14ac:dyDescent="0.2">
      <c r="A2931" s="65">
        <v>2922</v>
      </c>
      <c r="B2931" s="60"/>
      <c r="C2931" s="117" t="s">
        <v>1190</v>
      </c>
      <c r="D2931" s="118"/>
      <c r="E2931" s="119"/>
      <c r="F2931" s="121" t="s">
        <v>200</v>
      </c>
      <c r="G2931" s="122"/>
      <c r="H2931" s="115">
        <f>19.3-1.1-4.5+5.9-5.9-0.9-1</f>
        <v>11.8</v>
      </c>
      <c r="I2931" s="116"/>
    </row>
    <row r="2932" spans="1:9" s="17" customFormat="1" ht="11.25" customHeight="1" x14ac:dyDescent="0.2">
      <c r="A2932" s="65">
        <v>2923</v>
      </c>
      <c r="B2932" s="60"/>
      <c r="C2932" s="117" t="s">
        <v>1744</v>
      </c>
      <c r="D2932" s="118"/>
      <c r="E2932" s="119"/>
      <c r="F2932" s="121" t="s">
        <v>342</v>
      </c>
      <c r="G2932" s="122"/>
      <c r="H2932" s="115">
        <f>28+63.7</f>
        <v>91.7</v>
      </c>
      <c r="I2932" s="116"/>
    </row>
    <row r="2933" spans="1:9" s="17" customFormat="1" ht="11.25" customHeight="1" x14ac:dyDescent="0.2">
      <c r="A2933" s="65">
        <v>2924</v>
      </c>
      <c r="B2933" s="60"/>
      <c r="C2933" s="117" t="s">
        <v>2724</v>
      </c>
      <c r="D2933" s="118"/>
      <c r="E2933" s="119"/>
      <c r="F2933" s="121" t="s">
        <v>342</v>
      </c>
      <c r="G2933" s="122"/>
      <c r="H2933" s="115">
        <v>40</v>
      </c>
      <c r="I2933" s="116"/>
    </row>
    <row r="2934" spans="1:9" s="17" customFormat="1" ht="12" customHeight="1" x14ac:dyDescent="0.2">
      <c r="A2934" s="65">
        <v>2925</v>
      </c>
      <c r="B2934" s="60"/>
      <c r="C2934" s="117" t="s">
        <v>734</v>
      </c>
      <c r="D2934" s="118"/>
      <c r="E2934" s="119"/>
      <c r="F2934" s="121" t="s">
        <v>107</v>
      </c>
      <c r="G2934" s="122"/>
      <c r="H2934" s="115">
        <f>15.8-1.8</f>
        <v>14</v>
      </c>
      <c r="I2934" s="116"/>
    </row>
    <row r="2935" spans="1:9" s="17" customFormat="1" ht="12.75" customHeight="1" x14ac:dyDescent="0.2">
      <c r="A2935" s="65">
        <v>2926</v>
      </c>
      <c r="B2935" s="60"/>
      <c r="C2935" s="117" t="s">
        <v>3490</v>
      </c>
      <c r="D2935" s="118"/>
      <c r="E2935" s="119"/>
      <c r="F2935" s="121" t="s">
        <v>85</v>
      </c>
      <c r="G2935" s="122"/>
      <c r="H2935" s="115">
        <f>39-23.2-1</f>
        <v>14.8</v>
      </c>
      <c r="I2935" s="116"/>
    </row>
    <row r="2936" spans="1:9" s="17" customFormat="1" ht="12" customHeight="1" x14ac:dyDescent="0.2">
      <c r="A2936" s="65">
        <v>2927</v>
      </c>
      <c r="B2936" s="60"/>
      <c r="C2936" s="117" t="s">
        <v>476</v>
      </c>
      <c r="D2936" s="118"/>
      <c r="E2936" s="119"/>
      <c r="F2936" s="121" t="s">
        <v>1085</v>
      </c>
      <c r="G2936" s="122"/>
      <c r="H2936" s="115">
        <v>17</v>
      </c>
      <c r="I2936" s="116"/>
    </row>
    <row r="2937" spans="1:9" s="17" customFormat="1" ht="12.75" customHeight="1" x14ac:dyDescent="0.2">
      <c r="A2937" s="65">
        <v>2928</v>
      </c>
      <c r="B2937" s="60"/>
      <c r="C2937" s="117" t="s">
        <v>4668</v>
      </c>
      <c r="D2937" s="118"/>
      <c r="E2937" s="119"/>
      <c r="F2937" s="121" t="s">
        <v>4666</v>
      </c>
      <c r="G2937" s="122"/>
      <c r="H2937" s="115">
        <v>30</v>
      </c>
      <c r="I2937" s="116"/>
    </row>
    <row r="2938" spans="1:9" s="17" customFormat="1" ht="12" customHeight="1" x14ac:dyDescent="0.2">
      <c r="A2938" s="65">
        <v>2929</v>
      </c>
      <c r="B2938" s="60"/>
      <c r="C2938" s="117" t="s">
        <v>1086</v>
      </c>
      <c r="D2938" s="118"/>
      <c r="E2938" s="119"/>
      <c r="F2938" s="113" t="s">
        <v>76</v>
      </c>
      <c r="G2938" s="114"/>
      <c r="H2938" s="115">
        <v>34.700000000000003</v>
      </c>
      <c r="I2938" s="116"/>
    </row>
    <row r="2939" spans="1:9" s="17" customFormat="1" ht="12.75" customHeight="1" x14ac:dyDescent="0.2">
      <c r="A2939" s="65">
        <v>2930</v>
      </c>
      <c r="B2939" s="60"/>
      <c r="C2939" s="130" t="s">
        <v>806</v>
      </c>
      <c r="D2939" s="131"/>
      <c r="E2939" s="132"/>
      <c r="F2939" s="113" t="s">
        <v>76</v>
      </c>
      <c r="G2939" s="114"/>
      <c r="H2939" s="115">
        <v>11.7</v>
      </c>
      <c r="I2939" s="116"/>
    </row>
    <row r="2940" spans="1:9" s="17" customFormat="1" ht="12" customHeight="1" x14ac:dyDescent="0.2">
      <c r="A2940" s="65">
        <v>2931</v>
      </c>
      <c r="B2940" s="60"/>
      <c r="C2940" s="117" t="s">
        <v>712</v>
      </c>
      <c r="D2940" s="118"/>
      <c r="E2940" s="119"/>
      <c r="F2940" s="113" t="s">
        <v>76</v>
      </c>
      <c r="G2940" s="114"/>
      <c r="H2940" s="115">
        <v>48.3</v>
      </c>
      <c r="I2940" s="116"/>
    </row>
    <row r="2941" spans="1:9" s="17" customFormat="1" ht="24.75" customHeight="1" x14ac:dyDescent="0.2">
      <c r="A2941" s="65">
        <v>2932</v>
      </c>
      <c r="B2941" s="60"/>
      <c r="C2941" s="117" t="s">
        <v>4924</v>
      </c>
      <c r="D2941" s="118"/>
      <c r="E2941" s="119"/>
      <c r="F2941" s="113" t="s">
        <v>76</v>
      </c>
      <c r="G2941" s="114"/>
      <c r="H2941" s="115">
        <f>22.8+74-0.6+14.2+5+12.2+8.8+48.3-12.2-0.4-22.2-5-13.8+22.2-4+2.7-8.8-0.1-21.8-2.7-100.4+10-10+30.7+74-1+6.2+2.8-2.8+2.8+8.1+4.4+6.4+16-6.2+26.5+1.8+16.5+9-3+3.9+49.1+20+6.6+6.3+15.2-2.8-1.8+12.5-74+4.8-22.8-16.5-1.8-3.5-29.4+13.7+5.6-12.5-4.4-6.6-1.1-1-4.6-1-3.8</f>
        <v>160.5</v>
      </c>
      <c r="I2941" s="116"/>
    </row>
    <row r="2942" spans="1:9" s="17" customFormat="1" ht="12.75" customHeight="1" x14ac:dyDescent="0.2">
      <c r="A2942" s="65">
        <v>2933</v>
      </c>
      <c r="B2942" s="60"/>
      <c r="C2942" s="117" t="s">
        <v>5190</v>
      </c>
      <c r="D2942" s="118"/>
      <c r="E2942" s="119"/>
      <c r="F2942" s="113" t="s">
        <v>76</v>
      </c>
      <c r="G2942" s="114"/>
      <c r="H2942" s="115">
        <f>13.1+15.6-13.1-4.2-5+26.4+0.1-3.1</f>
        <v>29.799999999999997</v>
      </c>
      <c r="I2942" s="116"/>
    </row>
    <row r="2943" spans="1:9" s="17" customFormat="1" ht="12.75" customHeight="1" x14ac:dyDescent="0.2">
      <c r="A2943" s="65">
        <v>2934</v>
      </c>
      <c r="B2943" s="60"/>
      <c r="C2943" s="117" t="s">
        <v>4125</v>
      </c>
      <c r="D2943" s="118"/>
      <c r="E2943" s="119"/>
      <c r="F2943" s="113" t="s">
        <v>59</v>
      </c>
      <c r="G2943" s="114"/>
      <c r="H2943" s="115">
        <v>7.4</v>
      </c>
      <c r="I2943" s="116"/>
    </row>
    <row r="2944" spans="1:9" s="17" customFormat="1" ht="28.5" customHeight="1" x14ac:dyDescent="0.2">
      <c r="A2944" s="65">
        <v>2935</v>
      </c>
      <c r="B2944" s="60"/>
      <c r="C2944" s="117" t="s">
        <v>5353</v>
      </c>
      <c r="D2944" s="118"/>
      <c r="E2944" s="119"/>
      <c r="F2944" s="113" t="s">
        <v>59</v>
      </c>
      <c r="G2944" s="114"/>
      <c r="H2944" s="115">
        <f>708.2-7.2-2-10-34.2-0.3-16-10.2-18-10.3-13-0.9-15.2-101.2-18.5-50-11-30.5-10.1-1.7-9.7-1-1-1-1-3</f>
        <v>331.2</v>
      </c>
      <c r="I2944" s="116"/>
    </row>
    <row r="2945" spans="1:9" s="17" customFormat="1" ht="12.75" customHeight="1" x14ac:dyDescent="0.2">
      <c r="A2945" s="65">
        <v>2936</v>
      </c>
      <c r="B2945" s="60"/>
      <c r="C2945" s="117" t="s">
        <v>4133</v>
      </c>
      <c r="D2945" s="118"/>
      <c r="E2945" s="119"/>
      <c r="F2945" s="113" t="s">
        <v>59</v>
      </c>
      <c r="G2945" s="114"/>
      <c r="H2945" s="115">
        <f>20.7+112-4.7+28.6</f>
        <v>156.6</v>
      </c>
      <c r="I2945" s="116"/>
    </row>
    <row r="2946" spans="1:9" s="17" customFormat="1" ht="12.75" customHeight="1" x14ac:dyDescent="0.2">
      <c r="A2946" s="65">
        <v>2937</v>
      </c>
      <c r="B2946" s="60"/>
      <c r="C2946" s="117" t="s">
        <v>1621</v>
      </c>
      <c r="D2946" s="118"/>
      <c r="E2946" s="119"/>
      <c r="F2946" s="113" t="s">
        <v>3652</v>
      </c>
      <c r="G2946" s="114"/>
      <c r="H2946" s="115">
        <f>158.6+14.5+2.7-32.7-5.4-33.5</f>
        <v>104.19999999999996</v>
      </c>
      <c r="I2946" s="116"/>
    </row>
    <row r="2947" spans="1:9" s="17" customFormat="1" ht="12" customHeight="1" x14ac:dyDescent="0.2">
      <c r="A2947" s="65">
        <v>2938</v>
      </c>
      <c r="B2947" s="60"/>
      <c r="C2947" s="117" t="s">
        <v>4866</v>
      </c>
      <c r="D2947" s="118"/>
      <c r="E2947" s="119"/>
      <c r="F2947" s="121" t="s">
        <v>35</v>
      </c>
      <c r="G2947" s="122"/>
      <c r="H2947" s="115">
        <f>4.9+22+56.7</f>
        <v>83.6</v>
      </c>
      <c r="I2947" s="116"/>
    </row>
    <row r="2948" spans="1:9" s="17" customFormat="1" ht="12" customHeight="1" x14ac:dyDescent="0.2">
      <c r="A2948" s="65">
        <v>2939</v>
      </c>
      <c r="B2948" s="60"/>
      <c r="C2948" s="117" t="s">
        <v>1511</v>
      </c>
      <c r="D2948" s="118"/>
      <c r="E2948" s="119"/>
      <c r="F2948" s="113" t="s">
        <v>76</v>
      </c>
      <c r="G2948" s="114"/>
      <c r="H2948" s="115">
        <f>49.4+42+73.8-0.1-1.5</f>
        <v>163.6</v>
      </c>
      <c r="I2948" s="116"/>
    </row>
    <row r="2949" spans="1:9" s="17" customFormat="1" ht="12" customHeight="1" x14ac:dyDescent="0.2">
      <c r="A2949" s="65">
        <v>2940</v>
      </c>
      <c r="B2949" s="60"/>
      <c r="C2949" s="117" t="s">
        <v>822</v>
      </c>
      <c r="D2949" s="118"/>
      <c r="E2949" s="119"/>
      <c r="F2949" s="121" t="s">
        <v>1175</v>
      </c>
      <c r="G2949" s="122"/>
      <c r="H2949" s="115">
        <f>5.9+5.6+128.5</f>
        <v>140</v>
      </c>
      <c r="I2949" s="116"/>
    </row>
    <row r="2950" spans="1:9" s="17" customFormat="1" ht="12" customHeight="1" x14ac:dyDescent="0.2">
      <c r="A2950" s="65">
        <v>2941</v>
      </c>
      <c r="B2950" s="60"/>
      <c r="C2950" s="130" t="s">
        <v>548</v>
      </c>
      <c r="D2950" s="131"/>
      <c r="E2950" s="132"/>
      <c r="F2950" s="113" t="s">
        <v>76</v>
      </c>
      <c r="G2950" s="114"/>
      <c r="H2950" s="115"/>
      <c r="I2950" s="116"/>
    </row>
    <row r="2951" spans="1:9" s="17" customFormat="1" ht="12.75" customHeight="1" x14ac:dyDescent="0.2">
      <c r="A2951" s="65">
        <v>2942</v>
      </c>
      <c r="B2951" s="60"/>
      <c r="C2951" s="117" t="s">
        <v>1089</v>
      </c>
      <c r="D2951" s="118"/>
      <c r="E2951" s="119"/>
      <c r="F2951" s="121" t="s">
        <v>1006</v>
      </c>
      <c r="G2951" s="122"/>
      <c r="H2951" s="115">
        <v>13.7</v>
      </c>
      <c r="I2951" s="116"/>
    </row>
    <row r="2952" spans="1:9" s="17" customFormat="1" ht="12" customHeight="1" x14ac:dyDescent="0.2">
      <c r="A2952" s="65">
        <v>2943</v>
      </c>
      <c r="B2952" s="60"/>
      <c r="C2952" s="117" t="s">
        <v>1090</v>
      </c>
      <c r="D2952" s="118"/>
      <c r="E2952" s="119"/>
      <c r="F2952" s="121" t="s">
        <v>1006</v>
      </c>
      <c r="G2952" s="122"/>
      <c r="H2952" s="115">
        <v>75</v>
      </c>
      <c r="I2952" s="116"/>
    </row>
    <row r="2953" spans="1:9" s="17" customFormat="1" ht="12" customHeight="1" x14ac:dyDescent="0.2">
      <c r="A2953" s="65">
        <v>2944</v>
      </c>
      <c r="B2953" s="60"/>
      <c r="C2953" s="117" t="s">
        <v>4589</v>
      </c>
      <c r="D2953" s="118"/>
      <c r="E2953" s="119"/>
      <c r="F2953" s="121" t="s">
        <v>17</v>
      </c>
      <c r="G2953" s="122"/>
      <c r="H2953" s="115">
        <f>8.8+6.1+24.7+12.7+30.4-12.7+20.4-53.9-1.8-10-0.1-18.5</f>
        <v>6.0999999999999801</v>
      </c>
      <c r="I2953" s="116"/>
    </row>
    <row r="2954" spans="1:9" s="17" customFormat="1" ht="12" customHeight="1" x14ac:dyDescent="0.2">
      <c r="A2954" s="65">
        <v>2945</v>
      </c>
      <c r="B2954" s="60"/>
      <c r="C2954" s="117" t="s">
        <v>5064</v>
      </c>
      <c r="D2954" s="118"/>
      <c r="E2954" s="119"/>
      <c r="F2954" s="121" t="s">
        <v>56</v>
      </c>
      <c r="G2954" s="122"/>
      <c r="H2954" s="115">
        <f>99.7-1-6.8-5.5+13.8+16.7-2.2+11.9-1-7.3-4.2+4.7-6-1-20.1</f>
        <v>91.700000000000017</v>
      </c>
      <c r="I2954" s="116"/>
    </row>
    <row r="2955" spans="1:9" s="17" customFormat="1" ht="12.75" customHeight="1" x14ac:dyDescent="0.2">
      <c r="A2955" s="65">
        <v>2946</v>
      </c>
      <c r="B2955" s="60"/>
      <c r="C2955" s="117" t="s">
        <v>364</v>
      </c>
      <c r="D2955" s="118"/>
      <c r="E2955" s="119"/>
      <c r="F2955" s="121" t="s">
        <v>56</v>
      </c>
      <c r="G2955" s="122"/>
      <c r="H2955" s="115">
        <v>73.599999999999994</v>
      </c>
      <c r="I2955" s="116"/>
    </row>
    <row r="2956" spans="1:9" s="17" customFormat="1" ht="12" customHeight="1" x14ac:dyDescent="0.2">
      <c r="A2956" s="65">
        <v>2947</v>
      </c>
      <c r="B2956" s="60"/>
      <c r="C2956" s="117" t="s">
        <v>356</v>
      </c>
      <c r="D2956" s="118"/>
      <c r="E2956" s="119"/>
      <c r="F2956" s="121" t="s">
        <v>107</v>
      </c>
      <c r="G2956" s="122"/>
      <c r="H2956" s="115">
        <v>14.5</v>
      </c>
      <c r="I2956" s="116"/>
    </row>
    <row r="2957" spans="1:9" s="17" customFormat="1" ht="12.75" customHeight="1" x14ac:dyDescent="0.2">
      <c r="A2957" s="65">
        <v>2948</v>
      </c>
      <c r="B2957" s="60" t="s">
        <v>1624</v>
      </c>
      <c r="C2957" s="117" t="s">
        <v>4894</v>
      </c>
      <c r="D2957" s="118"/>
      <c r="E2957" s="119"/>
      <c r="F2957" s="121" t="s">
        <v>85</v>
      </c>
      <c r="G2957" s="122"/>
      <c r="H2957" s="115">
        <f>49+11.4-23</f>
        <v>37.4</v>
      </c>
      <c r="I2957" s="116"/>
    </row>
    <row r="2958" spans="1:9" s="17" customFormat="1" ht="12" customHeight="1" x14ac:dyDescent="0.2">
      <c r="A2958" s="65">
        <v>2949</v>
      </c>
      <c r="B2958" s="60"/>
      <c r="C2958" s="117" t="s">
        <v>2204</v>
      </c>
      <c r="D2958" s="118"/>
      <c r="E2958" s="119"/>
      <c r="F2958" s="113" t="s">
        <v>76</v>
      </c>
      <c r="G2958" s="114"/>
      <c r="H2958" s="115">
        <f>43-0.3</f>
        <v>42.7</v>
      </c>
      <c r="I2958" s="116"/>
    </row>
    <row r="2959" spans="1:9" s="17" customFormat="1" ht="12.75" customHeight="1" x14ac:dyDescent="0.2">
      <c r="A2959" s="65">
        <v>2950</v>
      </c>
      <c r="B2959" s="60"/>
      <c r="C2959" s="130" t="s">
        <v>3341</v>
      </c>
      <c r="D2959" s="131"/>
      <c r="E2959" s="132"/>
      <c r="F2959" s="113" t="s">
        <v>76</v>
      </c>
      <c r="G2959" s="114"/>
      <c r="H2959" s="115">
        <f>32.2-4.5+3.1</f>
        <v>30.800000000000004</v>
      </c>
      <c r="I2959" s="116"/>
    </row>
    <row r="2960" spans="1:9" s="17" customFormat="1" ht="12.75" customHeight="1" x14ac:dyDescent="0.2">
      <c r="A2960" s="65">
        <v>2951</v>
      </c>
      <c r="B2960" s="60"/>
      <c r="C2960" s="130" t="s">
        <v>3357</v>
      </c>
      <c r="D2960" s="131"/>
      <c r="E2960" s="132"/>
      <c r="F2960" s="113" t="s">
        <v>76</v>
      </c>
      <c r="G2960" s="114"/>
      <c r="H2960" s="115">
        <f>20.5-1.7</f>
        <v>18.8</v>
      </c>
      <c r="I2960" s="116"/>
    </row>
    <row r="2961" spans="1:9" s="17" customFormat="1" ht="12.75" customHeight="1" x14ac:dyDescent="0.2">
      <c r="A2961" s="65">
        <v>2952</v>
      </c>
      <c r="B2961" s="60"/>
      <c r="C2961" s="130" t="s">
        <v>3155</v>
      </c>
      <c r="D2961" s="131"/>
      <c r="E2961" s="132"/>
      <c r="F2961" s="113" t="s">
        <v>76</v>
      </c>
      <c r="G2961" s="114"/>
      <c r="H2961" s="115">
        <f>72.5-2</f>
        <v>70.5</v>
      </c>
      <c r="I2961" s="116"/>
    </row>
    <row r="2962" spans="1:9" s="17" customFormat="1" ht="12" customHeight="1" x14ac:dyDescent="0.2">
      <c r="A2962" s="65">
        <v>2953</v>
      </c>
      <c r="B2962" s="60"/>
      <c r="C2962" s="117" t="s">
        <v>4673</v>
      </c>
      <c r="D2962" s="118"/>
      <c r="E2962" s="119"/>
      <c r="F2962" s="113" t="s">
        <v>59</v>
      </c>
      <c r="G2962" s="114"/>
      <c r="H2962" s="115">
        <f>81+5.6-5.6-38-5-37.4-0.2+25.2-3-8.7+102.5-102.5-3.2+5.2+36.2-1.7-5.2-0.5-10.3-1-3.3-0.4-1</f>
        <v>28.700000000000006</v>
      </c>
      <c r="I2962" s="116"/>
    </row>
    <row r="2963" spans="1:9" s="17" customFormat="1" ht="12.75" customHeight="1" x14ac:dyDescent="0.2">
      <c r="A2963" s="65">
        <v>2954</v>
      </c>
      <c r="B2963" s="60"/>
      <c r="C2963" s="117" t="s">
        <v>1876</v>
      </c>
      <c r="D2963" s="118"/>
      <c r="E2963" s="119"/>
      <c r="F2963" s="113" t="s">
        <v>76</v>
      </c>
      <c r="G2963" s="114"/>
      <c r="H2963" s="115"/>
      <c r="I2963" s="116"/>
    </row>
    <row r="2964" spans="1:9" s="17" customFormat="1" ht="12" customHeight="1" x14ac:dyDescent="0.2">
      <c r="A2964" s="65">
        <v>2955</v>
      </c>
      <c r="B2964" s="60">
        <v>7</v>
      </c>
      <c r="C2964" s="117" t="s">
        <v>2133</v>
      </c>
      <c r="D2964" s="118"/>
      <c r="E2964" s="119"/>
      <c r="F2964" s="121" t="s">
        <v>2132</v>
      </c>
      <c r="G2964" s="122"/>
      <c r="H2964" s="115">
        <v>1500</v>
      </c>
      <c r="I2964" s="116"/>
    </row>
    <row r="2965" spans="1:9" s="17" customFormat="1" ht="12" customHeight="1" x14ac:dyDescent="0.2">
      <c r="A2965" s="65">
        <v>2956</v>
      </c>
      <c r="B2965" s="60"/>
      <c r="C2965" s="117" t="s">
        <v>503</v>
      </c>
      <c r="D2965" s="118"/>
      <c r="E2965" s="119"/>
      <c r="F2965" s="121" t="s">
        <v>502</v>
      </c>
      <c r="G2965" s="122"/>
      <c r="H2965" s="115">
        <v>35.6</v>
      </c>
      <c r="I2965" s="116"/>
    </row>
    <row r="2966" spans="1:9" s="17" customFormat="1" ht="12.75" customHeight="1" x14ac:dyDescent="0.2">
      <c r="A2966" s="65">
        <v>2957</v>
      </c>
      <c r="B2966" s="60"/>
      <c r="C2966" s="117" t="s">
        <v>4112</v>
      </c>
      <c r="D2966" s="118"/>
      <c r="E2966" s="119"/>
      <c r="F2966" s="121" t="s">
        <v>427</v>
      </c>
      <c r="G2966" s="122"/>
      <c r="H2966" s="115">
        <f>34.5+24</f>
        <v>58.5</v>
      </c>
      <c r="I2966" s="116"/>
    </row>
    <row r="2967" spans="1:9" s="17" customFormat="1" ht="12" customHeight="1" x14ac:dyDescent="0.2">
      <c r="A2967" s="65">
        <v>2958</v>
      </c>
      <c r="B2967" s="60"/>
      <c r="C2967" s="117" t="s">
        <v>402</v>
      </c>
      <c r="D2967" s="118"/>
      <c r="E2967" s="119"/>
      <c r="F2967" s="121" t="s">
        <v>200</v>
      </c>
      <c r="G2967" s="122"/>
      <c r="H2967" s="115">
        <v>16.399999999999999</v>
      </c>
      <c r="I2967" s="116"/>
    </row>
    <row r="2968" spans="1:9" s="17" customFormat="1" ht="12.75" customHeight="1" x14ac:dyDescent="0.2">
      <c r="A2968" s="65">
        <v>2959</v>
      </c>
      <c r="B2968" s="60"/>
      <c r="C2968" s="117" t="s">
        <v>3228</v>
      </c>
      <c r="D2968" s="118"/>
      <c r="E2968" s="119"/>
      <c r="F2968" s="121" t="s">
        <v>245</v>
      </c>
      <c r="G2968" s="122"/>
      <c r="H2968" s="115">
        <f>41.2-25+40.7-16.2-8.7-1-0.9-0.2-0.2-1-1.9-1.7</f>
        <v>25.100000000000005</v>
      </c>
      <c r="I2968" s="116"/>
    </row>
    <row r="2969" spans="1:9" s="17" customFormat="1" ht="12.75" customHeight="1" x14ac:dyDescent="0.2">
      <c r="A2969" s="65">
        <v>2960</v>
      </c>
      <c r="B2969" s="60"/>
      <c r="C2969" s="117" t="s">
        <v>4134</v>
      </c>
      <c r="D2969" s="118"/>
      <c r="E2969" s="119"/>
      <c r="F2969" s="121" t="s">
        <v>4135</v>
      </c>
      <c r="G2969" s="122"/>
      <c r="H2969" s="115">
        <v>43.3</v>
      </c>
      <c r="I2969" s="116"/>
    </row>
    <row r="2970" spans="1:9" s="17" customFormat="1" ht="12.75" customHeight="1" x14ac:dyDescent="0.2">
      <c r="A2970" s="65">
        <v>2961</v>
      </c>
      <c r="B2970" s="60"/>
      <c r="C2970" s="117" t="s">
        <v>5044</v>
      </c>
      <c r="D2970" s="118"/>
      <c r="E2970" s="119"/>
      <c r="F2970" s="124" t="s">
        <v>69</v>
      </c>
      <c r="G2970" s="124"/>
      <c r="H2970" s="115">
        <f>128.6-27.5-9.6-0.2-33.8-2.2-1.1-0.5-2.9-12.8+0.1-2.8-2-2.6-3.5-4.8-6.9-1</f>
        <v>14.500000000000002</v>
      </c>
      <c r="I2970" s="116"/>
    </row>
    <row r="2971" spans="1:9" s="17" customFormat="1" ht="12.75" customHeight="1" x14ac:dyDescent="0.2">
      <c r="A2971" s="65">
        <v>2962</v>
      </c>
      <c r="B2971" s="60"/>
      <c r="C2971" s="117" t="s">
        <v>2004</v>
      </c>
      <c r="D2971" s="118"/>
      <c r="E2971" s="119"/>
      <c r="F2971" s="121" t="s">
        <v>3</v>
      </c>
      <c r="G2971" s="122"/>
      <c r="H2971" s="115">
        <v>4</v>
      </c>
      <c r="I2971" s="116"/>
    </row>
    <row r="2972" spans="1:9" s="17" customFormat="1" ht="12.75" customHeight="1" x14ac:dyDescent="0.2">
      <c r="A2972" s="65">
        <v>2963</v>
      </c>
      <c r="B2972" s="60"/>
      <c r="C2972" s="117" t="s">
        <v>3449</v>
      </c>
      <c r="D2972" s="118"/>
      <c r="E2972" s="119"/>
      <c r="F2972" s="121" t="s">
        <v>85</v>
      </c>
      <c r="G2972" s="122"/>
      <c r="H2972" s="115">
        <f>4.6-0.3-1</f>
        <v>3.3</v>
      </c>
      <c r="I2972" s="116"/>
    </row>
    <row r="2973" spans="1:9" s="17" customFormat="1" ht="12" customHeight="1" x14ac:dyDescent="0.2">
      <c r="A2973" s="65">
        <v>2964</v>
      </c>
      <c r="B2973" s="60"/>
      <c r="C2973" s="117" t="s">
        <v>1044</v>
      </c>
      <c r="D2973" s="118"/>
      <c r="E2973" s="119"/>
      <c r="F2973" s="113" t="s">
        <v>76</v>
      </c>
      <c r="G2973" s="114"/>
      <c r="H2973" s="115">
        <v>44.3</v>
      </c>
      <c r="I2973" s="116"/>
    </row>
    <row r="2974" spans="1:9" s="17" customFormat="1" ht="12" customHeight="1" x14ac:dyDescent="0.2">
      <c r="A2974" s="65">
        <v>2965</v>
      </c>
      <c r="B2974" s="60"/>
      <c r="C2974" s="117" t="s">
        <v>4160</v>
      </c>
      <c r="D2974" s="118"/>
      <c r="E2974" s="119"/>
      <c r="F2974" s="113" t="s">
        <v>76</v>
      </c>
      <c r="G2974" s="114"/>
      <c r="H2974" s="115">
        <v>69.3</v>
      </c>
      <c r="I2974" s="116"/>
    </row>
    <row r="2975" spans="1:9" s="17" customFormat="1" ht="12" customHeight="1" x14ac:dyDescent="0.2">
      <c r="A2975" s="65">
        <v>2966</v>
      </c>
      <c r="B2975" s="60"/>
      <c r="C2975" s="117" t="s">
        <v>3830</v>
      </c>
      <c r="D2975" s="118"/>
      <c r="E2975" s="119"/>
      <c r="F2975" s="113" t="s">
        <v>76</v>
      </c>
      <c r="G2975" s="114"/>
      <c r="H2975" s="115">
        <v>51.7</v>
      </c>
      <c r="I2975" s="116"/>
    </row>
    <row r="2976" spans="1:9" s="17" customFormat="1" ht="12" customHeight="1" x14ac:dyDescent="0.2">
      <c r="A2976" s="65">
        <v>2967</v>
      </c>
      <c r="B2976" s="60"/>
      <c r="C2976" s="117" t="s">
        <v>1412</v>
      </c>
      <c r="D2976" s="118"/>
      <c r="E2976" s="119"/>
      <c r="F2976" s="113" t="s">
        <v>76</v>
      </c>
      <c r="G2976" s="114"/>
      <c r="H2976" s="115"/>
      <c r="I2976" s="116"/>
    </row>
    <row r="2977" spans="1:9" s="17" customFormat="1" ht="12.75" customHeight="1" x14ac:dyDescent="0.2">
      <c r="A2977" s="65">
        <v>2968</v>
      </c>
      <c r="B2977" s="60"/>
      <c r="C2977" s="117" t="s">
        <v>2189</v>
      </c>
      <c r="D2977" s="118"/>
      <c r="E2977" s="119"/>
      <c r="F2977" s="121" t="s">
        <v>85</v>
      </c>
      <c r="G2977" s="122"/>
      <c r="H2977" s="115">
        <f>23.7-14.3+19.6+18+10.2+29</f>
        <v>86.2</v>
      </c>
      <c r="I2977" s="116"/>
    </row>
    <row r="2978" spans="1:9" s="17" customFormat="1" ht="12" customHeight="1" x14ac:dyDescent="0.2">
      <c r="A2978" s="65">
        <v>2969</v>
      </c>
      <c r="B2978" s="60"/>
      <c r="C2978" s="117" t="s">
        <v>812</v>
      </c>
      <c r="D2978" s="118"/>
      <c r="E2978" s="119"/>
      <c r="F2978" s="121" t="s">
        <v>109</v>
      </c>
      <c r="G2978" s="122"/>
      <c r="H2978" s="115">
        <v>4</v>
      </c>
      <c r="I2978" s="116"/>
    </row>
    <row r="2979" spans="1:9" s="17" customFormat="1" ht="12" customHeight="1" x14ac:dyDescent="0.2">
      <c r="A2979" s="65">
        <v>2970</v>
      </c>
      <c r="B2979" s="60"/>
      <c r="C2979" s="117" t="s">
        <v>3213</v>
      </c>
      <c r="D2979" s="118"/>
      <c r="E2979" s="119"/>
      <c r="F2979" s="113" t="s">
        <v>59</v>
      </c>
      <c r="G2979" s="114"/>
      <c r="H2979" s="115">
        <f>13.2-5.5</f>
        <v>7.6999999999999993</v>
      </c>
      <c r="I2979" s="116"/>
    </row>
    <row r="2980" spans="1:9" s="17" customFormat="1" ht="12" customHeight="1" x14ac:dyDescent="0.2">
      <c r="A2980" s="65">
        <v>2971</v>
      </c>
      <c r="B2980" s="60"/>
      <c r="C2980" s="117" t="s">
        <v>1716</v>
      </c>
      <c r="D2980" s="118"/>
      <c r="E2980" s="119"/>
      <c r="F2980" s="113" t="s">
        <v>76</v>
      </c>
      <c r="G2980" s="114"/>
      <c r="H2980" s="115">
        <f>41.6-3</f>
        <v>38.6</v>
      </c>
      <c r="I2980" s="116"/>
    </row>
    <row r="2981" spans="1:9" s="17" customFormat="1" ht="12" customHeight="1" x14ac:dyDescent="0.2">
      <c r="A2981" s="65">
        <v>2972</v>
      </c>
      <c r="B2981" s="60"/>
      <c r="C2981" s="117" t="s">
        <v>927</v>
      </c>
      <c r="D2981" s="118"/>
      <c r="E2981" s="119"/>
      <c r="F2981" s="113" t="s">
        <v>76</v>
      </c>
      <c r="G2981" s="114"/>
      <c r="H2981" s="115">
        <f>37.8-24.7-5.4+4.8-4.8+4+3.6</f>
        <v>15.299999999999995</v>
      </c>
      <c r="I2981" s="116"/>
    </row>
    <row r="2982" spans="1:9" s="17" customFormat="1" ht="25.5" customHeight="1" x14ac:dyDescent="0.2">
      <c r="A2982" s="65">
        <v>2973</v>
      </c>
      <c r="B2982" s="60"/>
      <c r="C2982" s="117" t="s">
        <v>3224</v>
      </c>
      <c r="D2982" s="118"/>
      <c r="E2982" s="119"/>
      <c r="F2982" s="113" t="s">
        <v>76</v>
      </c>
      <c r="G2982" s="114"/>
      <c r="H2982" s="115">
        <f>520-314.6</f>
        <v>205.39999999999998</v>
      </c>
      <c r="I2982" s="116"/>
    </row>
    <row r="2983" spans="1:9" s="17" customFormat="1" ht="12.75" customHeight="1" x14ac:dyDescent="0.2">
      <c r="A2983" s="65">
        <v>2974</v>
      </c>
      <c r="B2983" s="60"/>
      <c r="C2983" s="117" t="s">
        <v>4652</v>
      </c>
      <c r="D2983" s="118"/>
      <c r="E2983" s="119"/>
      <c r="F2983" s="113" t="s">
        <v>76</v>
      </c>
      <c r="G2983" s="114"/>
      <c r="H2983" s="115">
        <f>47.5+22.3-6-25.5+6+25.5+6.6-16-12.6-4+17.9-17.9-10.2</f>
        <v>33.599999999999994</v>
      </c>
      <c r="I2983" s="116"/>
    </row>
    <row r="2984" spans="1:9" s="17" customFormat="1" ht="11.25" x14ac:dyDescent="0.2">
      <c r="A2984" s="65">
        <v>2975</v>
      </c>
      <c r="B2984" s="60"/>
      <c r="C2984" s="117" t="s">
        <v>4137</v>
      </c>
      <c r="D2984" s="118"/>
      <c r="E2984" s="119"/>
      <c r="F2984" s="113" t="s">
        <v>76</v>
      </c>
      <c r="G2984" s="114"/>
      <c r="H2984" s="115">
        <v>4.7</v>
      </c>
      <c r="I2984" s="116"/>
    </row>
    <row r="2985" spans="1:9" s="17" customFormat="1" ht="12" customHeight="1" x14ac:dyDescent="0.2">
      <c r="A2985" s="65">
        <v>2976</v>
      </c>
      <c r="B2985" s="60"/>
      <c r="C2985" s="117" t="s">
        <v>879</v>
      </c>
      <c r="D2985" s="118"/>
      <c r="E2985" s="119"/>
      <c r="F2985" s="121" t="s">
        <v>3</v>
      </c>
      <c r="G2985" s="122"/>
      <c r="H2985" s="115">
        <v>4.5999999999999996</v>
      </c>
      <c r="I2985" s="116"/>
    </row>
    <row r="2986" spans="1:9" s="17" customFormat="1" ht="12.75" customHeight="1" x14ac:dyDescent="0.2">
      <c r="A2986" s="65">
        <v>2977</v>
      </c>
      <c r="B2986" s="60"/>
      <c r="C2986" s="117" t="s">
        <v>4390</v>
      </c>
      <c r="D2986" s="118"/>
      <c r="E2986" s="119"/>
      <c r="F2986" s="121" t="s">
        <v>56</v>
      </c>
      <c r="G2986" s="122"/>
      <c r="H2986" s="115">
        <f>5.2+75.3-12.5</f>
        <v>68</v>
      </c>
      <c r="I2986" s="116"/>
    </row>
    <row r="2987" spans="1:9" s="17" customFormat="1" ht="12" customHeight="1" x14ac:dyDescent="0.2">
      <c r="A2987" s="65">
        <v>2978</v>
      </c>
      <c r="B2987" s="60"/>
      <c r="C2987" s="117" t="s">
        <v>1472</v>
      </c>
      <c r="D2987" s="118"/>
      <c r="E2987" s="119"/>
      <c r="F2987" s="121" t="s">
        <v>45</v>
      </c>
      <c r="G2987" s="122"/>
      <c r="H2987" s="115">
        <v>17.2</v>
      </c>
      <c r="I2987" s="116"/>
    </row>
    <row r="2988" spans="1:9" s="17" customFormat="1" ht="12" customHeight="1" x14ac:dyDescent="0.2">
      <c r="A2988" s="65">
        <v>2979</v>
      </c>
      <c r="B2988" s="60"/>
      <c r="C2988" s="117" t="s">
        <v>2236</v>
      </c>
      <c r="D2988" s="118"/>
      <c r="E2988" s="119"/>
      <c r="F2988" s="121" t="s">
        <v>144</v>
      </c>
      <c r="G2988" s="122"/>
      <c r="H2988" s="115">
        <f>3-0.1</f>
        <v>2.9</v>
      </c>
      <c r="I2988" s="116"/>
    </row>
    <row r="2989" spans="1:9" s="17" customFormat="1" ht="12" customHeight="1" x14ac:dyDescent="0.2">
      <c r="A2989" s="65">
        <v>2980</v>
      </c>
      <c r="B2989" s="60"/>
      <c r="C2989" s="117" t="s">
        <v>194</v>
      </c>
      <c r="D2989" s="118"/>
      <c r="E2989" s="119"/>
      <c r="F2989" s="121" t="s">
        <v>144</v>
      </c>
      <c r="G2989" s="122"/>
      <c r="H2989" s="115">
        <v>5</v>
      </c>
      <c r="I2989" s="116"/>
    </row>
    <row r="2990" spans="1:9" s="17" customFormat="1" ht="12" customHeight="1" x14ac:dyDescent="0.2">
      <c r="A2990" s="65">
        <v>2981</v>
      </c>
      <c r="B2990" s="60"/>
      <c r="C2990" s="117" t="s">
        <v>203</v>
      </c>
      <c r="D2990" s="118"/>
      <c r="E2990" s="119"/>
      <c r="F2990" s="121" t="s">
        <v>144</v>
      </c>
      <c r="G2990" s="122"/>
      <c r="H2990" s="115"/>
      <c r="I2990" s="116"/>
    </row>
    <row r="2991" spans="1:9" s="17" customFormat="1" ht="12" customHeight="1" x14ac:dyDescent="0.2">
      <c r="A2991" s="65">
        <v>2982</v>
      </c>
      <c r="B2991" s="60"/>
      <c r="C2991" s="117" t="s">
        <v>251</v>
      </c>
      <c r="D2991" s="118"/>
      <c r="E2991" s="119"/>
      <c r="F2991" s="121" t="s">
        <v>139</v>
      </c>
      <c r="G2991" s="122"/>
      <c r="H2991" s="115">
        <v>15</v>
      </c>
      <c r="I2991" s="116"/>
    </row>
    <row r="2992" spans="1:9" s="17" customFormat="1" ht="12" customHeight="1" x14ac:dyDescent="0.2">
      <c r="A2992" s="65">
        <v>2983</v>
      </c>
      <c r="B2992" s="60"/>
      <c r="C2992" s="117" t="s">
        <v>285</v>
      </c>
      <c r="D2992" s="118"/>
      <c r="E2992" s="119"/>
      <c r="F2992" s="121" t="s">
        <v>139</v>
      </c>
      <c r="G2992" s="122"/>
      <c r="H2992" s="115">
        <v>5</v>
      </c>
      <c r="I2992" s="116"/>
    </row>
    <row r="2993" spans="1:9" s="17" customFormat="1" ht="12" customHeight="1" x14ac:dyDescent="0.2">
      <c r="A2993" s="65">
        <v>2984</v>
      </c>
      <c r="B2993" s="61"/>
      <c r="C2993" s="117" t="s">
        <v>286</v>
      </c>
      <c r="D2993" s="118"/>
      <c r="E2993" s="119"/>
      <c r="F2993" s="121" t="s">
        <v>139</v>
      </c>
      <c r="G2993" s="122"/>
      <c r="H2993" s="115">
        <v>9.6</v>
      </c>
      <c r="I2993" s="116"/>
    </row>
    <row r="2994" spans="1:9" s="17" customFormat="1" ht="15.75" customHeight="1" x14ac:dyDescent="0.2">
      <c r="A2994" s="65">
        <v>2985</v>
      </c>
      <c r="B2994" s="58"/>
      <c r="C2994" s="117" t="s">
        <v>532</v>
      </c>
      <c r="D2994" s="118"/>
      <c r="E2994" s="119"/>
      <c r="F2994" s="121" t="s">
        <v>144</v>
      </c>
      <c r="G2994" s="122"/>
      <c r="H2994" s="115">
        <v>5</v>
      </c>
      <c r="I2994" s="116"/>
    </row>
    <row r="2995" spans="1:9" s="17" customFormat="1" ht="13.5" customHeight="1" x14ac:dyDescent="0.2">
      <c r="A2995" s="46"/>
      <c r="B2995" s="47"/>
      <c r="C2995" s="80"/>
      <c r="D2995" s="80"/>
      <c r="E2995" s="81"/>
      <c r="F2995" s="58"/>
      <c r="G2995" s="58"/>
      <c r="H2995" s="82"/>
      <c r="I2995" s="83"/>
    </row>
    <row r="2996" spans="1:9" s="17" customFormat="1" ht="13.5" customHeight="1" x14ac:dyDescent="0.2">
      <c r="A2996" s="46"/>
      <c r="B2996" s="47"/>
      <c r="C2996" s="46"/>
      <c r="D2996" s="75"/>
      <c r="E2996" s="163"/>
      <c r="F2996" s="163"/>
      <c r="G2996" s="164"/>
      <c r="H2996" s="53"/>
      <c r="I2996" s="50"/>
    </row>
    <row r="2997" spans="1:9" s="17" customFormat="1" ht="13.5" customHeight="1" x14ac:dyDescent="0.2">
      <c r="A2997" s="46"/>
      <c r="B2997" s="47"/>
      <c r="C2997" s="46"/>
      <c r="D2997" s="46"/>
      <c r="E2997" s="48"/>
      <c r="F2997" s="46"/>
      <c r="G2997" s="46"/>
      <c r="H2997" s="84"/>
      <c r="I2997" s="50"/>
    </row>
    <row r="2998" spans="1:9" s="17" customFormat="1" ht="32.25" customHeight="1" x14ac:dyDescent="0.2">
      <c r="A2998" s="46"/>
      <c r="B2998" s="47"/>
      <c r="C2998" s="46"/>
      <c r="D2998" s="46"/>
      <c r="E2998" s="51"/>
      <c r="F2998" s="46"/>
      <c r="G2998" s="46"/>
      <c r="H2998" s="52"/>
      <c r="I2998" s="50"/>
    </row>
    <row r="2999" spans="1:9" s="17" customFormat="1" x14ac:dyDescent="0.2">
      <c r="A2999" s="46"/>
      <c r="B2999" s="47"/>
      <c r="C2999" s="46"/>
      <c r="D2999" s="46"/>
      <c r="E2999" s="48"/>
      <c r="F2999" s="46"/>
      <c r="G2999" s="46"/>
      <c r="H2999" s="52"/>
      <c r="I2999" s="50"/>
    </row>
    <row r="3000" spans="1:9" s="17" customFormat="1" ht="16.5" customHeight="1" x14ac:dyDescent="0.2">
      <c r="A3000" s="46"/>
      <c r="B3000" s="47"/>
      <c r="C3000" s="46"/>
      <c r="D3000" s="46"/>
      <c r="E3000" s="51"/>
      <c r="F3000" s="46"/>
      <c r="G3000" s="46"/>
      <c r="H3000" s="52"/>
      <c r="I3000" s="50"/>
    </row>
    <row r="3001" spans="1:9" s="17" customFormat="1" ht="13.5" customHeight="1" x14ac:dyDescent="0.2">
      <c r="A3001" s="46"/>
      <c r="B3001" s="47"/>
      <c r="C3001" s="46"/>
      <c r="D3001" s="46"/>
      <c r="E3001" s="48"/>
      <c r="F3001" s="46"/>
      <c r="G3001" s="46"/>
      <c r="H3001" s="52"/>
      <c r="I3001" s="50"/>
    </row>
    <row r="3002" spans="1:9" s="17" customFormat="1" ht="13.5" customHeight="1" x14ac:dyDescent="0.2">
      <c r="A3002" s="46"/>
      <c r="B3002" s="47"/>
      <c r="C3002" s="163"/>
      <c r="D3002" s="163"/>
      <c r="E3002" s="163"/>
      <c r="F3002" s="163"/>
      <c r="G3002" s="163"/>
      <c r="H3002" s="163"/>
      <c r="I3002" s="163"/>
    </row>
    <row r="3003" spans="1:9" s="17" customFormat="1" ht="31.5" customHeight="1" x14ac:dyDescent="0.2">
      <c r="A3003" s="46"/>
      <c r="B3003" s="47"/>
      <c r="C3003" s="75"/>
      <c r="D3003" s="75"/>
      <c r="E3003" s="48"/>
      <c r="F3003" s="75"/>
      <c r="G3003" s="75"/>
      <c r="H3003" s="53"/>
      <c r="I3003" s="54"/>
    </row>
    <row r="3004" spans="1:9" s="17" customFormat="1" ht="13.5" customHeight="1" x14ac:dyDescent="0.2">
      <c r="A3004" s="46"/>
      <c r="B3004" s="47"/>
      <c r="C3004" s="46"/>
      <c r="D3004" s="46"/>
      <c r="E3004" s="46"/>
      <c r="F3004" s="46"/>
      <c r="G3004" s="46"/>
      <c r="H3004" s="38"/>
      <c r="I3004" s="50"/>
    </row>
    <row r="3005" spans="1:9" s="17" customFormat="1" ht="11.25" x14ac:dyDescent="0.2">
      <c r="A3005" s="85"/>
      <c r="B3005" s="62"/>
      <c r="C3005" s="46"/>
      <c r="D3005" s="46"/>
      <c r="E3005" s="46"/>
      <c r="F3005" s="86"/>
      <c r="G3005" s="46"/>
      <c r="H3005" s="38">
        <f>SUM(H17:I2994)-H1363-H1970-H2448-H2516-H1492-H2964-H2186-H2116-H2102-H366</f>
        <v>232198.24999999971</v>
      </c>
      <c r="I3005" s="50"/>
    </row>
    <row r="3006" spans="1:9" x14ac:dyDescent="0.2">
      <c r="B3006" s="63"/>
      <c r="C3006" s="85"/>
      <c r="D3006" s="85"/>
      <c r="E3006" s="85"/>
      <c r="F3006" s="85"/>
      <c r="G3006" s="85"/>
      <c r="H3006" s="84"/>
      <c r="I3006" s="87"/>
    </row>
    <row r="3007" spans="1:9" x14ac:dyDescent="0.2">
      <c r="B3007" s="63"/>
      <c r="H3007" s="88"/>
      <c r="I3007" s="89"/>
    </row>
    <row r="3008" spans="1:9" x14ac:dyDescent="0.2">
      <c r="B3008" s="63"/>
      <c r="H3008" s="88"/>
      <c r="I3008" s="89"/>
    </row>
    <row r="3009" spans="1:9" x14ac:dyDescent="0.2">
      <c r="B3009" s="63"/>
      <c r="H3009" s="88"/>
      <c r="I3009" s="89"/>
    </row>
    <row r="3010" spans="1:9" x14ac:dyDescent="0.2">
      <c r="B3010" s="63"/>
    </row>
    <row r="3011" spans="1:9" x14ac:dyDescent="0.2">
      <c r="B3011" s="63"/>
      <c r="H3011" s="41"/>
      <c r="I3011" s="41"/>
    </row>
    <row r="3012" spans="1:9" x14ac:dyDescent="0.2">
      <c r="B3012" s="63"/>
      <c r="H3012" s="41"/>
      <c r="I3012" s="41"/>
    </row>
    <row r="3013" spans="1:9" x14ac:dyDescent="0.2">
      <c r="B3013" s="63"/>
      <c r="H3013" s="41"/>
      <c r="I3013" s="41"/>
    </row>
    <row r="3014" spans="1:9" x14ac:dyDescent="0.2">
      <c r="B3014" s="63"/>
      <c r="H3014" s="41"/>
      <c r="I3014" s="41"/>
    </row>
    <row r="3015" spans="1:9" x14ac:dyDescent="0.2">
      <c r="B3015" s="63"/>
      <c r="H3015" s="41"/>
      <c r="I3015" s="41"/>
    </row>
    <row r="3016" spans="1:9" x14ac:dyDescent="0.2">
      <c r="B3016" s="63"/>
    </row>
    <row r="3017" spans="1:9" x14ac:dyDescent="0.2">
      <c r="B3017" s="63"/>
    </row>
    <row r="3018" spans="1:9" x14ac:dyDescent="0.2">
      <c r="B3018" s="63"/>
    </row>
    <row r="3019" spans="1:9" x14ac:dyDescent="0.2">
      <c r="A3019" s="22"/>
      <c r="B3019" s="63"/>
    </row>
    <row r="3020" spans="1:9" x14ac:dyDescent="0.2">
      <c r="A3020" s="22"/>
      <c r="B3020" s="63"/>
    </row>
    <row r="3021" spans="1:9" x14ac:dyDescent="0.2">
      <c r="A3021" s="22"/>
      <c r="B3021" s="63"/>
    </row>
    <row r="3022" spans="1:9" x14ac:dyDescent="0.2">
      <c r="A3022" s="22"/>
      <c r="B3022" s="63"/>
    </row>
    <row r="3023" spans="1:9" x14ac:dyDescent="0.2">
      <c r="A3023" s="22"/>
      <c r="B3023" s="63"/>
    </row>
    <row r="3024" spans="1:9" x14ac:dyDescent="0.2">
      <c r="A3024" s="22"/>
      <c r="B3024" s="63"/>
    </row>
    <row r="3025" spans="1:2" x14ac:dyDescent="0.2">
      <c r="A3025" s="22"/>
      <c r="B3025" s="63"/>
    </row>
    <row r="3026" spans="1:2" x14ac:dyDescent="0.2">
      <c r="A3026" s="22"/>
      <c r="B3026" s="63"/>
    </row>
    <row r="3027" spans="1:2" x14ac:dyDescent="0.2">
      <c r="A3027" s="22"/>
      <c r="B3027" s="63"/>
    </row>
    <row r="3028" spans="1:2" x14ac:dyDescent="0.2">
      <c r="A3028" s="22"/>
      <c r="B3028" s="63"/>
    </row>
    <row r="3029" spans="1:2" x14ac:dyDescent="0.2">
      <c r="A3029" s="22"/>
      <c r="B3029" s="63"/>
    </row>
    <row r="3030" spans="1:2" x14ac:dyDescent="0.2">
      <c r="A3030" s="22"/>
      <c r="B3030" s="63"/>
    </row>
    <row r="3031" spans="1:2" x14ac:dyDescent="0.2">
      <c r="A3031" s="22"/>
      <c r="B3031" s="63"/>
    </row>
    <row r="3032" spans="1:2" x14ac:dyDescent="0.2">
      <c r="A3032" s="22"/>
      <c r="B3032" s="63"/>
    </row>
    <row r="3033" spans="1:2" x14ac:dyDescent="0.2">
      <c r="A3033" s="22"/>
      <c r="B3033" s="63"/>
    </row>
    <row r="3034" spans="1:2" x14ac:dyDescent="0.2">
      <c r="A3034" s="22"/>
      <c r="B3034" s="63"/>
    </row>
    <row r="3035" spans="1:2" x14ac:dyDescent="0.2">
      <c r="A3035" s="22"/>
      <c r="B3035" s="63"/>
    </row>
    <row r="3036" spans="1:2" x14ac:dyDescent="0.2">
      <c r="A3036" s="22"/>
      <c r="B3036" s="63"/>
    </row>
    <row r="3037" spans="1:2" x14ac:dyDescent="0.2">
      <c r="A3037" s="22"/>
      <c r="B3037" s="63"/>
    </row>
    <row r="3038" spans="1:2" x14ac:dyDescent="0.2">
      <c r="A3038" s="22"/>
      <c r="B3038" s="63"/>
    </row>
    <row r="3039" spans="1:2" x14ac:dyDescent="0.2">
      <c r="A3039" s="22"/>
      <c r="B3039" s="63"/>
    </row>
    <row r="3040" spans="1:2" x14ac:dyDescent="0.2">
      <c r="A3040" s="22"/>
      <c r="B3040" s="63"/>
    </row>
    <row r="3041" spans="1:2" x14ac:dyDescent="0.2">
      <c r="A3041" s="22"/>
      <c r="B3041" s="63"/>
    </row>
    <row r="3042" spans="1:2" x14ac:dyDescent="0.2">
      <c r="A3042" s="22"/>
      <c r="B3042" s="63"/>
    </row>
    <row r="3043" spans="1:2" x14ac:dyDescent="0.2">
      <c r="A3043" s="22"/>
      <c r="B3043" s="63"/>
    </row>
    <row r="3044" spans="1:2" x14ac:dyDescent="0.2">
      <c r="A3044" s="22"/>
      <c r="B3044" s="63"/>
    </row>
    <row r="3045" spans="1:2" x14ac:dyDescent="0.2">
      <c r="A3045" s="22"/>
      <c r="B3045" s="63"/>
    </row>
    <row r="3046" spans="1:2" x14ac:dyDescent="0.2">
      <c r="A3046" s="22"/>
      <c r="B3046" s="63"/>
    </row>
    <row r="3047" spans="1:2" x14ac:dyDescent="0.2">
      <c r="A3047" s="22"/>
      <c r="B3047" s="63"/>
    </row>
    <row r="3048" spans="1:2" x14ac:dyDescent="0.2">
      <c r="A3048" s="22"/>
      <c r="B3048" s="63"/>
    </row>
    <row r="3049" spans="1:2" x14ac:dyDescent="0.2">
      <c r="A3049" s="22"/>
      <c r="B3049" s="63"/>
    </row>
    <row r="3050" spans="1:2" x14ac:dyDescent="0.2">
      <c r="A3050" s="22"/>
      <c r="B3050" s="63"/>
    </row>
    <row r="3051" spans="1:2" x14ac:dyDescent="0.2">
      <c r="A3051" s="22"/>
      <c r="B3051" s="63"/>
    </row>
    <row r="3052" spans="1:2" x14ac:dyDescent="0.2">
      <c r="A3052" s="22"/>
      <c r="B3052" s="63"/>
    </row>
    <row r="3053" spans="1:2" x14ac:dyDescent="0.2">
      <c r="A3053" s="22"/>
      <c r="B3053" s="63"/>
    </row>
    <row r="3054" spans="1:2" x14ac:dyDescent="0.2">
      <c r="A3054" s="22"/>
      <c r="B3054" s="63"/>
    </row>
    <row r="3055" spans="1:2" x14ac:dyDescent="0.2">
      <c r="A3055" s="22"/>
      <c r="B3055" s="63"/>
    </row>
    <row r="3056" spans="1:2" x14ac:dyDescent="0.2">
      <c r="A3056" s="22"/>
      <c r="B3056" s="63"/>
    </row>
    <row r="3057" spans="1:2" x14ac:dyDescent="0.2">
      <c r="A3057" s="22"/>
      <c r="B3057" s="63"/>
    </row>
    <row r="3058" spans="1:2" x14ac:dyDescent="0.2">
      <c r="A3058" s="22"/>
      <c r="B3058" s="63"/>
    </row>
    <row r="3059" spans="1:2" x14ac:dyDescent="0.2">
      <c r="A3059" s="22"/>
      <c r="B3059" s="63"/>
    </row>
    <row r="3060" spans="1:2" x14ac:dyDescent="0.2">
      <c r="A3060" s="22"/>
      <c r="B3060" s="63"/>
    </row>
    <row r="3061" spans="1:2" x14ac:dyDescent="0.2">
      <c r="A3061" s="22"/>
      <c r="B3061" s="63"/>
    </row>
    <row r="3062" spans="1:2" x14ac:dyDescent="0.2">
      <c r="A3062" s="22"/>
      <c r="B3062" s="63"/>
    </row>
    <row r="3063" spans="1:2" x14ac:dyDescent="0.2">
      <c r="A3063" s="22"/>
      <c r="B3063" s="63"/>
    </row>
    <row r="3064" spans="1:2" x14ac:dyDescent="0.2">
      <c r="A3064" s="22"/>
      <c r="B3064" s="63"/>
    </row>
    <row r="3065" spans="1:2" x14ac:dyDescent="0.2">
      <c r="A3065" s="22"/>
      <c r="B3065" s="63"/>
    </row>
    <row r="3066" spans="1:2" x14ac:dyDescent="0.2">
      <c r="A3066" s="22"/>
      <c r="B3066" s="63"/>
    </row>
    <row r="3067" spans="1:2" x14ac:dyDescent="0.2">
      <c r="A3067" s="22"/>
      <c r="B3067" s="63"/>
    </row>
    <row r="3068" spans="1:2" x14ac:dyDescent="0.2">
      <c r="A3068" s="22"/>
      <c r="B3068" s="63"/>
    </row>
    <row r="3069" spans="1:2" x14ac:dyDescent="0.2">
      <c r="A3069" s="22"/>
      <c r="B3069" s="63"/>
    </row>
    <row r="3070" spans="1:2" x14ac:dyDescent="0.2">
      <c r="A3070" s="22"/>
      <c r="B3070" s="63"/>
    </row>
    <row r="3071" spans="1:2" x14ac:dyDescent="0.2">
      <c r="A3071" s="22"/>
      <c r="B3071" s="63"/>
    </row>
    <row r="3072" spans="1:2" x14ac:dyDescent="0.2">
      <c r="A3072" s="22"/>
      <c r="B3072" s="63"/>
    </row>
    <row r="3073" spans="1:2" x14ac:dyDescent="0.2">
      <c r="A3073" s="22"/>
      <c r="B3073" s="63"/>
    </row>
    <row r="3074" spans="1:2" x14ac:dyDescent="0.2">
      <c r="A3074" s="22"/>
      <c r="B3074" s="63"/>
    </row>
    <row r="3075" spans="1:2" x14ac:dyDescent="0.2">
      <c r="A3075" s="22"/>
      <c r="B3075" s="63"/>
    </row>
    <row r="3076" spans="1:2" x14ac:dyDescent="0.2">
      <c r="A3076" s="22"/>
      <c r="B3076" s="63"/>
    </row>
    <row r="3077" spans="1:2" x14ac:dyDescent="0.2">
      <c r="A3077" s="22"/>
      <c r="B3077" s="63"/>
    </row>
    <row r="3078" spans="1:2" x14ac:dyDescent="0.2">
      <c r="A3078" s="22"/>
      <c r="B3078" s="63"/>
    </row>
    <row r="3079" spans="1:2" x14ac:dyDescent="0.2">
      <c r="A3079" s="22"/>
      <c r="B3079" s="63"/>
    </row>
    <row r="3080" spans="1:2" x14ac:dyDescent="0.2">
      <c r="A3080" s="22"/>
      <c r="B3080" s="63"/>
    </row>
    <row r="3081" spans="1:2" x14ac:dyDescent="0.2">
      <c r="A3081" s="22"/>
      <c r="B3081" s="63"/>
    </row>
    <row r="3082" spans="1:2" x14ac:dyDescent="0.2">
      <c r="A3082" s="22"/>
      <c r="B3082" s="63"/>
    </row>
    <row r="3083" spans="1:2" x14ac:dyDescent="0.2">
      <c r="A3083" s="22"/>
      <c r="B3083" s="63"/>
    </row>
    <row r="3084" spans="1:2" x14ac:dyDescent="0.2">
      <c r="A3084" s="22"/>
      <c r="B3084" s="63"/>
    </row>
    <row r="3085" spans="1:2" x14ac:dyDescent="0.2">
      <c r="A3085" s="22"/>
      <c r="B3085" s="63"/>
    </row>
    <row r="3086" spans="1:2" x14ac:dyDescent="0.2">
      <c r="A3086" s="22"/>
      <c r="B3086" s="63"/>
    </row>
    <row r="3087" spans="1:2" x14ac:dyDescent="0.2">
      <c r="A3087" s="22"/>
      <c r="B3087" s="63"/>
    </row>
    <row r="3088" spans="1:2" x14ac:dyDescent="0.2">
      <c r="A3088" s="22"/>
      <c r="B3088" s="63"/>
    </row>
    <row r="3089" spans="1:9" x14ac:dyDescent="0.2">
      <c r="A3089" s="22"/>
      <c r="B3089" s="63"/>
    </row>
    <row r="3090" spans="1:9" x14ac:dyDescent="0.2">
      <c r="A3090" s="22"/>
      <c r="B3090" s="63"/>
      <c r="H3090" s="41"/>
      <c r="I3090" s="41"/>
    </row>
    <row r="3091" spans="1:9" x14ac:dyDescent="0.2">
      <c r="A3091" s="22"/>
      <c r="B3091" s="63"/>
      <c r="H3091" s="41"/>
      <c r="I3091" s="41"/>
    </row>
    <row r="3092" spans="1:9" x14ac:dyDescent="0.2">
      <c r="A3092" s="22"/>
      <c r="B3092" s="63"/>
      <c r="H3092" s="41"/>
      <c r="I3092" s="41"/>
    </row>
    <row r="3093" spans="1:9" x14ac:dyDescent="0.2">
      <c r="A3093" s="22"/>
      <c r="B3093" s="63"/>
      <c r="H3093" s="41"/>
      <c r="I3093" s="41"/>
    </row>
    <row r="3094" spans="1:9" x14ac:dyDescent="0.2">
      <c r="A3094" s="22"/>
      <c r="B3094" s="63"/>
      <c r="H3094" s="41"/>
      <c r="I3094" s="41"/>
    </row>
    <row r="3095" spans="1:9" x14ac:dyDescent="0.2">
      <c r="A3095" s="22"/>
      <c r="B3095" s="63"/>
      <c r="H3095" s="41"/>
      <c r="I3095" s="41"/>
    </row>
    <row r="3096" spans="1:9" x14ac:dyDescent="0.2">
      <c r="A3096" s="22"/>
      <c r="B3096" s="63"/>
      <c r="H3096" s="41"/>
      <c r="I3096" s="41"/>
    </row>
    <row r="3097" spans="1:9" x14ac:dyDescent="0.2">
      <c r="A3097" s="22"/>
      <c r="B3097" s="63"/>
      <c r="H3097" s="41"/>
      <c r="I3097" s="41"/>
    </row>
    <row r="3098" spans="1:9" x14ac:dyDescent="0.2">
      <c r="A3098" s="22"/>
      <c r="B3098" s="63"/>
      <c r="H3098" s="41"/>
      <c r="I3098" s="41"/>
    </row>
    <row r="3099" spans="1:9" x14ac:dyDescent="0.2">
      <c r="A3099" s="22"/>
      <c r="B3099" s="63"/>
      <c r="H3099" s="41"/>
      <c r="I3099" s="41"/>
    </row>
    <row r="3100" spans="1:9" x14ac:dyDescent="0.2">
      <c r="A3100" s="22"/>
      <c r="B3100" s="63"/>
      <c r="H3100" s="41"/>
      <c r="I3100" s="41"/>
    </row>
    <row r="3101" spans="1:9" x14ac:dyDescent="0.2">
      <c r="A3101" s="22"/>
      <c r="B3101" s="63"/>
      <c r="H3101" s="41"/>
      <c r="I3101" s="41"/>
    </row>
    <row r="3102" spans="1:9" x14ac:dyDescent="0.2">
      <c r="A3102" s="22"/>
      <c r="B3102" s="63"/>
      <c r="H3102" s="41"/>
      <c r="I3102" s="41"/>
    </row>
    <row r="3103" spans="1:9" x14ac:dyDescent="0.2">
      <c r="A3103" s="22"/>
      <c r="B3103" s="63"/>
      <c r="H3103" s="41"/>
      <c r="I3103" s="41"/>
    </row>
    <row r="3104" spans="1:9" x14ac:dyDescent="0.2">
      <c r="A3104" s="22"/>
      <c r="B3104" s="63"/>
      <c r="H3104" s="41"/>
      <c r="I3104" s="41"/>
    </row>
    <row r="3105" spans="1:9" x14ac:dyDescent="0.2">
      <c r="A3105" s="22"/>
      <c r="B3105" s="63"/>
      <c r="H3105" s="41"/>
      <c r="I3105" s="41"/>
    </row>
    <row r="3106" spans="1:9" x14ac:dyDescent="0.2">
      <c r="A3106" s="22"/>
      <c r="B3106" s="63"/>
      <c r="H3106" s="41"/>
      <c r="I3106" s="41"/>
    </row>
    <row r="3107" spans="1:9" x14ac:dyDescent="0.2">
      <c r="A3107" s="22"/>
      <c r="B3107" s="63"/>
      <c r="H3107" s="41"/>
      <c r="I3107" s="41"/>
    </row>
    <row r="3108" spans="1:9" x14ac:dyDescent="0.2">
      <c r="A3108" s="22"/>
      <c r="B3108" s="63"/>
      <c r="H3108" s="41"/>
      <c r="I3108" s="41"/>
    </row>
    <row r="3109" spans="1:9" x14ac:dyDescent="0.2">
      <c r="A3109" s="22"/>
      <c r="B3109" s="63"/>
      <c r="H3109" s="41"/>
      <c r="I3109" s="41"/>
    </row>
    <row r="3110" spans="1:9" x14ac:dyDescent="0.2">
      <c r="A3110" s="22"/>
      <c r="B3110" s="63"/>
      <c r="H3110" s="41"/>
      <c r="I3110" s="41"/>
    </row>
    <row r="3111" spans="1:9" x14ac:dyDescent="0.2">
      <c r="A3111" s="22"/>
      <c r="B3111" s="63"/>
      <c r="H3111" s="41"/>
      <c r="I3111" s="41"/>
    </row>
    <row r="3112" spans="1:9" x14ac:dyDescent="0.2">
      <c r="A3112" s="22"/>
      <c r="B3112" s="63"/>
      <c r="H3112" s="41"/>
      <c r="I3112" s="41"/>
    </row>
    <row r="3113" spans="1:9" x14ac:dyDescent="0.2">
      <c r="A3113" s="22"/>
      <c r="B3113" s="63"/>
      <c r="H3113" s="41"/>
      <c r="I3113" s="41"/>
    </row>
    <row r="3114" spans="1:9" x14ac:dyDescent="0.2">
      <c r="A3114" s="22"/>
      <c r="B3114" s="63"/>
      <c r="H3114" s="41"/>
      <c r="I3114" s="41"/>
    </row>
    <row r="3115" spans="1:9" x14ac:dyDescent="0.2">
      <c r="A3115" s="22"/>
      <c r="B3115" s="63"/>
      <c r="H3115" s="41"/>
      <c r="I3115" s="41"/>
    </row>
    <row r="3116" spans="1:9" x14ac:dyDescent="0.2">
      <c r="A3116" s="22"/>
      <c r="B3116" s="63"/>
      <c r="H3116" s="41"/>
      <c r="I3116" s="41"/>
    </row>
    <row r="3117" spans="1:9" x14ac:dyDescent="0.2">
      <c r="A3117" s="22"/>
      <c r="B3117" s="63"/>
      <c r="H3117" s="41"/>
      <c r="I3117" s="41"/>
    </row>
    <row r="3118" spans="1:9" x14ac:dyDescent="0.2">
      <c r="A3118" s="22"/>
      <c r="B3118" s="63"/>
      <c r="H3118" s="41"/>
      <c r="I3118" s="41"/>
    </row>
    <row r="3119" spans="1:9" x14ac:dyDescent="0.2">
      <c r="A3119" s="22"/>
      <c r="B3119" s="63"/>
      <c r="H3119" s="41"/>
      <c r="I3119" s="41"/>
    </row>
    <row r="3120" spans="1:9" x14ac:dyDescent="0.2">
      <c r="A3120" s="22"/>
      <c r="B3120" s="63"/>
      <c r="H3120" s="41"/>
      <c r="I3120" s="41"/>
    </row>
    <row r="3121" spans="1:9" x14ac:dyDescent="0.2">
      <c r="A3121" s="22"/>
      <c r="B3121" s="63"/>
      <c r="H3121" s="41"/>
      <c r="I3121" s="41"/>
    </row>
    <row r="3122" spans="1:9" x14ac:dyDescent="0.2">
      <c r="A3122" s="22"/>
      <c r="B3122" s="63"/>
      <c r="H3122" s="41"/>
      <c r="I3122" s="41"/>
    </row>
    <row r="3123" spans="1:9" x14ac:dyDescent="0.2">
      <c r="A3123" s="22"/>
      <c r="B3123" s="63"/>
      <c r="H3123" s="41"/>
      <c r="I3123" s="41"/>
    </row>
    <row r="3124" spans="1:9" x14ac:dyDescent="0.2">
      <c r="A3124" s="22"/>
      <c r="B3124" s="63"/>
      <c r="H3124" s="41"/>
      <c r="I3124" s="41"/>
    </row>
    <row r="3125" spans="1:9" x14ac:dyDescent="0.2">
      <c r="A3125" s="22"/>
      <c r="B3125" s="63"/>
      <c r="H3125" s="41"/>
      <c r="I3125" s="41"/>
    </row>
    <row r="3126" spans="1:9" x14ac:dyDescent="0.2">
      <c r="A3126" s="22"/>
      <c r="B3126" s="63"/>
      <c r="H3126" s="41"/>
      <c r="I3126" s="41"/>
    </row>
    <row r="3127" spans="1:9" x14ac:dyDescent="0.2">
      <c r="A3127" s="22"/>
      <c r="B3127" s="63"/>
      <c r="H3127" s="41"/>
      <c r="I3127" s="41"/>
    </row>
    <row r="3128" spans="1:9" x14ac:dyDescent="0.2">
      <c r="A3128" s="22"/>
      <c r="B3128" s="63"/>
      <c r="H3128" s="41"/>
      <c r="I3128" s="41"/>
    </row>
    <row r="3129" spans="1:9" x14ac:dyDescent="0.2">
      <c r="A3129" s="22"/>
      <c r="B3129" s="63"/>
      <c r="H3129" s="41"/>
      <c r="I3129" s="41"/>
    </row>
    <row r="3130" spans="1:9" x14ac:dyDescent="0.2">
      <c r="A3130" s="22"/>
      <c r="B3130" s="63"/>
      <c r="H3130" s="41"/>
      <c r="I3130" s="41"/>
    </row>
    <row r="3131" spans="1:9" x14ac:dyDescent="0.2">
      <c r="A3131" s="22"/>
      <c r="B3131" s="63"/>
      <c r="H3131" s="41"/>
      <c r="I3131" s="41"/>
    </row>
    <row r="3132" spans="1:9" x14ac:dyDescent="0.2">
      <c r="A3132" s="22"/>
      <c r="B3132" s="63"/>
      <c r="H3132" s="41"/>
      <c r="I3132" s="41"/>
    </row>
    <row r="3133" spans="1:9" x14ac:dyDescent="0.2">
      <c r="A3133" s="22"/>
      <c r="B3133" s="63"/>
      <c r="H3133" s="41"/>
      <c r="I3133" s="41"/>
    </row>
    <row r="3134" spans="1:9" x14ac:dyDescent="0.2">
      <c r="A3134" s="22"/>
      <c r="B3134" s="63"/>
      <c r="H3134" s="41"/>
      <c r="I3134" s="41"/>
    </row>
    <row r="3135" spans="1:9" x14ac:dyDescent="0.2">
      <c r="A3135" s="22"/>
      <c r="B3135" s="63"/>
      <c r="H3135" s="41"/>
      <c r="I3135" s="41"/>
    </row>
    <row r="3136" spans="1:9" x14ac:dyDescent="0.2">
      <c r="A3136" s="22"/>
      <c r="B3136" s="63"/>
      <c r="H3136" s="41"/>
      <c r="I3136" s="41"/>
    </row>
    <row r="3137" spans="1:9" x14ac:dyDescent="0.2">
      <c r="A3137" s="22"/>
      <c r="B3137" s="63"/>
      <c r="H3137" s="41"/>
      <c r="I3137" s="41"/>
    </row>
    <row r="3138" spans="1:9" x14ac:dyDescent="0.2">
      <c r="A3138" s="22"/>
      <c r="B3138" s="63"/>
      <c r="H3138" s="41"/>
      <c r="I3138" s="41"/>
    </row>
    <row r="3139" spans="1:9" x14ac:dyDescent="0.2">
      <c r="A3139" s="22"/>
      <c r="B3139" s="63"/>
      <c r="H3139" s="41"/>
      <c r="I3139" s="41"/>
    </row>
    <row r="3140" spans="1:9" x14ac:dyDescent="0.2">
      <c r="A3140" s="22"/>
      <c r="B3140" s="63"/>
      <c r="H3140" s="41"/>
      <c r="I3140" s="41"/>
    </row>
    <row r="3141" spans="1:9" x14ac:dyDescent="0.2">
      <c r="A3141" s="22"/>
      <c r="B3141" s="63"/>
      <c r="H3141" s="41"/>
      <c r="I3141" s="41"/>
    </row>
    <row r="3142" spans="1:9" x14ac:dyDescent="0.2">
      <c r="A3142" s="22"/>
      <c r="B3142" s="63"/>
      <c r="H3142" s="41"/>
      <c r="I3142" s="41"/>
    </row>
    <row r="3143" spans="1:9" x14ac:dyDescent="0.2">
      <c r="A3143" s="22"/>
      <c r="B3143" s="63"/>
      <c r="H3143" s="41"/>
      <c r="I3143" s="41"/>
    </row>
    <row r="3144" spans="1:9" x14ac:dyDescent="0.2">
      <c r="A3144" s="22"/>
      <c r="B3144" s="63"/>
      <c r="H3144" s="41"/>
      <c r="I3144" s="41"/>
    </row>
    <row r="3145" spans="1:9" x14ac:dyDescent="0.2">
      <c r="A3145" s="22"/>
      <c r="B3145" s="63"/>
      <c r="H3145" s="41"/>
      <c r="I3145" s="41"/>
    </row>
    <row r="3146" spans="1:9" x14ac:dyDescent="0.2">
      <c r="A3146" s="22"/>
      <c r="B3146" s="63"/>
      <c r="H3146" s="41"/>
      <c r="I3146" s="41"/>
    </row>
    <row r="3147" spans="1:9" x14ac:dyDescent="0.2">
      <c r="A3147" s="22"/>
      <c r="B3147" s="63"/>
      <c r="H3147" s="41"/>
      <c r="I3147" s="41"/>
    </row>
    <row r="3148" spans="1:9" x14ac:dyDescent="0.2">
      <c r="A3148" s="22"/>
      <c r="B3148" s="63"/>
      <c r="H3148" s="41"/>
      <c r="I3148" s="41"/>
    </row>
    <row r="3149" spans="1:9" x14ac:dyDescent="0.2">
      <c r="A3149" s="22"/>
      <c r="B3149" s="63"/>
      <c r="H3149" s="41"/>
      <c r="I3149" s="41"/>
    </row>
    <row r="3150" spans="1:9" x14ac:dyDescent="0.2">
      <c r="A3150" s="22"/>
      <c r="B3150" s="63"/>
      <c r="H3150" s="41"/>
      <c r="I3150" s="41"/>
    </row>
    <row r="3151" spans="1:9" x14ac:dyDescent="0.2">
      <c r="A3151" s="22"/>
      <c r="B3151" s="63"/>
      <c r="H3151" s="41"/>
      <c r="I3151" s="41"/>
    </row>
    <row r="3152" spans="1:9" x14ac:dyDescent="0.2">
      <c r="A3152" s="22"/>
      <c r="B3152" s="63"/>
      <c r="H3152" s="41"/>
      <c r="I3152" s="41"/>
    </row>
    <row r="3153" spans="1:9" x14ac:dyDescent="0.2">
      <c r="A3153" s="22"/>
      <c r="B3153" s="63"/>
      <c r="H3153" s="41"/>
      <c r="I3153" s="41"/>
    </row>
    <row r="3154" spans="1:9" x14ac:dyDescent="0.2">
      <c r="A3154" s="22"/>
      <c r="B3154" s="63"/>
      <c r="H3154" s="41"/>
      <c r="I3154" s="41"/>
    </row>
    <row r="3155" spans="1:9" x14ac:dyDescent="0.2">
      <c r="A3155" s="22"/>
      <c r="B3155" s="63"/>
      <c r="H3155" s="41"/>
      <c r="I3155" s="41"/>
    </row>
    <row r="3156" spans="1:9" x14ac:dyDescent="0.2">
      <c r="A3156" s="22"/>
      <c r="B3156" s="63"/>
      <c r="H3156" s="41"/>
      <c r="I3156" s="41"/>
    </row>
    <row r="3157" spans="1:9" x14ac:dyDescent="0.2">
      <c r="A3157" s="22"/>
      <c r="B3157" s="63"/>
      <c r="H3157" s="41"/>
      <c r="I3157" s="41"/>
    </row>
    <row r="3158" spans="1:9" x14ac:dyDescent="0.2">
      <c r="A3158" s="22"/>
      <c r="B3158" s="63"/>
      <c r="H3158" s="41"/>
      <c r="I3158" s="41"/>
    </row>
    <row r="3159" spans="1:9" x14ac:dyDescent="0.2">
      <c r="A3159" s="22"/>
      <c r="B3159" s="63"/>
      <c r="H3159" s="41"/>
      <c r="I3159" s="41"/>
    </row>
    <row r="3160" spans="1:9" x14ac:dyDescent="0.2">
      <c r="A3160" s="22"/>
      <c r="B3160" s="63"/>
      <c r="H3160" s="41"/>
      <c r="I3160" s="41"/>
    </row>
    <row r="3161" spans="1:9" x14ac:dyDescent="0.2">
      <c r="A3161" s="22"/>
      <c r="B3161" s="63"/>
      <c r="H3161" s="41"/>
      <c r="I3161" s="41"/>
    </row>
    <row r="3162" spans="1:9" x14ac:dyDescent="0.2">
      <c r="A3162" s="22"/>
      <c r="B3162" s="63"/>
      <c r="H3162" s="41"/>
      <c r="I3162" s="41"/>
    </row>
    <row r="3163" spans="1:9" x14ac:dyDescent="0.2">
      <c r="A3163" s="22"/>
      <c r="B3163" s="63"/>
      <c r="H3163" s="41"/>
      <c r="I3163" s="41"/>
    </row>
    <row r="3164" spans="1:9" x14ac:dyDescent="0.2">
      <c r="A3164" s="22"/>
      <c r="B3164" s="63"/>
      <c r="H3164" s="41"/>
      <c r="I3164" s="41"/>
    </row>
    <row r="3165" spans="1:9" x14ac:dyDescent="0.2">
      <c r="A3165" s="22"/>
      <c r="B3165" s="63"/>
      <c r="H3165" s="41"/>
      <c r="I3165" s="41"/>
    </row>
    <row r="3166" spans="1:9" x14ac:dyDescent="0.2">
      <c r="A3166" s="22"/>
      <c r="B3166" s="63"/>
      <c r="H3166" s="41"/>
      <c r="I3166" s="41"/>
    </row>
    <row r="3167" spans="1:9" x14ac:dyDescent="0.2">
      <c r="A3167" s="22"/>
      <c r="B3167" s="63"/>
      <c r="H3167" s="41"/>
      <c r="I3167" s="41"/>
    </row>
    <row r="3168" spans="1:9" x14ac:dyDescent="0.2">
      <c r="A3168" s="22"/>
      <c r="B3168" s="63"/>
      <c r="H3168" s="41"/>
      <c r="I3168" s="41"/>
    </row>
    <row r="3169" spans="1:9" x14ac:dyDescent="0.2">
      <c r="A3169" s="22"/>
      <c r="B3169" s="63"/>
      <c r="H3169" s="41"/>
      <c r="I3169" s="41"/>
    </row>
    <row r="3170" spans="1:9" x14ac:dyDescent="0.2">
      <c r="A3170" s="22"/>
      <c r="B3170" s="63"/>
      <c r="H3170" s="41"/>
      <c r="I3170" s="41"/>
    </row>
    <row r="3171" spans="1:9" x14ac:dyDescent="0.2">
      <c r="A3171" s="22"/>
      <c r="B3171" s="63"/>
      <c r="H3171" s="41"/>
      <c r="I3171" s="41"/>
    </row>
    <row r="3172" spans="1:9" x14ac:dyDescent="0.2">
      <c r="A3172" s="22"/>
      <c r="B3172" s="63"/>
      <c r="H3172" s="41"/>
      <c r="I3172" s="41"/>
    </row>
    <row r="3173" spans="1:9" x14ac:dyDescent="0.2">
      <c r="A3173" s="22"/>
      <c r="B3173" s="63"/>
      <c r="H3173" s="41"/>
      <c r="I3173" s="41"/>
    </row>
    <row r="3174" spans="1:9" x14ac:dyDescent="0.2">
      <c r="A3174" s="22"/>
      <c r="B3174" s="63"/>
      <c r="H3174" s="41"/>
      <c r="I3174" s="41"/>
    </row>
    <row r="3175" spans="1:9" x14ac:dyDescent="0.2">
      <c r="A3175" s="22"/>
      <c r="B3175" s="63"/>
      <c r="H3175" s="41"/>
      <c r="I3175" s="41"/>
    </row>
    <row r="3176" spans="1:9" x14ac:dyDescent="0.2">
      <c r="A3176" s="22"/>
      <c r="B3176" s="63"/>
      <c r="H3176" s="41"/>
      <c r="I3176" s="41"/>
    </row>
    <row r="3177" spans="1:9" x14ac:dyDescent="0.2">
      <c r="A3177" s="22"/>
      <c r="B3177" s="63"/>
      <c r="H3177" s="41"/>
      <c r="I3177" s="41"/>
    </row>
    <row r="3178" spans="1:9" x14ac:dyDescent="0.2">
      <c r="A3178" s="22"/>
      <c r="B3178" s="63"/>
      <c r="H3178" s="41"/>
      <c r="I3178" s="41"/>
    </row>
    <row r="3179" spans="1:9" x14ac:dyDescent="0.2">
      <c r="A3179" s="22"/>
      <c r="B3179" s="63"/>
      <c r="H3179" s="41"/>
      <c r="I3179" s="41"/>
    </row>
    <row r="3180" spans="1:9" x14ac:dyDescent="0.2">
      <c r="A3180" s="22"/>
      <c r="B3180" s="63"/>
      <c r="H3180" s="41"/>
      <c r="I3180" s="41"/>
    </row>
    <row r="3181" spans="1:9" x14ac:dyDescent="0.2">
      <c r="A3181" s="22"/>
      <c r="B3181" s="63"/>
      <c r="H3181" s="41"/>
      <c r="I3181" s="41"/>
    </row>
    <row r="3182" spans="1:9" x14ac:dyDescent="0.2">
      <c r="A3182" s="22"/>
      <c r="B3182" s="63"/>
      <c r="H3182" s="41"/>
      <c r="I3182" s="41"/>
    </row>
    <row r="3183" spans="1:9" x14ac:dyDescent="0.2">
      <c r="A3183" s="22"/>
      <c r="B3183" s="63"/>
      <c r="H3183" s="41"/>
      <c r="I3183" s="41"/>
    </row>
    <row r="3184" spans="1:9" x14ac:dyDescent="0.2">
      <c r="A3184" s="22"/>
      <c r="B3184" s="63"/>
      <c r="H3184" s="41"/>
      <c r="I3184" s="41"/>
    </row>
    <row r="3185" spans="1:9" x14ac:dyDescent="0.2">
      <c r="A3185" s="22"/>
      <c r="B3185" s="63"/>
      <c r="H3185" s="41"/>
      <c r="I3185" s="41"/>
    </row>
    <row r="3186" spans="1:9" x14ac:dyDescent="0.2">
      <c r="A3186" s="22"/>
      <c r="B3186" s="63"/>
      <c r="H3186" s="41"/>
      <c r="I3186" s="41"/>
    </row>
    <row r="3187" spans="1:9" x14ac:dyDescent="0.2">
      <c r="A3187" s="22"/>
      <c r="B3187" s="63"/>
      <c r="H3187" s="41"/>
      <c r="I3187" s="41"/>
    </row>
    <row r="3188" spans="1:9" x14ac:dyDescent="0.2">
      <c r="A3188" s="22"/>
      <c r="B3188" s="63"/>
      <c r="H3188" s="41"/>
      <c r="I3188" s="41"/>
    </row>
    <row r="3189" spans="1:9" x14ac:dyDescent="0.2">
      <c r="A3189" s="22"/>
      <c r="B3189" s="63"/>
      <c r="H3189" s="41"/>
      <c r="I3189" s="41"/>
    </row>
    <row r="3190" spans="1:9" x14ac:dyDescent="0.2">
      <c r="A3190" s="22"/>
      <c r="B3190" s="63"/>
      <c r="H3190" s="41"/>
      <c r="I3190" s="41"/>
    </row>
    <row r="3191" spans="1:9" x14ac:dyDescent="0.2">
      <c r="A3191" s="22"/>
      <c r="B3191" s="63"/>
      <c r="H3191" s="41"/>
      <c r="I3191" s="41"/>
    </row>
    <row r="3192" spans="1:9" x14ac:dyDescent="0.2">
      <c r="A3192" s="22"/>
      <c r="B3192" s="63"/>
      <c r="H3192" s="41"/>
      <c r="I3192" s="41"/>
    </row>
    <row r="3193" spans="1:9" x14ac:dyDescent="0.2">
      <c r="A3193" s="22"/>
      <c r="B3193" s="63"/>
      <c r="H3193" s="41"/>
      <c r="I3193" s="41"/>
    </row>
    <row r="3194" spans="1:9" x14ac:dyDescent="0.2">
      <c r="A3194" s="22"/>
      <c r="B3194" s="63"/>
      <c r="H3194" s="41"/>
      <c r="I3194" s="41"/>
    </row>
    <row r="3195" spans="1:9" x14ac:dyDescent="0.2">
      <c r="A3195" s="22"/>
      <c r="B3195" s="63"/>
      <c r="H3195" s="41"/>
      <c r="I3195" s="41"/>
    </row>
    <row r="3196" spans="1:9" x14ac:dyDescent="0.2">
      <c r="A3196" s="22"/>
      <c r="B3196" s="63"/>
      <c r="H3196" s="41"/>
      <c r="I3196" s="41"/>
    </row>
    <row r="3197" spans="1:9" x14ac:dyDescent="0.2">
      <c r="A3197" s="22"/>
      <c r="B3197" s="63"/>
      <c r="H3197" s="41"/>
      <c r="I3197" s="41"/>
    </row>
    <row r="3198" spans="1:9" x14ac:dyDescent="0.2">
      <c r="A3198" s="22"/>
      <c r="B3198" s="63"/>
      <c r="H3198" s="41"/>
      <c r="I3198" s="41"/>
    </row>
    <row r="3199" spans="1:9" x14ac:dyDescent="0.2">
      <c r="A3199" s="22"/>
      <c r="B3199" s="63"/>
      <c r="H3199" s="41"/>
      <c r="I3199" s="41"/>
    </row>
    <row r="3200" spans="1:9" x14ac:dyDescent="0.2">
      <c r="A3200" s="22"/>
      <c r="B3200" s="63"/>
      <c r="H3200" s="41"/>
      <c r="I3200" s="41"/>
    </row>
    <row r="3201" spans="1:9" x14ac:dyDescent="0.2">
      <c r="A3201" s="22"/>
      <c r="B3201" s="63"/>
      <c r="H3201" s="41"/>
      <c r="I3201" s="41"/>
    </row>
    <row r="3202" spans="1:9" x14ac:dyDescent="0.2">
      <c r="A3202" s="22"/>
      <c r="B3202" s="63"/>
      <c r="H3202" s="41"/>
      <c r="I3202" s="41"/>
    </row>
    <row r="3203" spans="1:9" x14ac:dyDescent="0.2">
      <c r="A3203" s="22"/>
      <c r="B3203" s="63"/>
      <c r="H3203" s="41"/>
      <c r="I3203" s="41"/>
    </row>
    <row r="3204" spans="1:9" x14ac:dyDescent="0.2">
      <c r="A3204" s="22"/>
      <c r="B3204" s="63"/>
      <c r="H3204" s="41"/>
      <c r="I3204" s="41"/>
    </row>
    <row r="3205" spans="1:9" x14ac:dyDescent="0.2">
      <c r="A3205" s="22"/>
      <c r="B3205" s="63"/>
      <c r="H3205" s="41"/>
      <c r="I3205" s="41"/>
    </row>
    <row r="3206" spans="1:9" x14ac:dyDescent="0.2">
      <c r="A3206" s="22"/>
      <c r="B3206" s="63"/>
      <c r="H3206" s="41"/>
      <c r="I3206" s="41"/>
    </row>
    <row r="3207" spans="1:9" x14ac:dyDescent="0.2">
      <c r="A3207" s="22"/>
      <c r="B3207" s="63"/>
      <c r="H3207" s="41"/>
      <c r="I3207" s="41"/>
    </row>
    <row r="3208" spans="1:9" x14ac:dyDescent="0.2">
      <c r="A3208" s="22"/>
      <c r="B3208" s="63"/>
      <c r="H3208" s="41"/>
      <c r="I3208" s="41"/>
    </row>
    <row r="3209" spans="1:9" x14ac:dyDescent="0.2">
      <c r="A3209" s="22"/>
      <c r="B3209" s="63"/>
      <c r="H3209" s="41"/>
      <c r="I3209" s="41"/>
    </row>
    <row r="3210" spans="1:9" x14ac:dyDescent="0.2">
      <c r="A3210" s="22"/>
      <c r="B3210" s="63"/>
      <c r="H3210" s="41"/>
      <c r="I3210" s="41"/>
    </row>
    <row r="3211" spans="1:9" x14ac:dyDescent="0.2">
      <c r="A3211" s="22"/>
      <c r="B3211" s="63"/>
      <c r="H3211" s="41"/>
      <c r="I3211" s="41"/>
    </row>
    <row r="3212" spans="1:9" x14ac:dyDescent="0.2">
      <c r="A3212" s="22"/>
      <c r="B3212" s="63"/>
      <c r="H3212" s="41"/>
      <c r="I3212" s="41"/>
    </row>
    <row r="3213" spans="1:9" x14ac:dyDescent="0.2">
      <c r="A3213" s="22"/>
      <c r="B3213" s="63"/>
      <c r="H3213" s="41"/>
      <c r="I3213" s="41"/>
    </row>
    <row r="3214" spans="1:9" x14ac:dyDescent="0.2">
      <c r="A3214" s="22"/>
      <c r="B3214" s="63"/>
      <c r="H3214" s="41"/>
      <c r="I3214" s="41"/>
    </row>
    <row r="3215" spans="1:9" x14ac:dyDescent="0.2">
      <c r="A3215" s="22"/>
      <c r="B3215" s="63"/>
      <c r="H3215" s="41"/>
      <c r="I3215" s="41"/>
    </row>
    <row r="3216" spans="1:9" x14ac:dyDescent="0.2">
      <c r="A3216" s="22"/>
      <c r="B3216" s="63"/>
      <c r="H3216" s="41"/>
      <c r="I3216" s="41"/>
    </row>
    <row r="3217" spans="1:9" x14ac:dyDescent="0.2">
      <c r="A3217" s="22"/>
      <c r="B3217" s="63"/>
      <c r="H3217" s="41"/>
      <c r="I3217" s="41"/>
    </row>
    <row r="3218" spans="1:9" x14ac:dyDescent="0.2">
      <c r="A3218" s="22"/>
      <c r="B3218" s="63"/>
      <c r="H3218" s="41"/>
      <c r="I3218" s="41"/>
    </row>
    <row r="3219" spans="1:9" x14ac:dyDescent="0.2">
      <c r="A3219" s="22"/>
      <c r="B3219" s="63"/>
      <c r="H3219" s="41"/>
      <c r="I3219" s="41"/>
    </row>
    <row r="3220" spans="1:9" x14ac:dyDescent="0.2">
      <c r="A3220" s="22"/>
      <c r="B3220" s="63"/>
      <c r="H3220" s="41"/>
      <c r="I3220" s="41"/>
    </row>
    <row r="3221" spans="1:9" x14ac:dyDescent="0.2">
      <c r="A3221" s="22"/>
      <c r="B3221" s="63"/>
      <c r="H3221" s="41"/>
      <c r="I3221" s="41"/>
    </row>
    <row r="3222" spans="1:9" x14ac:dyDescent="0.2">
      <c r="A3222" s="22"/>
      <c r="B3222" s="63"/>
      <c r="H3222" s="41"/>
      <c r="I3222" s="41"/>
    </row>
    <row r="3223" spans="1:9" x14ac:dyDescent="0.2">
      <c r="A3223" s="22"/>
      <c r="B3223" s="63"/>
      <c r="H3223" s="41"/>
      <c r="I3223" s="41"/>
    </row>
    <row r="3224" spans="1:9" x14ac:dyDescent="0.2">
      <c r="A3224" s="22"/>
      <c r="B3224" s="63"/>
      <c r="H3224" s="41"/>
      <c r="I3224" s="41"/>
    </row>
    <row r="3225" spans="1:9" x14ac:dyDescent="0.2">
      <c r="A3225" s="22"/>
      <c r="B3225" s="63"/>
      <c r="H3225" s="41"/>
      <c r="I3225" s="41"/>
    </row>
    <row r="3226" spans="1:9" x14ac:dyDescent="0.2">
      <c r="A3226" s="22"/>
      <c r="B3226" s="63"/>
      <c r="H3226" s="41"/>
      <c r="I3226" s="41"/>
    </row>
    <row r="3227" spans="1:9" x14ac:dyDescent="0.2">
      <c r="A3227" s="22"/>
      <c r="B3227" s="63"/>
      <c r="H3227" s="41"/>
      <c r="I3227" s="41"/>
    </row>
    <row r="3228" spans="1:9" x14ac:dyDescent="0.2">
      <c r="A3228" s="22"/>
      <c r="B3228" s="63"/>
      <c r="H3228" s="41"/>
      <c r="I3228" s="41"/>
    </row>
    <row r="3229" spans="1:9" x14ac:dyDescent="0.2">
      <c r="A3229" s="22"/>
      <c r="B3229" s="63"/>
      <c r="H3229" s="41"/>
      <c r="I3229" s="41"/>
    </row>
    <row r="3230" spans="1:9" x14ac:dyDescent="0.2">
      <c r="A3230" s="22"/>
      <c r="B3230" s="63"/>
      <c r="H3230" s="41"/>
      <c r="I3230" s="41"/>
    </row>
    <row r="3231" spans="1:9" x14ac:dyDescent="0.2">
      <c r="A3231" s="22"/>
      <c r="B3231" s="63"/>
      <c r="H3231" s="41"/>
      <c r="I3231" s="41"/>
    </row>
    <row r="3232" spans="1:9" x14ac:dyDescent="0.2">
      <c r="A3232" s="22"/>
      <c r="B3232" s="63"/>
      <c r="H3232" s="41"/>
      <c r="I3232" s="41"/>
    </row>
    <row r="3233" spans="1:9" x14ac:dyDescent="0.2">
      <c r="A3233" s="22"/>
      <c r="B3233" s="63"/>
      <c r="H3233" s="41"/>
      <c r="I3233" s="41"/>
    </row>
    <row r="3234" spans="1:9" x14ac:dyDescent="0.2">
      <c r="A3234" s="22"/>
      <c r="B3234" s="63"/>
      <c r="H3234" s="41"/>
      <c r="I3234" s="41"/>
    </row>
    <row r="3235" spans="1:9" x14ac:dyDescent="0.2">
      <c r="A3235" s="22"/>
      <c r="B3235" s="63"/>
      <c r="H3235" s="41"/>
      <c r="I3235" s="41"/>
    </row>
    <row r="3236" spans="1:9" x14ac:dyDescent="0.2">
      <c r="A3236" s="22"/>
      <c r="B3236" s="63"/>
      <c r="H3236" s="41"/>
      <c r="I3236" s="41"/>
    </row>
    <row r="3237" spans="1:9" x14ac:dyDescent="0.2">
      <c r="A3237" s="22"/>
      <c r="B3237" s="63"/>
      <c r="H3237" s="41"/>
      <c r="I3237" s="41"/>
    </row>
    <row r="3238" spans="1:9" x14ac:dyDescent="0.2">
      <c r="A3238" s="22"/>
      <c r="B3238" s="63"/>
      <c r="H3238" s="41"/>
      <c r="I3238" s="41"/>
    </row>
    <row r="3239" spans="1:9" x14ac:dyDescent="0.2">
      <c r="A3239" s="22"/>
      <c r="B3239" s="63"/>
      <c r="H3239" s="41"/>
      <c r="I3239" s="41"/>
    </row>
    <row r="3240" spans="1:9" x14ac:dyDescent="0.2">
      <c r="A3240" s="22"/>
      <c r="B3240" s="63"/>
      <c r="H3240" s="41"/>
      <c r="I3240" s="41"/>
    </row>
    <row r="3241" spans="1:9" x14ac:dyDescent="0.2">
      <c r="A3241" s="22"/>
      <c r="B3241" s="63"/>
      <c r="H3241" s="41"/>
      <c r="I3241" s="41"/>
    </row>
    <row r="3242" spans="1:9" x14ac:dyDescent="0.2">
      <c r="A3242" s="22"/>
      <c r="B3242" s="63"/>
      <c r="H3242" s="41"/>
      <c r="I3242" s="41"/>
    </row>
    <row r="3243" spans="1:9" x14ac:dyDescent="0.2">
      <c r="A3243" s="22"/>
      <c r="B3243" s="63"/>
      <c r="H3243" s="41"/>
      <c r="I3243" s="41"/>
    </row>
    <row r="3244" spans="1:9" x14ac:dyDescent="0.2">
      <c r="A3244" s="22"/>
      <c r="B3244" s="63"/>
      <c r="H3244" s="41"/>
      <c r="I3244" s="41"/>
    </row>
    <row r="3245" spans="1:9" x14ac:dyDescent="0.2">
      <c r="A3245" s="22"/>
      <c r="B3245" s="63"/>
      <c r="H3245" s="41"/>
      <c r="I3245" s="41"/>
    </row>
    <row r="3246" spans="1:9" x14ac:dyDescent="0.2">
      <c r="A3246" s="22"/>
      <c r="B3246" s="63"/>
      <c r="H3246" s="41"/>
      <c r="I3246" s="41"/>
    </row>
    <row r="3247" spans="1:9" x14ac:dyDescent="0.2">
      <c r="A3247" s="22"/>
      <c r="B3247" s="63"/>
      <c r="H3247" s="41"/>
      <c r="I3247" s="41"/>
    </row>
    <row r="3248" spans="1:9" x14ac:dyDescent="0.2">
      <c r="A3248" s="22"/>
      <c r="B3248" s="63"/>
      <c r="H3248" s="41"/>
      <c r="I3248" s="41"/>
    </row>
    <row r="3249" spans="1:9" x14ac:dyDescent="0.2">
      <c r="A3249" s="22"/>
      <c r="B3249" s="63"/>
      <c r="H3249" s="41"/>
      <c r="I3249" s="41"/>
    </row>
    <row r="3250" spans="1:9" x14ac:dyDescent="0.2">
      <c r="A3250" s="22"/>
      <c r="B3250" s="63"/>
      <c r="H3250" s="41"/>
      <c r="I3250" s="41"/>
    </row>
    <row r="3251" spans="1:9" x14ac:dyDescent="0.2">
      <c r="A3251" s="22"/>
      <c r="B3251" s="63"/>
      <c r="H3251" s="41"/>
      <c r="I3251" s="41"/>
    </row>
    <row r="3252" spans="1:9" x14ac:dyDescent="0.2">
      <c r="A3252" s="22"/>
      <c r="B3252" s="63"/>
      <c r="H3252" s="41"/>
      <c r="I3252" s="41"/>
    </row>
    <row r="3253" spans="1:9" x14ac:dyDescent="0.2">
      <c r="A3253" s="22"/>
      <c r="B3253" s="63"/>
      <c r="H3253" s="41"/>
      <c r="I3253" s="41"/>
    </row>
    <row r="3254" spans="1:9" x14ac:dyDescent="0.2">
      <c r="A3254" s="22"/>
      <c r="B3254" s="63"/>
      <c r="H3254" s="41"/>
      <c r="I3254" s="41"/>
    </row>
    <row r="3255" spans="1:9" x14ac:dyDescent="0.2">
      <c r="A3255" s="22"/>
      <c r="B3255" s="63"/>
      <c r="H3255" s="41"/>
      <c r="I3255" s="41"/>
    </row>
    <row r="3256" spans="1:9" x14ac:dyDescent="0.2">
      <c r="A3256" s="22"/>
      <c r="B3256" s="63"/>
      <c r="H3256" s="41"/>
      <c r="I3256" s="41"/>
    </row>
    <row r="3257" spans="1:9" x14ac:dyDescent="0.2">
      <c r="A3257" s="22"/>
      <c r="B3257" s="63"/>
      <c r="H3257" s="41"/>
      <c r="I3257" s="41"/>
    </row>
    <row r="3258" spans="1:9" x14ac:dyDescent="0.2">
      <c r="A3258" s="22"/>
      <c r="B3258" s="63"/>
      <c r="H3258" s="41"/>
      <c r="I3258" s="41"/>
    </row>
    <row r="3259" spans="1:9" x14ac:dyDescent="0.2">
      <c r="A3259" s="22"/>
      <c r="B3259" s="63"/>
      <c r="H3259" s="41"/>
      <c r="I3259" s="41"/>
    </row>
    <row r="3260" spans="1:9" x14ac:dyDescent="0.2">
      <c r="A3260" s="22"/>
      <c r="B3260" s="63"/>
      <c r="H3260" s="41"/>
      <c r="I3260" s="41"/>
    </row>
    <row r="3261" spans="1:9" x14ac:dyDescent="0.2">
      <c r="A3261" s="22"/>
      <c r="B3261" s="63"/>
      <c r="H3261" s="41"/>
      <c r="I3261" s="41"/>
    </row>
    <row r="3262" spans="1:9" x14ac:dyDescent="0.2">
      <c r="A3262" s="22"/>
      <c r="B3262" s="63"/>
      <c r="H3262" s="41"/>
      <c r="I3262" s="41"/>
    </row>
    <row r="3263" spans="1:9" x14ac:dyDescent="0.2">
      <c r="A3263" s="22"/>
      <c r="B3263" s="63"/>
      <c r="H3263" s="41"/>
      <c r="I3263" s="41"/>
    </row>
    <row r="3264" spans="1:9" x14ac:dyDescent="0.2">
      <c r="A3264" s="22"/>
      <c r="B3264" s="63"/>
      <c r="H3264" s="41"/>
      <c r="I3264" s="41"/>
    </row>
    <row r="3265" spans="1:9" x14ac:dyDescent="0.2">
      <c r="A3265" s="22"/>
      <c r="B3265" s="63"/>
      <c r="H3265" s="41"/>
      <c r="I3265" s="41"/>
    </row>
    <row r="3266" spans="1:9" x14ac:dyDescent="0.2">
      <c r="A3266" s="22"/>
      <c r="B3266" s="63"/>
      <c r="H3266" s="41"/>
      <c r="I3266" s="41"/>
    </row>
    <row r="3267" spans="1:9" x14ac:dyDescent="0.2">
      <c r="A3267" s="22"/>
      <c r="B3267" s="63"/>
      <c r="H3267" s="41"/>
      <c r="I3267" s="41"/>
    </row>
    <row r="3268" spans="1:9" x14ac:dyDescent="0.2">
      <c r="A3268" s="22"/>
      <c r="B3268" s="63"/>
      <c r="H3268" s="41"/>
      <c r="I3268" s="41"/>
    </row>
    <row r="3269" spans="1:9" x14ac:dyDescent="0.2">
      <c r="A3269" s="22"/>
      <c r="B3269" s="63"/>
      <c r="H3269" s="41"/>
      <c r="I3269" s="41"/>
    </row>
    <row r="3270" spans="1:9" x14ac:dyDescent="0.2">
      <c r="A3270" s="22"/>
      <c r="B3270" s="63"/>
      <c r="H3270" s="41"/>
      <c r="I3270" s="41"/>
    </row>
    <row r="3271" spans="1:9" x14ac:dyDescent="0.2">
      <c r="A3271" s="22"/>
      <c r="B3271" s="63"/>
      <c r="H3271" s="41"/>
      <c r="I3271" s="41"/>
    </row>
    <row r="3272" spans="1:9" x14ac:dyDescent="0.2">
      <c r="A3272" s="22"/>
      <c r="B3272" s="63"/>
      <c r="H3272" s="41"/>
      <c r="I3272" s="41"/>
    </row>
    <row r="3273" spans="1:9" x14ac:dyDescent="0.2">
      <c r="A3273" s="22"/>
      <c r="B3273" s="63"/>
      <c r="H3273" s="41"/>
      <c r="I3273" s="41"/>
    </row>
    <row r="3274" spans="1:9" x14ac:dyDescent="0.2">
      <c r="A3274" s="22"/>
      <c r="B3274" s="63"/>
      <c r="H3274" s="41"/>
      <c r="I3274" s="41"/>
    </row>
    <row r="3275" spans="1:9" x14ac:dyDescent="0.2">
      <c r="A3275" s="22"/>
      <c r="B3275" s="63"/>
      <c r="H3275" s="41"/>
      <c r="I3275" s="41"/>
    </row>
    <row r="3276" spans="1:9" x14ac:dyDescent="0.2">
      <c r="A3276" s="22"/>
      <c r="B3276" s="63"/>
      <c r="H3276" s="41"/>
      <c r="I3276" s="41"/>
    </row>
    <row r="3277" spans="1:9" x14ac:dyDescent="0.2">
      <c r="A3277" s="22"/>
      <c r="B3277" s="63"/>
      <c r="H3277" s="41"/>
      <c r="I3277" s="41"/>
    </row>
    <row r="3278" spans="1:9" x14ac:dyDescent="0.2">
      <c r="A3278" s="22"/>
      <c r="B3278" s="63"/>
      <c r="H3278" s="41"/>
      <c r="I3278" s="41"/>
    </row>
    <row r="3279" spans="1:9" x14ac:dyDescent="0.2">
      <c r="A3279" s="22"/>
      <c r="B3279" s="63"/>
      <c r="H3279" s="41"/>
      <c r="I3279" s="41"/>
    </row>
    <row r="3280" spans="1:9" x14ac:dyDescent="0.2">
      <c r="A3280" s="22"/>
      <c r="B3280" s="63"/>
      <c r="H3280" s="41"/>
      <c r="I3280" s="41"/>
    </row>
    <row r="3281" spans="1:9" x14ac:dyDescent="0.2">
      <c r="A3281" s="22"/>
      <c r="B3281" s="63"/>
      <c r="H3281" s="41"/>
      <c r="I3281" s="41"/>
    </row>
    <row r="3282" spans="1:9" x14ac:dyDescent="0.2">
      <c r="A3282" s="22"/>
      <c r="B3282" s="63"/>
      <c r="H3282" s="41"/>
      <c r="I3282" s="41"/>
    </row>
    <row r="3283" spans="1:9" x14ac:dyDescent="0.2">
      <c r="A3283" s="22"/>
      <c r="B3283" s="63"/>
      <c r="H3283" s="41"/>
      <c r="I3283" s="41"/>
    </row>
    <row r="3284" spans="1:9" x14ac:dyDescent="0.2">
      <c r="A3284" s="22"/>
      <c r="B3284" s="63"/>
      <c r="H3284" s="41"/>
      <c r="I3284" s="41"/>
    </row>
    <row r="3285" spans="1:9" x14ac:dyDescent="0.2">
      <c r="A3285" s="22"/>
      <c r="B3285" s="63"/>
      <c r="H3285" s="41"/>
      <c r="I3285" s="41"/>
    </row>
    <row r="3286" spans="1:9" x14ac:dyDescent="0.2">
      <c r="A3286" s="22"/>
      <c r="B3286" s="63"/>
      <c r="H3286" s="41"/>
      <c r="I3286" s="41"/>
    </row>
    <row r="3287" spans="1:9" x14ac:dyDescent="0.2">
      <c r="A3287" s="22"/>
      <c r="B3287" s="63"/>
      <c r="H3287" s="41"/>
      <c r="I3287" s="41"/>
    </row>
    <row r="3288" spans="1:9" x14ac:dyDescent="0.2">
      <c r="A3288" s="22"/>
      <c r="B3288" s="63"/>
      <c r="H3288" s="41"/>
      <c r="I3288" s="41"/>
    </row>
    <row r="3289" spans="1:9" x14ac:dyDescent="0.2">
      <c r="A3289" s="22"/>
      <c r="B3289" s="63"/>
      <c r="H3289" s="41"/>
      <c r="I3289" s="41"/>
    </row>
    <row r="3290" spans="1:9" x14ac:dyDescent="0.2">
      <c r="A3290" s="22"/>
      <c r="B3290" s="63"/>
      <c r="H3290" s="41"/>
      <c r="I3290" s="41"/>
    </row>
    <row r="3291" spans="1:9" x14ac:dyDescent="0.2">
      <c r="A3291" s="22"/>
      <c r="B3291" s="63"/>
      <c r="H3291" s="41"/>
      <c r="I3291" s="41"/>
    </row>
    <row r="3292" spans="1:9" x14ac:dyDescent="0.2">
      <c r="A3292" s="22"/>
      <c r="B3292" s="63"/>
      <c r="H3292" s="41"/>
      <c r="I3292" s="41"/>
    </row>
    <row r="3293" spans="1:9" x14ac:dyDescent="0.2">
      <c r="A3293" s="22"/>
      <c r="B3293" s="63"/>
      <c r="H3293" s="41"/>
      <c r="I3293" s="41"/>
    </row>
    <row r="3294" spans="1:9" x14ac:dyDescent="0.2">
      <c r="A3294" s="22"/>
      <c r="B3294" s="63"/>
      <c r="H3294" s="41"/>
      <c r="I3294" s="41"/>
    </row>
    <row r="3295" spans="1:9" x14ac:dyDescent="0.2">
      <c r="A3295" s="22"/>
      <c r="B3295" s="63"/>
      <c r="H3295" s="41"/>
      <c r="I3295" s="41"/>
    </row>
    <row r="3296" spans="1:9" x14ac:dyDescent="0.2">
      <c r="A3296" s="22"/>
      <c r="B3296" s="63"/>
      <c r="H3296" s="41"/>
      <c r="I3296" s="41"/>
    </row>
    <row r="3297" spans="1:9" x14ac:dyDescent="0.2">
      <c r="A3297" s="22"/>
      <c r="B3297" s="63"/>
      <c r="H3297" s="41"/>
      <c r="I3297" s="41"/>
    </row>
    <row r="3298" spans="1:9" x14ac:dyDescent="0.2">
      <c r="A3298" s="22"/>
      <c r="B3298" s="63"/>
      <c r="H3298" s="41"/>
      <c r="I3298" s="41"/>
    </row>
    <row r="3299" spans="1:9" x14ac:dyDescent="0.2">
      <c r="A3299" s="22"/>
      <c r="B3299" s="63"/>
      <c r="H3299" s="41"/>
      <c r="I3299" s="41"/>
    </row>
    <row r="3300" spans="1:9" x14ac:dyDescent="0.2">
      <c r="A3300" s="22"/>
      <c r="B3300" s="63"/>
      <c r="H3300" s="41"/>
      <c r="I3300" s="41"/>
    </row>
    <row r="3301" spans="1:9" x14ac:dyDescent="0.2">
      <c r="A3301" s="22"/>
      <c r="B3301" s="63"/>
      <c r="H3301" s="41"/>
      <c r="I3301" s="41"/>
    </row>
    <row r="3302" spans="1:9" x14ac:dyDescent="0.2">
      <c r="A3302" s="22"/>
      <c r="B3302" s="63"/>
      <c r="H3302" s="41"/>
      <c r="I3302" s="41"/>
    </row>
    <row r="3303" spans="1:9" x14ac:dyDescent="0.2">
      <c r="A3303" s="22"/>
      <c r="B3303" s="63"/>
      <c r="H3303" s="41"/>
      <c r="I3303" s="41"/>
    </row>
    <row r="3304" spans="1:9" x14ac:dyDescent="0.2">
      <c r="A3304" s="22"/>
      <c r="B3304" s="63"/>
      <c r="H3304" s="41"/>
      <c r="I3304" s="41"/>
    </row>
    <row r="3305" spans="1:9" x14ac:dyDescent="0.2">
      <c r="A3305" s="22"/>
      <c r="B3305" s="63"/>
      <c r="H3305" s="41"/>
      <c r="I3305" s="41"/>
    </row>
    <row r="3306" spans="1:9" x14ac:dyDescent="0.2">
      <c r="A3306" s="22"/>
      <c r="B3306" s="63"/>
      <c r="H3306" s="41"/>
      <c r="I3306" s="41"/>
    </row>
    <row r="3307" spans="1:9" x14ac:dyDescent="0.2">
      <c r="A3307" s="22"/>
      <c r="B3307" s="63"/>
      <c r="H3307" s="41"/>
      <c r="I3307" s="41"/>
    </row>
    <row r="3308" spans="1:9" x14ac:dyDescent="0.2">
      <c r="A3308" s="22"/>
      <c r="B3308" s="63"/>
      <c r="H3308" s="41"/>
      <c r="I3308" s="41"/>
    </row>
    <row r="3309" spans="1:9" x14ac:dyDescent="0.2">
      <c r="A3309" s="22"/>
      <c r="B3309" s="63"/>
      <c r="H3309" s="41"/>
      <c r="I3309" s="41"/>
    </row>
    <row r="3310" spans="1:9" x14ac:dyDescent="0.2">
      <c r="A3310" s="22"/>
      <c r="B3310" s="63"/>
      <c r="H3310" s="41"/>
      <c r="I3310" s="41"/>
    </row>
    <row r="3311" spans="1:9" x14ac:dyDescent="0.2">
      <c r="A3311" s="22"/>
      <c r="B3311" s="63"/>
      <c r="H3311" s="41"/>
      <c r="I3311" s="41"/>
    </row>
    <row r="3312" spans="1:9" x14ac:dyDescent="0.2">
      <c r="A3312" s="22"/>
      <c r="B3312" s="63"/>
      <c r="H3312" s="41"/>
      <c r="I3312" s="41"/>
    </row>
    <row r="3313" spans="1:9" x14ac:dyDescent="0.2">
      <c r="A3313" s="22"/>
      <c r="B3313" s="63"/>
      <c r="H3313" s="41"/>
      <c r="I3313" s="41"/>
    </row>
    <row r="3314" spans="1:9" x14ac:dyDescent="0.2">
      <c r="A3314" s="22"/>
      <c r="B3314" s="63"/>
      <c r="H3314" s="41"/>
      <c r="I3314" s="41"/>
    </row>
    <row r="3315" spans="1:9" x14ac:dyDescent="0.2">
      <c r="A3315" s="22"/>
      <c r="B3315" s="63"/>
      <c r="H3315" s="41"/>
      <c r="I3315" s="41"/>
    </row>
    <row r="3316" spans="1:9" x14ac:dyDescent="0.2">
      <c r="A3316" s="22"/>
      <c r="B3316" s="63"/>
      <c r="H3316" s="41"/>
      <c r="I3316" s="41"/>
    </row>
    <row r="3317" spans="1:9" x14ac:dyDescent="0.2">
      <c r="A3317" s="22"/>
      <c r="B3317" s="63"/>
      <c r="H3317" s="41"/>
      <c r="I3317" s="41"/>
    </row>
    <row r="3318" spans="1:9" x14ac:dyDescent="0.2">
      <c r="A3318" s="22"/>
      <c r="B3318" s="63"/>
      <c r="H3318" s="41"/>
      <c r="I3318" s="41"/>
    </row>
    <row r="3319" spans="1:9" x14ac:dyDescent="0.2">
      <c r="A3319" s="22"/>
      <c r="B3319" s="63"/>
      <c r="H3319" s="41"/>
      <c r="I3319" s="41"/>
    </row>
    <row r="3320" spans="1:9" x14ac:dyDescent="0.2">
      <c r="A3320" s="22"/>
      <c r="B3320" s="63"/>
      <c r="H3320" s="41"/>
      <c r="I3320" s="41"/>
    </row>
    <row r="3321" spans="1:9" x14ac:dyDescent="0.2">
      <c r="A3321" s="22"/>
      <c r="B3321" s="63"/>
      <c r="H3321" s="41"/>
      <c r="I3321" s="41"/>
    </row>
    <row r="3322" spans="1:9" x14ac:dyDescent="0.2">
      <c r="A3322" s="22"/>
      <c r="B3322" s="63"/>
      <c r="H3322" s="41"/>
      <c r="I3322" s="41"/>
    </row>
    <row r="3323" spans="1:9" x14ac:dyDescent="0.2">
      <c r="A3323" s="22"/>
      <c r="B3323" s="63"/>
      <c r="H3323" s="41"/>
      <c r="I3323" s="41"/>
    </row>
    <row r="3324" spans="1:9" x14ac:dyDescent="0.2">
      <c r="A3324" s="22"/>
      <c r="B3324" s="63"/>
      <c r="H3324" s="41"/>
      <c r="I3324" s="41"/>
    </row>
    <row r="3325" spans="1:9" x14ac:dyDescent="0.2">
      <c r="A3325" s="22"/>
      <c r="B3325" s="63"/>
      <c r="H3325" s="41"/>
      <c r="I3325" s="41"/>
    </row>
    <row r="3326" spans="1:9" x14ac:dyDescent="0.2">
      <c r="A3326" s="22"/>
      <c r="B3326" s="63"/>
      <c r="H3326" s="41"/>
      <c r="I3326" s="41"/>
    </row>
    <row r="3327" spans="1:9" x14ac:dyDescent="0.2">
      <c r="A3327" s="22"/>
      <c r="B3327" s="63"/>
      <c r="H3327" s="41"/>
      <c r="I3327" s="41"/>
    </row>
    <row r="3328" spans="1:9" x14ac:dyDescent="0.2">
      <c r="A3328" s="22"/>
      <c r="B3328" s="63"/>
      <c r="H3328" s="41"/>
      <c r="I3328" s="41"/>
    </row>
    <row r="3329" spans="1:9" x14ac:dyDescent="0.2">
      <c r="A3329" s="22"/>
      <c r="B3329" s="63"/>
      <c r="H3329" s="41"/>
      <c r="I3329" s="41"/>
    </row>
    <row r="3330" spans="1:9" x14ac:dyDescent="0.2">
      <c r="A3330" s="22"/>
      <c r="B3330" s="63"/>
      <c r="H3330" s="41"/>
      <c r="I3330" s="41"/>
    </row>
    <row r="3331" spans="1:9" x14ac:dyDescent="0.2">
      <c r="A3331" s="22"/>
      <c r="B3331" s="63"/>
      <c r="H3331" s="41"/>
      <c r="I3331" s="41"/>
    </row>
    <row r="3332" spans="1:9" x14ac:dyDescent="0.2">
      <c r="A3332" s="22"/>
      <c r="B3332" s="63"/>
      <c r="H3332" s="41"/>
      <c r="I3332" s="41"/>
    </row>
    <row r="3333" spans="1:9" x14ac:dyDescent="0.2">
      <c r="A3333" s="22"/>
      <c r="B3333" s="63"/>
      <c r="H3333" s="41"/>
      <c r="I3333" s="41"/>
    </row>
    <row r="3334" spans="1:9" x14ac:dyDescent="0.2">
      <c r="A3334" s="22"/>
      <c r="B3334" s="63"/>
      <c r="H3334" s="41"/>
      <c r="I3334" s="41"/>
    </row>
    <row r="3335" spans="1:9" x14ac:dyDescent="0.2">
      <c r="A3335" s="22"/>
      <c r="B3335" s="63"/>
      <c r="H3335" s="41"/>
      <c r="I3335" s="41"/>
    </row>
    <row r="3336" spans="1:9" x14ac:dyDescent="0.2">
      <c r="A3336" s="22"/>
      <c r="B3336" s="63"/>
      <c r="H3336" s="41"/>
      <c r="I3336" s="41"/>
    </row>
    <row r="3337" spans="1:9" x14ac:dyDescent="0.2">
      <c r="A3337" s="22"/>
      <c r="B3337" s="63"/>
      <c r="H3337" s="41"/>
      <c r="I3337" s="41"/>
    </row>
    <row r="3338" spans="1:9" x14ac:dyDescent="0.2">
      <c r="A3338" s="22"/>
      <c r="B3338" s="63"/>
      <c r="H3338" s="41"/>
      <c r="I3338" s="41"/>
    </row>
    <row r="3339" spans="1:9" x14ac:dyDescent="0.2">
      <c r="A3339" s="22"/>
      <c r="B3339" s="63"/>
      <c r="H3339" s="41"/>
      <c r="I3339" s="41"/>
    </row>
    <row r="3340" spans="1:9" x14ac:dyDescent="0.2">
      <c r="A3340" s="22"/>
      <c r="B3340" s="63"/>
      <c r="H3340" s="41"/>
      <c r="I3340" s="41"/>
    </row>
    <row r="3341" spans="1:9" x14ac:dyDescent="0.2">
      <c r="A3341" s="22"/>
      <c r="B3341" s="63"/>
      <c r="H3341" s="41"/>
      <c r="I3341" s="41"/>
    </row>
    <row r="3342" spans="1:9" x14ac:dyDescent="0.2">
      <c r="A3342" s="22"/>
      <c r="B3342" s="63"/>
      <c r="H3342" s="41"/>
      <c r="I3342" s="41"/>
    </row>
    <row r="3343" spans="1:9" x14ac:dyDescent="0.2">
      <c r="A3343" s="22"/>
      <c r="B3343" s="63"/>
      <c r="H3343" s="41"/>
      <c r="I3343" s="41"/>
    </row>
    <row r="3344" spans="1:9" x14ac:dyDescent="0.2">
      <c r="A3344" s="22"/>
      <c r="B3344" s="63"/>
      <c r="H3344" s="41"/>
      <c r="I3344" s="41"/>
    </row>
    <row r="3345" spans="1:9" x14ac:dyDescent="0.2">
      <c r="A3345" s="22"/>
      <c r="B3345" s="63"/>
      <c r="H3345" s="41"/>
      <c r="I3345" s="41"/>
    </row>
    <row r="3346" spans="1:9" x14ac:dyDescent="0.2">
      <c r="A3346" s="22"/>
      <c r="B3346" s="63"/>
      <c r="H3346" s="41"/>
      <c r="I3346" s="41"/>
    </row>
    <row r="3347" spans="1:9" x14ac:dyDescent="0.2">
      <c r="A3347" s="22"/>
      <c r="B3347" s="63"/>
      <c r="H3347" s="41"/>
      <c r="I3347" s="41"/>
    </row>
    <row r="3348" spans="1:9" x14ac:dyDescent="0.2">
      <c r="A3348" s="22"/>
      <c r="B3348" s="63"/>
      <c r="H3348" s="41"/>
      <c r="I3348" s="41"/>
    </row>
    <row r="3349" spans="1:9" x14ac:dyDescent="0.2">
      <c r="A3349" s="22"/>
      <c r="B3349" s="63"/>
      <c r="H3349" s="41"/>
      <c r="I3349" s="41"/>
    </row>
    <row r="3350" spans="1:9" x14ac:dyDescent="0.2">
      <c r="A3350" s="22"/>
      <c r="B3350" s="63"/>
      <c r="H3350" s="41"/>
      <c r="I3350" s="41"/>
    </row>
    <row r="3351" spans="1:9" x14ac:dyDescent="0.2">
      <c r="A3351" s="22"/>
      <c r="B3351" s="63"/>
      <c r="H3351" s="41"/>
      <c r="I3351" s="41"/>
    </row>
    <row r="3352" spans="1:9" x14ac:dyDescent="0.2">
      <c r="A3352" s="22"/>
      <c r="B3352" s="63"/>
      <c r="H3352" s="41"/>
      <c r="I3352" s="41"/>
    </row>
    <row r="3353" spans="1:9" x14ac:dyDescent="0.2">
      <c r="A3353" s="22"/>
      <c r="B3353" s="63"/>
      <c r="H3353" s="41"/>
      <c r="I3353" s="41"/>
    </row>
    <row r="3354" spans="1:9" x14ac:dyDescent="0.2">
      <c r="A3354" s="22"/>
      <c r="B3354" s="63"/>
      <c r="H3354" s="41"/>
      <c r="I3354" s="41"/>
    </row>
    <row r="3355" spans="1:9" x14ac:dyDescent="0.2">
      <c r="A3355" s="22"/>
      <c r="B3355" s="63"/>
      <c r="H3355" s="41"/>
      <c r="I3355" s="41"/>
    </row>
    <row r="3356" spans="1:9" x14ac:dyDescent="0.2">
      <c r="A3356" s="22"/>
      <c r="B3356" s="63"/>
      <c r="H3356" s="41"/>
      <c r="I3356" s="41"/>
    </row>
    <row r="3357" spans="1:9" x14ac:dyDescent="0.2">
      <c r="A3357" s="22"/>
      <c r="B3357" s="63"/>
      <c r="H3357" s="41"/>
      <c r="I3357" s="41"/>
    </row>
    <row r="3358" spans="1:9" x14ac:dyDescent="0.2">
      <c r="A3358" s="22"/>
      <c r="B3358" s="63"/>
      <c r="H3358" s="41"/>
      <c r="I3358" s="41"/>
    </row>
    <row r="3359" spans="1:9" x14ac:dyDescent="0.2">
      <c r="A3359" s="22"/>
      <c r="B3359" s="63"/>
      <c r="H3359" s="41"/>
      <c r="I3359" s="41"/>
    </row>
    <row r="3360" spans="1:9" x14ac:dyDescent="0.2">
      <c r="A3360" s="22"/>
      <c r="B3360" s="63"/>
      <c r="H3360" s="41"/>
      <c r="I3360" s="41"/>
    </row>
    <row r="3361" spans="1:9" x14ac:dyDescent="0.2">
      <c r="A3361" s="22"/>
      <c r="B3361" s="63"/>
      <c r="H3361" s="41"/>
      <c r="I3361" s="41"/>
    </row>
    <row r="3362" spans="1:9" x14ac:dyDescent="0.2">
      <c r="A3362" s="22"/>
      <c r="B3362" s="63"/>
      <c r="H3362" s="41"/>
      <c r="I3362" s="41"/>
    </row>
    <row r="3363" spans="1:9" x14ac:dyDescent="0.2">
      <c r="A3363" s="22"/>
      <c r="B3363" s="63"/>
      <c r="H3363" s="41"/>
      <c r="I3363" s="41"/>
    </row>
    <row r="3364" spans="1:9" x14ac:dyDescent="0.2">
      <c r="A3364" s="22"/>
      <c r="B3364" s="63"/>
      <c r="H3364" s="41"/>
      <c r="I3364" s="41"/>
    </row>
    <row r="3365" spans="1:9" x14ac:dyDescent="0.2">
      <c r="A3365" s="22"/>
      <c r="B3365" s="63"/>
      <c r="H3365" s="41"/>
      <c r="I3365" s="41"/>
    </row>
    <row r="3366" spans="1:9" x14ac:dyDescent="0.2">
      <c r="A3366" s="22"/>
      <c r="B3366" s="63"/>
      <c r="H3366" s="41"/>
      <c r="I3366" s="41"/>
    </row>
    <row r="3367" spans="1:9" x14ac:dyDescent="0.2">
      <c r="A3367" s="22"/>
      <c r="B3367" s="63"/>
      <c r="H3367" s="41"/>
      <c r="I3367" s="41"/>
    </row>
    <row r="3368" spans="1:9" x14ac:dyDescent="0.2">
      <c r="A3368" s="22"/>
      <c r="B3368" s="63"/>
      <c r="H3368" s="41"/>
      <c r="I3368" s="41"/>
    </row>
    <row r="3369" spans="1:9" x14ac:dyDescent="0.2">
      <c r="A3369" s="22"/>
      <c r="B3369" s="63"/>
      <c r="H3369" s="41"/>
      <c r="I3369" s="41"/>
    </row>
    <row r="3370" spans="1:9" x14ac:dyDescent="0.2">
      <c r="A3370" s="22"/>
      <c r="B3370" s="63"/>
      <c r="H3370" s="41"/>
      <c r="I3370" s="41"/>
    </row>
    <row r="3371" spans="1:9" x14ac:dyDescent="0.2">
      <c r="A3371" s="22"/>
      <c r="B3371" s="63"/>
      <c r="H3371" s="41"/>
      <c r="I3371" s="41"/>
    </row>
    <row r="3372" spans="1:9" x14ac:dyDescent="0.2">
      <c r="A3372" s="22"/>
      <c r="B3372" s="63"/>
      <c r="H3372" s="41"/>
      <c r="I3372" s="41"/>
    </row>
    <row r="3373" spans="1:9" x14ac:dyDescent="0.2">
      <c r="A3373" s="22"/>
      <c r="B3373" s="63"/>
      <c r="H3373" s="41"/>
      <c r="I3373" s="41"/>
    </row>
    <row r="3374" spans="1:9" x14ac:dyDescent="0.2">
      <c r="A3374" s="22"/>
      <c r="B3374" s="63"/>
      <c r="H3374" s="41"/>
      <c r="I3374" s="41"/>
    </row>
    <row r="3375" spans="1:9" x14ac:dyDescent="0.2">
      <c r="A3375" s="22"/>
      <c r="B3375" s="63"/>
      <c r="H3375" s="41"/>
      <c r="I3375" s="41"/>
    </row>
    <row r="3376" spans="1:9" x14ac:dyDescent="0.2">
      <c r="A3376" s="22"/>
      <c r="B3376" s="63"/>
      <c r="H3376" s="41"/>
      <c r="I3376" s="41"/>
    </row>
    <row r="3377" spans="1:9" x14ac:dyDescent="0.2">
      <c r="A3377" s="22"/>
      <c r="B3377" s="63"/>
      <c r="H3377" s="41"/>
      <c r="I3377" s="41"/>
    </row>
    <row r="3378" spans="1:9" x14ac:dyDescent="0.2">
      <c r="A3378" s="22"/>
      <c r="B3378" s="63"/>
      <c r="H3378" s="41"/>
      <c r="I3378" s="41"/>
    </row>
    <row r="3379" spans="1:9" x14ac:dyDescent="0.2">
      <c r="A3379" s="22"/>
      <c r="B3379" s="63"/>
      <c r="H3379" s="41"/>
      <c r="I3379" s="41"/>
    </row>
    <row r="3380" spans="1:9" x14ac:dyDescent="0.2">
      <c r="A3380" s="22"/>
      <c r="B3380" s="63"/>
      <c r="H3380" s="41"/>
      <c r="I3380" s="41"/>
    </row>
    <row r="3381" spans="1:9" x14ac:dyDescent="0.2">
      <c r="A3381" s="22"/>
      <c r="B3381" s="63"/>
      <c r="H3381" s="41"/>
      <c r="I3381" s="41"/>
    </row>
    <row r="3382" spans="1:9" x14ac:dyDescent="0.2">
      <c r="A3382" s="22"/>
      <c r="B3382" s="63"/>
      <c r="H3382" s="41"/>
      <c r="I3382" s="41"/>
    </row>
    <row r="3383" spans="1:9" x14ac:dyDescent="0.2">
      <c r="A3383" s="22"/>
      <c r="B3383" s="63"/>
      <c r="H3383" s="41"/>
      <c r="I3383" s="41"/>
    </row>
    <row r="3384" spans="1:9" x14ac:dyDescent="0.2">
      <c r="A3384" s="22"/>
      <c r="B3384" s="63"/>
      <c r="H3384" s="41"/>
      <c r="I3384" s="41"/>
    </row>
    <row r="3385" spans="1:9" x14ac:dyDescent="0.2">
      <c r="A3385" s="22"/>
      <c r="B3385" s="63"/>
      <c r="H3385" s="41"/>
      <c r="I3385" s="41"/>
    </row>
    <row r="3386" spans="1:9" x14ac:dyDescent="0.2">
      <c r="A3386" s="22"/>
      <c r="B3386" s="63"/>
      <c r="H3386" s="41"/>
      <c r="I3386" s="41"/>
    </row>
    <row r="3387" spans="1:9" x14ac:dyDescent="0.2">
      <c r="A3387" s="22"/>
      <c r="B3387" s="63"/>
      <c r="H3387" s="41"/>
      <c r="I3387" s="41"/>
    </row>
    <row r="3388" spans="1:9" x14ac:dyDescent="0.2">
      <c r="A3388" s="22"/>
      <c r="B3388" s="63"/>
      <c r="H3388" s="41"/>
      <c r="I3388" s="41"/>
    </row>
    <row r="3389" spans="1:9" x14ac:dyDescent="0.2">
      <c r="A3389" s="22"/>
      <c r="B3389" s="63"/>
      <c r="H3389" s="41"/>
      <c r="I3389" s="41"/>
    </row>
    <row r="3390" spans="1:9" x14ac:dyDescent="0.2">
      <c r="A3390" s="22"/>
      <c r="B3390" s="63"/>
      <c r="H3390" s="41"/>
      <c r="I3390" s="41"/>
    </row>
    <row r="3391" spans="1:9" x14ac:dyDescent="0.2">
      <c r="A3391" s="22"/>
      <c r="B3391" s="63"/>
      <c r="H3391" s="41"/>
      <c r="I3391" s="41"/>
    </row>
    <row r="3392" spans="1:9" x14ac:dyDescent="0.2">
      <c r="A3392" s="22"/>
      <c r="B3392" s="63"/>
      <c r="H3392" s="41"/>
      <c r="I3392" s="41"/>
    </row>
    <row r="3393" spans="1:9" x14ac:dyDescent="0.2">
      <c r="A3393" s="22"/>
      <c r="B3393" s="63"/>
      <c r="H3393" s="41"/>
      <c r="I3393" s="41"/>
    </row>
    <row r="3394" spans="1:9" x14ac:dyDescent="0.2">
      <c r="A3394" s="22"/>
      <c r="B3394" s="63"/>
      <c r="H3394" s="41"/>
      <c r="I3394" s="41"/>
    </row>
    <row r="3395" spans="1:9" x14ac:dyDescent="0.2">
      <c r="A3395" s="22"/>
      <c r="B3395" s="63"/>
      <c r="H3395" s="41"/>
      <c r="I3395" s="41"/>
    </row>
    <row r="3396" spans="1:9" x14ac:dyDescent="0.2">
      <c r="A3396" s="22"/>
      <c r="B3396" s="63"/>
      <c r="H3396" s="41"/>
      <c r="I3396" s="41"/>
    </row>
    <row r="3397" spans="1:9" x14ac:dyDescent="0.2">
      <c r="A3397" s="22"/>
      <c r="B3397" s="63"/>
      <c r="H3397" s="41"/>
      <c r="I3397" s="41"/>
    </row>
    <row r="3398" spans="1:9" x14ac:dyDescent="0.2">
      <c r="A3398" s="22"/>
      <c r="B3398" s="63"/>
      <c r="H3398" s="41"/>
      <c r="I3398" s="41"/>
    </row>
    <row r="3399" spans="1:9" x14ac:dyDescent="0.2">
      <c r="A3399" s="22"/>
      <c r="B3399" s="63"/>
      <c r="H3399" s="41"/>
      <c r="I3399" s="41"/>
    </row>
    <row r="3400" spans="1:9" x14ac:dyDescent="0.2">
      <c r="A3400" s="22"/>
      <c r="B3400" s="63"/>
      <c r="H3400" s="41"/>
      <c r="I3400" s="41"/>
    </row>
    <row r="3401" spans="1:9" x14ac:dyDescent="0.2">
      <c r="A3401" s="22"/>
      <c r="B3401" s="63"/>
      <c r="H3401" s="41"/>
      <c r="I3401" s="41"/>
    </row>
    <row r="3402" spans="1:9" x14ac:dyDescent="0.2">
      <c r="A3402" s="22"/>
      <c r="B3402" s="63"/>
      <c r="H3402" s="41"/>
      <c r="I3402" s="41"/>
    </row>
    <row r="3403" spans="1:9" x14ac:dyDescent="0.2">
      <c r="A3403" s="22"/>
      <c r="B3403" s="63"/>
      <c r="H3403" s="41"/>
      <c r="I3403" s="41"/>
    </row>
    <row r="3404" spans="1:9" x14ac:dyDescent="0.2">
      <c r="A3404" s="22"/>
      <c r="B3404" s="63"/>
      <c r="H3404" s="41"/>
      <c r="I3404" s="41"/>
    </row>
    <row r="3405" spans="1:9" x14ac:dyDescent="0.2">
      <c r="A3405" s="22"/>
      <c r="B3405" s="63"/>
      <c r="H3405" s="41"/>
      <c r="I3405" s="41"/>
    </row>
    <row r="3406" spans="1:9" x14ac:dyDescent="0.2">
      <c r="A3406" s="22"/>
      <c r="B3406" s="63"/>
      <c r="H3406" s="41"/>
      <c r="I3406" s="41"/>
    </row>
    <row r="3407" spans="1:9" x14ac:dyDescent="0.2">
      <c r="A3407" s="22"/>
      <c r="B3407" s="63"/>
      <c r="H3407" s="41"/>
      <c r="I3407" s="41"/>
    </row>
    <row r="3408" spans="1:9" x14ac:dyDescent="0.2">
      <c r="A3408" s="22"/>
      <c r="B3408" s="63"/>
      <c r="H3408" s="41"/>
      <c r="I3408" s="41"/>
    </row>
    <row r="3409" spans="1:9" x14ac:dyDescent="0.2">
      <c r="A3409" s="22"/>
      <c r="B3409" s="63"/>
      <c r="H3409" s="41"/>
      <c r="I3409" s="41"/>
    </row>
    <row r="3410" spans="1:9" x14ac:dyDescent="0.2">
      <c r="A3410" s="22"/>
      <c r="B3410" s="63"/>
      <c r="H3410" s="41"/>
      <c r="I3410" s="41"/>
    </row>
    <row r="3411" spans="1:9" x14ac:dyDescent="0.2">
      <c r="A3411" s="22"/>
      <c r="B3411" s="63"/>
      <c r="H3411" s="41"/>
      <c r="I3411" s="41"/>
    </row>
    <row r="3412" spans="1:9" x14ac:dyDescent="0.2">
      <c r="A3412" s="22"/>
      <c r="B3412" s="63"/>
      <c r="H3412" s="41"/>
      <c r="I3412" s="41"/>
    </row>
    <row r="3413" spans="1:9" x14ac:dyDescent="0.2">
      <c r="A3413" s="22"/>
      <c r="B3413" s="63"/>
      <c r="H3413" s="41"/>
      <c r="I3413" s="41"/>
    </row>
    <row r="3414" spans="1:9" x14ac:dyDescent="0.2">
      <c r="A3414" s="22"/>
      <c r="B3414" s="63"/>
      <c r="H3414" s="41"/>
      <c r="I3414" s="41"/>
    </row>
    <row r="3415" spans="1:9" x14ac:dyDescent="0.2">
      <c r="A3415" s="22"/>
      <c r="B3415" s="63"/>
      <c r="H3415" s="41"/>
      <c r="I3415" s="41"/>
    </row>
    <row r="3416" spans="1:9" x14ac:dyDescent="0.2">
      <c r="A3416" s="22"/>
      <c r="B3416" s="63"/>
      <c r="H3416" s="41"/>
      <c r="I3416" s="41"/>
    </row>
    <row r="3417" spans="1:9" x14ac:dyDescent="0.2">
      <c r="A3417" s="22"/>
      <c r="B3417" s="63"/>
      <c r="H3417" s="41"/>
      <c r="I3417" s="41"/>
    </row>
    <row r="3418" spans="1:9" x14ac:dyDescent="0.2">
      <c r="A3418" s="22"/>
      <c r="B3418" s="63"/>
      <c r="H3418" s="41"/>
      <c r="I3418" s="41"/>
    </row>
    <row r="3419" spans="1:9" x14ac:dyDescent="0.2">
      <c r="A3419" s="22"/>
      <c r="B3419" s="63"/>
      <c r="H3419" s="41"/>
      <c r="I3419" s="41"/>
    </row>
    <row r="3420" spans="1:9" x14ac:dyDescent="0.2">
      <c r="A3420" s="22"/>
      <c r="B3420" s="63"/>
      <c r="H3420" s="41"/>
      <c r="I3420" s="41"/>
    </row>
    <row r="3421" spans="1:9" x14ac:dyDescent="0.2">
      <c r="A3421" s="22"/>
      <c r="B3421" s="63"/>
      <c r="H3421" s="41"/>
      <c r="I3421" s="41"/>
    </row>
    <row r="3422" spans="1:9" x14ac:dyDescent="0.2">
      <c r="A3422" s="22"/>
      <c r="B3422" s="63"/>
      <c r="H3422" s="41"/>
      <c r="I3422" s="41"/>
    </row>
    <row r="3423" spans="1:9" x14ac:dyDescent="0.2">
      <c r="A3423" s="22"/>
      <c r="B3423" s="63"/>
      <c r="H3423" s="41"/>
      <c r="I3423" s="41"/>
    </row>
    <row r="3424" spans="1:9" x14ac:dyDescent="0.2">
      <c r="A3424" s="22"/>
      <c r="B3424" s="63"/>
      <c r="H3424" s="41"/>
      <c r="I3424" s="41"/>
    </row>
    <row r="3425" spans="1:9" x14ac:dyDescent="0.2">
      <c r="A3425" s="22"/>
      <c r="B3425" s="63"/>
      <c r="H3425" s="41"/>
      <c r="I3425" s="41"/>
    </row>
    <row r="3426" spans="1:9" x14ac:dyDescent="0.2">
      <c r="A3426" s="22"/>
      <c r="B3426" s="63"/>
      <c r="H3426" s="41"/>
      <c r="I3426" s="41"/>
    </row>
    <row r="3427" spans="1:9" x14ac:dyDescent="0.2">
      <c r="A3427" s="22"/>
      <c r="B3427" s="63"/>
      <c r="H3427" s="41"/>
      <c r="I3427" s="41"/>
    </row>
    <row r="3428" spans="1:9" x14ac:dyDescent="0.2">
      <c r="A3428" s="22"/>
      <c r="B3428" s="63"/>
      <c r="H3428" s="41"/>
      <c r="I3428" s="41"/>
    </row>
    <row r="3429" spans="1:9" x14ac:dyDescent="0.2">
      <c r="A3429" s="22"/>
      <c r="B3429" s="63"/>
      <c r="H3429" s="41"/>
      <c r="I3429" s="41"/>
    </row>
    <row r="3430" spans="1:9" x14ac:dyDescent="0.2">
      <c r="A3430" s="22"/>
      <c r="B3430" s="63"/>
      <c r="H3430" s="41"/>
      <c r="I3430" s="41"/>
    </row>
    <row r="3431" spans="1:9" x14ac:dyDescent="0.2">
      <c r="A3431" s="22"/>
      <c r="B3431" s="63"/>
      <c r="H3431" s="41"/>
      <c r="I3431" s="41"/>
    </row>
    <row r="3432" spans="1:9" x14ac:dyDescent="0.2">
      <c r="A3432" s="22"/>
      <c r="B3432" s="63"/>
      <c r="H3432" s="41"/>
      <c r="I3432" s="41"/>
    </row>
    <row r="3433" spans="1:9" x14ac:dyDescent="0.2">
      <c r="A3433" s="22"/>
      <c r="B3433" s="63"/>
      <c r="H3433" s="41"/>
      <c r="I3433" s="41"/>
    </row>
    <row r="3434" spans="1:9" x14ac:dyDescent="0.2">
      <c r="A3434" s="22"/>
      <c r="B3434" s="63"/>
      <c r="H3434" s="41"/>
      <c r="I3434" s="41"/>
    </row>
    <row r="3435" spans="1:9" x14ac:dyDescent="0.2">
      <c r="A3435" s="22"/>
      <c r="B3435" s="63"/>
      <c r="H3435" s="41"/>
      <c r="I3435" s="41"/>
    </row>
    <row r="3436" spans="1:9" x14ac:dyDescent="0.2">
      <c r="A3436" s="22"/>
      <c r="B3436" s="63"/>
      <c r="H3436" s="41"/>
      <c r="I3436" s="41"/>
    </row>
    <row r="3437" spans="1:9" x14ac:dyDescent="0.2">
      <c r="A3437" s="22"/>
      <c r="B3437" s="63"/>
      <c r="H3437" s="41"/>
      <c r="I3437" s="41"/>
    </row>
    <row r="3438" spans="1:9" x14ac:dyDescent="0.2">
      <c r="A3438" s="22"/>
      <c r="B3438" s="63"/>
      <c r="H3438" s="41"/>
      <c r="I3438" s="41"/>
    </row>
    <row r="3439" spans="1:9" x14ac:dyDescent="0.2">
      <c r="A3439" s="22"/>
      <c r="B3439" s="63"/>
      <c r="H3439" s="41"/>
      <c r="I3439" s="41"/>
    </row>
    <row r="3440" spans="1:9" x14ac:dyDescent="0.2">
      <c r="A3440" s="22"/>
      <c r="B3440" s="63"/>
      <c r="H3440" s="41"/>
      <c r="I3440" s="41"/>
    </row>
    <row r="3441" spans="1:9" x14ac:dyDescent="0.2">
      <c r="A3441" s="22"/>
      <c r="B3441" s="63"/>
      <c r="H3441" s="41"/>
      <c r="I3441" s="41"/>
    </row>
    <row r="3442" spans="1:9" x14ac:dyDescent="0.2">
      <c r="A3442" s="22"/>
      <c r="B3442" s="63"/>
      <c r="H3442" s="41"/>
      <c r="I3442" s="41"/>
    </row>
    <row r="3443" spans="1:9" x14ac:dyDescent="0.2">
      <c r="A3443" s="22"/>
      <c r="B3443" s="63"/>
      <c r="H3443" s="41"/>
      <c r="I3443" s="41"/>
    </row>
    <row r="3444" spans="1:9" x14ac:dyDescent="0.2">
      <c r="A3444" s="22"/>
      <c r="B3444" s="63"/>
      <c r="H3444" s="41"/>
      <c r="I3444" s="41"/>
    </row>
    <row r="3445" spans="1:9" x14ac:dyDescent="0.2">
      <c r="A3445" s="22"/>
      <c r="B3445" s="63"/>
      <c r="H3445" s="41"/>
      <c r="I3445" s="41"/>
    </row>
    <row r="3446" spans="1:9" x14ac:dyDescent="0.2">
      <c r="A3446" s="22"/>
      <c r="B3446" s="63"/>
      <c r="H3446" s="41"/>
      <c r="I3446" s="41"/>
    </row>
    <row r="3447" spans="1:9" x14ac:dyDescent="0.2">
      <c r="A3447" s="22"/>
      <c r="B3447" s="63"/>
      <c r="H3447" s="41"/>
      <c r="I3447" s="41"/>
    </row>
    <row r="3448" spans="1:9" x14ac:dyDescent="0.2">
      <c r="A3448" s="22"/>
      <c r="B3448" s="63"/>
      <c r="H3448" s="41"/>
      <c r="I3448" s="41"/>
    </row>
    <row r="3449" spans="1:9" x14ac:dyDescent="0.2">
      <c r="A3449" s="22"/>
      <c r="B3449" s="63"/>
      <c r="H3449" s="41"/>
      <c r="I3449" s="41"/>
    </row>
    <row r="3450" spans="1:9" x14ac:dyDescent="0.2">
      <c r="A3450" s="22"/>
      <c r="B3450" s="63"/>
      <c r="H3450" s="41"/>
      <c r="I3450" s="41"/>
    </row>
    <row r="3451" spans="1:9" x14ac:dyDescent="0.2">
      <c r="A3451" s="22"/>
      <c r="B3451" s="63"/>
      <c r="H3451" s="41"/>
      <c r="I3451" s="41"/>
    </row>
    <row r="3452" spans="1:9" x14ac:dyDescent="0.2">
      <c r="A3452" s="22"/>
      <c r="B3452" s="63"/>
      <c r="H3452" s="41"/>
      <c r="I3452" s="41"/>
    </row>
    <row r="3453" spans="1:9" x14ac:dyDescent="0.2">
      <c r="A3453" s="22"/>
      <c r="B3453" s="63"/>
      <c r="H3453" s="41"/>
      <c r="I3453" s="41"/>
    </row>
    <row r="3454" spans="1:9" x14ac:dyDescent="0.2">
      <c r="A3454" s="22"/>
      <c r="B3454" s="63"/>
      <c r="H3454" s="41"/>
      <c r="I3454" s="41"/>
    </row>
    <row r="3455" spans="1:9" x14ac:dyDescent="0.2">
      <c r="A3455" s="22"/>
      <c r="B3455" s="63"/>
      <c r="H3455" s="41"/>
      <c r="I3455" s="41"/>
    </row>
    <row r="3456" spans="1:9" x14ac:dyDescent="0.2">
      <c r="A3456" s="22"/>
      <c r="B3456" s="63"/>
      <c r="H3456" s="41"/>
      <c r="I3456" s="41"/>
    </row>
    <row r="3457" spans="1:9" x14ac:dyDescent="0.2">
      <c r="A3457" s="22"/>
      <c r="B3457" s="63"/>
      <c r="H3457" s="41"/>
      <c r="I3457" s="41"/>
    </row>
    <row r="3458" spans="1:9" x14ac:dyDescent="0.2">
      <c r="A3458" s="22"/>
      <c r="B3458" s="63"/>
      <c r="H3458" s="41"/>
      <c r="I3458" s="41"/>
    </row>
    <row r="3459" spans="1:9" x14ac:dyDescent="0.2">
      <c r="A3459" s="22"/>
      <c r="B3459" s="63"/>
      <c r="H3459" s="41"/>
      <c r="I3459" s="41"/>
    </row>
    <row r="3460" spans="1:9" x14ac:dyDescent="0.2">
      <c r="A3460" s="22"/>
      <c r="B3460" s="63"/>
      <c r="H3460" s="41"/>
      <c r="I3460" s="41"/>
    </row>
    <row r="3461" spans="1:9" x14ac:dyDescent="0.2">
      <c r="A3461" s="22"/>
      <c r="B3461" s="63"/>
      <c r="H3461" s="41"/>
      <c r="I3461" s="41"/>
    </row>
    <row r="3462" spans="1:9" x14ac:dyDescent="0.2">
      <c r="A3462" s="22"/>
      <c r="B3462" s="63"/>
      <c r="H3462" s="41"/>
      <c r="I3462" s="41"/>
    </row>
    <row r="3463" spans="1:9" x14ac:dyDescent="0.2">
      <c r="A3463" s="22"/>
      <c r="B3463" s="63"/>
      <c r="H3463" s="41"/>
      <c r="I3463" s="41"/>
    </row>
    <row r="3464" spans="1:9" x14ac:dyDescent="0.2">
      <c r="A3464" s="22"/>
      <c r="B3464" s="63"/>
      <c r="H3464" s="41"/>
      <c r="I3464" s="41"/>
    </row>
    <row r="3465" spans="1:9" x14ac:dyDescent="0.2">
      <c r="A3465" s="22"/>
      <c r="B3465" s="63"/>
      <c r="H3465" s="41"/>
      <c r="I3465" s="41"/>
    </row>
    <row r="3466" spans="1:9" x14ac:dyDescent="0.2">
      <c r="A3466" s="22"/>
      <c r="B3466" s="63"/>
      <c r="H3466" s="41"/>
      <c r="I3466" s="41"/>
    </row>
    <row r="3467" spans="1:9" x14ac:dyDescent="0.2">
      <c r="A3467" s="22"/>
      <c r="B3467" s="63"/>
      <c r="H3467" s="41"/>
      <c r="I3467" s="41"/>
    </row>
    <row r="3468" spans="1:9" x14ac:dyDescent="0.2">
      <c r="A3468" s="22"/>
      <c r="B3468" s="63"/>
      <c r="H3468" s="41"/>
      <c r="I3468" s="41"/>
    </row>
    <row r="3469" spans="1:9" x14ac:dyDescent="0.2">
      <c r="A3469" s="22"/>
      <c r="B3469" s="63"/>
      <c r="H3469" s="41"/>
      <c r="I3469" s="41"/>
    </row>
    <row r="3470" spans="1:9" x14ac:dyDescent="0.2">
      <c r="A3470" s="22"/>
      <c r="B3470" s="63"/>
      <c r="H3470" s="41"/>
      <c r="I3470" s="41"/>
    </row>
    <row r="3471" spans="1:9" x14ac:dyDescent="0.2">
      <c r="A3471" s="22"/>
      <c r="B3471" s="63"/>
      <c r="H3471" s="41"/>
      <c r="I3471" s="41"/>
    </row>
    <row r="3472" spans="1:9" x14ac:dyDescent="0.2">
      <c r="A3472" s="22"/>
      <c r="B3472" s="63"/>
      <c r="H3472" s="41"/>
      <c r="I3472" s="41"/>
    </row>
    <row r="3473" spans="1:9" x14ac:dyDescent="0.2">
      <c r="A3473" s="22"/>
      <c r="B3473" s="63"/>
      <c r="H3473" s="41"/>
      <c r="I3473" s="41"/>
    </row>
    <row r="3474" spans="1:9" x14ac:dyDescent="0.2">
      <c r="A3474" s="22"/>
      <c r="B3474" s="63"/>
      <c r="H3474" s="41"/>
      <c r="I3474" s="41"/>
    </row>
    <row r="3475" spans="1:9" x14ac:dyDescent="0.2">
      <c r="A3475" s="22"/>
      <c r="B3475" s="63"/>
      <c r="H3475" s="41"/>
      <c r="I3475" s="41"/>
    </row>
    <row r="3476" spans="1:9" x14ac:dyDescent="0.2">
      <c r="A3476" s="22"/>
      <c r="B3476" s="63"/>
      <c r="H3476" s="41"/>
      <c r="I3476" s="41"/>
    </row>
    <row r="3477" spans="1:9" x14ac:dyDescent="0.2">
      <c r="A3477" s="22"/>
      <c r="B3477" s="63"/>
      <c r="H3477" s="41"/>
      <c r="I3477" s="41"/>
    </row>
    <row r="3478" spans="1:9" x14ac:dyDescent="0.2">
      <c r="A3478" s="22"/>
      <c r="B3478" s="63"/>
      <c r="H3478" s="41"/>
      <c r="I3478" s="41"/>
    </row>
    <row r="3479" spans="1:9" x14ac:dyDescent="0.2">
      <c r="A3479" s="22"/>
      <c r="B3479" s="63"/>
      <c r="H3479" s="41"/>
      <c r="I3479" s="41"/>
    </row>
    <row r="3480" spans="1:9" x14ac:dyDescent="0.2">
      <c r="A3480" s="22"/>
      <c r="B3480" s="63"/>
      <c r="H3480" s="41"/>
      <c r="I3480" s="41"/>
    </row>
    <row r="3481" spans="1:9" x14ac:dyDescent="0.2">
      <c r="A3481" s="22"/>
      <c r="B3481" s="63"/>
      <c r="H3481" s="41"/>
      <c r="I3481" s="41"/>
    </row>
    <row r="3482" spans="1:9" x14ac:dyDescent="0.2">
      <c r="A3482" s="22"/>
      <c r="B3482" s="63"/>
      <c r="H3482" s="41"/>
      <c r="I3482" s="41"/>
    </row>
    <row r="3483" spans="1:9" x14ac:dyDescent="0.2">
      <c r="A3483" s="22"/>
      <c r="B3483" s="63"/>
      <c r="H3483" s="41"/>
      <c r="I3483" s="41"/>
    </row>
    <row r="3484" spans="1:9" x14ac:dyDescent="0.2">
      <c r="A3484" s="22"/>
      <c r="B3484" s="63"/>
      <c r="H3484" s="41"/>
      <c r="I3484" s="41"/>
    </row>
    <row r="3485" spans="1:9" x14ac:dyDescent="0.2">
      <c r="A3485" s="22"/>
      <c r="B3485" s="63"/>
      <c r="H3485" s="41"/>
      <c r="I3485" s="41"/>
    </row>
    <row r="3486" spans="1:9" x14ac:dyDescent="0.2">
      <c r="A3486" s="22"/>
      <c r="B3486" s="63"/>
      <c r="H3486" s="41"/>
      <c r="I3486" s="41"/>
    </row>
    <row r="3487" spans="1:9" x14ac:dyDescent="0.2">
      <c r="A3487" s="22"/>
      <c r="B3487" s="63"/>
      <c r="H3487" s="41"/>
      <c r="I3487" s="41"/>
    </row>
    <row r="3488" spans="1:9" x14ac:dyDescent="0.2">
      <c r="A3488" s="22"/>
      <c r="B3488" s="63"/>
      <c r="H3488" s="41"/>
      <c r="I3488" s="41"/>
    </row>
    <row r="3489" spans="1:9" x14ac:dyDescent="0.2">
      <c r="A3489" s="22"/>
      <c r="B3489" s="63"/>
      <c r="H3489" s="41"/>
      <c r="I3489" s="41"/>
    </row>
    <row r="3490" spans="1:9" x14ac:dyDescent="0.2">
      <c r="A3490" s="22"/>
      <c r="B3490" s="63"/>
      <c r="H3490" s="41"/>
      <c r="I3490" s="41"/>
    </row>
    <row r="3491" spans="1:9" x14ac:dyDescent="0.2">
      <c r="A3491" s="22"/>
      <c r="B3491" s="63"/>
      <c r="H3491" s="41"/>
      <c r="I3491" s="41"/>
    </row>
    <row r="3492" spans="1:9" x14ac:dyDescent="0.2">
      <c r="A3492" s="22"/>
      <c r="B3492" s="63"/>
      <c r="H3492" s="41"/>
      <c r="I3492" s="41"/>
    </row>
    <row r="3493" spans="1:9" x14ac:dyDescent="0.2">
      <c r="A3493" s="22"/>
      <c r="B3493" s="63"/>
      <c r="H3493" s="41"/>
      <c r="I3493" s="41"/>
    </row>
    <row r="3494" spans="1:9" x14ac:dyDescent="0.2">
      <c r="A3494" s="22"/>
      <c r="B3494" s="63"/>
      <c r="H3494" s="41"/>
      <c r="I3494" s="41"/>
    </row>
    <row r="3495" spans="1:9" x14ac:dyDescent="0.2">
      <c r="A3495" s="22"/>
      <c r="B3495" s="63"/>
      <c r="H3495" s="41"/>
      <c r="I3495" s="41"/>
    </row>
    <row r="3496" spans="1:9" x14ac:dyDescent="0.2">
      <c r="A3496" s="22"/>
      <c r="B3496" s="63"/>
      <c r="H3496" s="41"/>
      <c r="I3496" s="41"/>
    </row>
    <row r="3497" spans="1:9" x14ac:dyDescent="0.2">
      <c r="A3497" s="22"/>
      <c r="H3497" s="41"/>
      <c r="I3497" s="41"/>
    </row>
  </sheetData>
  <autoFilter ref="A9:I3000" xr:uid="{00000000-0009-0000-0000-000000000000}">
    <filterColumn colId="2" showButton="0"/>
    <filterColumn colId="3" showButton="0"/>
    <filterColumn colId="5" showButton="0"/>
    <filterColumn colId="7" showButton="0"/>
  </autoFilter>
  <mergeCells count="8964">
    <mergeCell ref="C1:H1"/>
    <mergeCell ref="C2:H2"/>
    <mergeCell ref="D3:H3"/>
    <mergeCell ref="D4:H4"/>
    <mergeCell ref="D5:H5"/>
    <mergeCell ref="D7:H7"/>
    <mergeCell ref="C11:E11"/>
    <mergeCell ref="F11:G11"/>
    <mergeCell ref="H11:I11"/>
    <mergeCell ref="C13:E13"/>
    <mergeCell ref="F13:G13"/>
    <mergeCell ref="H13:I13"/>
    <mergeCell ref="F12:G12"/>
    <mergeCell ref="F1277:G1277"/>
    <mergeCell ref="H1277:I1277"/>
    <mergeCell ref="H25:I25"/>
    <mergeCell ref="C756:E756"/>
    <mergeCell ref="F756:G756"/>
    <mergeCell ref="H756:I756"/>
    <mergeCell ref="C1106:E1106"/>
    <mergeCell ref="F1106:G1106"/>
    <mergeCell ref="H1106:I1106"/>
    <mergeCell ref="C69:E69"/>
    <mergeCell ref="C55:E55"/>
    <mergeCell ref="F55:G55"/>
    <mergeCell ref="H55:I55"/>
    <mergeCell ref="H39:I39"/>
    <mergeCell ref="C49:E49"/>
    <mergeCell ref="F49:G49"/>
    <mergeCell ref="H49:I49"/>
    <mergeCell ref="C63:E63"/>
    <mergeCell ref="C20:E20"/>
    <mergeCell ref="F20:G20"/>
    <mergeCell ref="H20:I20"/>
    <mergeCell ref="C929:E929"/>
    <mergeCell ref="F929:G929"/>
    <mergeCell ref="H929:I929"/>
    <mergeCell ref="C922:E922"/>
    <mergeCell ref="F25:G25"/>
    <mergeCell ref="C27:E27"/>
    <mergeCell ref="F27:G27"/>
    <mergeCell ref="H27:I27"/>
    <mergeCell ref="C25:E25"/>
    <mergeCell ref="C564:E564"/>
    <mergeCell ref="F90:G90"/>
    <mergeCell ref="H90:I90"/>
    <mergeCell ref="H503:I503"/>
    <mergeCell ref="C526:E526"/>
    <mergeCell ref="H526:I526"/>
    <mergeCell ref="F523:G523"/>
    <mergeCell ref="H523:I523"/>
    <mergeCell ref="H149:I149"/>
    <mergeCell ref="H256:I256"/>
    <mergeCell ref="H339:I339"/>
    <mergeCell ref="C289:E289"/>
    <mergeCell ref="C269:E269"/>
    <mergeCell ref="F269:G269"/>
    <mergeCell ref="H269:I269"/>
    <mergeCell ref="C401:E401"/>
    <mergeCell ref="C505:E505"/>
    <mergeCell ref="F505:G505"/>
    <mergeCell ref="H505:I505"/>
    <mergeCell ref="C98:E98"/>
    <mergeCell ref="F98:G98"/>
    <mergeCell ref="C91:E91"/>
    <mergeCell ref="F564:G564"/>
    <mergeCell ref="H564:I564"/>
    <mergeCell ref="H741:I741"/>
    <mergeCell ref="C523:E523"/>
    <mergeCell ref="F63:G63"/>
    <mergeCell ref="H341:I341"/>
    <mergeCell ref="C247:E247"/>
    <mergeCell ref="F247:G247"/>
    <mergeCell ref="H247:I247"/>
    <mergeCell ref="C256:E256"/>
    <mergeCell ref="F256:G256"/>
    <mergeCell ref="C149:E149"/>
    <mergeCell ref="F149:G149"/>
    <mergeCell ref="F289:G289"/>
    <mergeCell ref="C80:E80"/>
    <mergeCell ref="C141:E141"/>
    <mergeCell ref="F141:G141"/>
    <mergeCell ref="C118:E118"/>
    <mergeCell ref="C117:E117"/>
    <mergeCell ref="C128:E128"/>
    <mergeCell ref="F121:G121"/>
    <mergeCell ref="C123:E123"/>
    <mergeCell ref="C122:E122"/>
    <mergeCell ref="F117:G117"/>
    <mergeCell ref="F84:G84"/>
    <mergeCell ref="C101:E101"/>
    <mergeCell ref="F101:G101"/>
    <mergeCell ref="F663:G663"/>
    <mergeCell ref="C554:E554"/>
    <mergeCell ref="H556:I556"/>
    <mergeCell ref="F741:G741"/>
    <mergeCell ref="F299:G299"/>
    <mergeCell ref="C339:E339"/>
    <mergeCell ref="C335:E335"/>
    <mergeCell ref="F307:G307"/>
    <mergeCell ref="H365:I365"/>
    <mergeCell ref="F562:G562"/>
    <mergeCell ref="H562:I562"/>
    <mergeCell ref="C406:E406"/>
    <mergeCell ref="F406:G406"/>
    <mergeCell ref="C489:E489"/>
    <mergeCell ref="F401:G401"/>
    <mergeCell ref="H401:I401"/>
    <mergeCell ref="C365:E365"/>
    <mergeCell ref="F365:G365"/>
    <mergeCell ref="H406:I406"/>
    <mergeCell ref="C503:E503"/>
    <mergeCell ref="F446:G446"/>
    <mergeCell ref="F445:G445"/>
    <mergeCell ref="F479:G479"/>
    <mergeCell ref="F448:G448"/>
    <mergeCell ref="F417:G417"/>
    <mergeCell ref="F418:G418"/>
    <mergeCell ref="H417:I417"/>
    <mergeCell ref="H425:I425"/>
    <mergeCell ref="F421:G421"/>
    <mergeCell ref="F423:G423"/>
    <mergeCell ref="H419:I419"/>
    <mergeCell ref="C506:E506"/>
    <mergeCell ref="F506:G506"/>
    <mergeCell ref="H506:I506"/>
    <mergeCell ref="F526:G526"/>
    <mergeCell ref="H651:I651"/>
    <mergeCell ref="C637:E637"/>
    <mergeCell ref="F739:G739"/>
    <mergeCell ref="C741:E741"/>
    <mergeCell ref="C827:E827"/>
    <mergeCell ref="F827:G827"/>
    <mergeCell ref="C246:E246"/>
    <mergeCell ref="F246:G246"/>
    <mergeCell ref="C702:E702"/>
    <mergeCell ref="F673:G673"/>
    <mergeCell ref="F623:G623"/>
    <mergeCell ref="F602:G602"/>
    <mergeCell ref="C662:E662"/>
    <mergeCell ref="F603:G603"/>
    <mergeCell ref="F613:G613"/>
    <mergeCell ref="F622:G622"/>
    <mergeCell ref="F667:G667"/>
    <mergeCell ref="H414:I414"/>
    <mergeCell ref="H416:I416"/>
    <mergeCell ref="H415:I415"/>
    <mergeCell ref="H409:I409"/>
    <mergeCell ref="H418:I418"/>
    <mergeCell ref="H422:I422"/>
    <mergeCell ref="F402:G402"/>
    <mergeCell ref="F414:G414"/>
    <mergeCell ref="F411:G411"/>
    <mergeCell ref="F408:G408"/>
    <mergeCell ref="H413:I413"/>
    <mergeCell ref="H412:I412"/>
    <mergeCell ref="F416:G416"/>
    <mergeCell ref="F496:G496"/>
    <mergeCell ref="F595:G595"/>
    <mergeCell ref="C2063:E2063"/>
    <mergeCell ref="C1914:E1914"/>
    <mergeCell ref="F1914:G1914"/>
    <mergeCell ref="H1880:I1880"/>
    <mergeCell ref="H1756:I1756"/>
    <mergeCell ref="C1756:E1756"/>
    <mergeCell ref="F1200:G1200"/>
    <mergeCell ref="C43:E43"/>
    <mergeCell ref="F43:G43"/>
    <mergeCell ref="C31:E31"/>
    <mergeCell ref="F31:G31"/>
    <mergeCell ref="F60:G60"/>
    <mergeCell ref="C61:E61"/>
    <mergeCell ref="C42:E42"/>
    <mergeCell ref="C58:E58"/>
    <mergeCell ref="C51:E51"/>
    <mergeCell ref="C48:E48"/>
    <mergeCell ref="C45:E45"/>
    <mergeCell ref="C44:E44"/>
    <mergeCell ref="C41:E41"/>
    <mergeCell ref="F57:G57"/>
    <mergeCell ref="F61:G61"/>
    <mergeCell ref="C46:E46"/>
    <mergeCell ref="F46:G46"/>
    <mergeCell ref="F58:G58"/>
    <mergeCell ref="F42:G42"/>
    <mergeCell ref="F32:G32"/>
    <mergeCell ref="F37:G37"/>
    <mergeCell ref="C47:E47"/>
    <mergeCell ref="F47:G47"/>
    <mergeCell ref="C651:E651"/>
    <mergeCell ref="F651:G651"/>
    <mergeCell ref="H2873:I2873"/>
    <mergeCell ref="H2882:I2882"/>
    <mergeCell ref="H2870:I2870"/>
    <mergeCell ref="H2881:I2881"/>
    <mergeCell ref="F2873:G2873"/>
    <mergeCell ref="F2872:G2872"/>
    <mergeCell ref="H2877:I2877"/>
    <mergeCell ref="H2912:I2912"/>
    <mergeCell ref="H2913:I2913"/>
    <mergeCell ref="H2903:I2903"/>
    <mergeCell ref="H2902:I2902"/>
    <mergeCell ref="C2188:E2188"/>
    <mergeCell ref="H1271:I1271"/>
    <mergeCell ref="C2088:E2088"/>
    <mergeCell ref="C2089:E2089"/>
    <mergeCell ref="C1935:E1935"/>
    <mergeCell ref="F937:G937"/>
    <mergeCell ref="C2072:E2072"/>
    <mergeCell ref="H1488:I1488"/>
    <mergeCell ref="C1449:E1449"/>
    <mergeCell ref="H937:I937"/>
    <mergeCell ref="H1859:I1859"/>
    <mergeCell ref="H1279:I1279"/>
    <mergeCell ref="H1267:I1267"/>
    <mergeCell ref="F1120:G1120"/>
    <mergeCell ref="F1125:G1125"/>
    <mergeCell ref="F1222:G1222"/>
    <mergeCell ref="F1203:G1203"/>
    <mergeCell ref="F1756:G1756"/>
    <mergeCell ref="F969:G969"/>
    <mergeCell ref="H1270:I1270"/>
    <mergeCell ref="H1276:I1276"/>
    <mergeCell ref="H1995:I1995"/>
    <mergeCell ref="F2188:G2188"/>
    <mergeCell ref="H2188:I2188"/>
    <mergeCell ref="C2152:E2152"/>
    <mergeCell ref="H2189:I2189"/>
    <mergeCell ref="C2376:E2376"/>
    <mergeCell ref="C2299:E2299"/>
    <mergeCell ref="H2318:I2318"/>
    <mergeCell ref="H827:I827"/>
    <mergeCell ref="C725:E725"/>
    <mergeCell ref="F737:G737"/>
    <mergeCell ref="F802:G802"/>
    <mergeCell ref="F806:G806"/>
    <mergeCell ref="H739:I739"/>
    <mergeCell ref="H1269:I1269"/>
    <mergeCell ref="H1207:I1207"/>
    <mergeCell ref="H1264:I1264"/>
    <mergeCell ref="H1120:I1120"/>
    <mergeCell ref="H928:I928"/>
    <mergeCell ref="F953:G953"/>
    <mergeCell ref="F1150:G1150"/>
    <mergeCell ref="F978:G978"/>
    <mergeCell ref="F967:G967"/>
    <mergeCell ref="F963:G963"/>
    <mergeCell ref="F966:G966"/>
    <mergeCell ref="F1149:G1149"/>
    <mergeCell ref="F1140:G1140"/>
    <mergeCell ref="F965:G965"/>
    <mergeCell ref="F1231:G1231"/>
    <mergeCell ref="F1197:G1197"/>
    <mergeCell ref="F928:G928"/>
    <mergeCell ref="C928:E928"/>
    <mergeCell ref="F1204:G1204"/>
    <mergeCell ref="F1226:G1226"/>
    <mergeCell ref="F1224:G1224"/>
    <mergeCell ref="F1230:G1230"/>
    <mergeCell ref="F1123:G1123"/>
    <mergeCell ref="F1126:G1126"/>
    <mergeCell ref="H953:I953"/>
    <mergeCell ref="F982:G982"/>
    <mergeCell ref="F1072:G1072"/>
    <mergeCell ref="F1043:G1043"/>
    <mergeCell ref="F1220:G1220"/>
    <mergeCell ref="F1229:G1229"/>
    <mergeCell ref="F1209:G1209"/>
    <mergeCell ref="F1225:G1225"/>
    <mergeCell ref="F1223:G1223"/>
    <mergeCell ref="H1268:I1268"/>
    <mergeCell ref="F1280:G1280"/>
    <mergeCell ref="F1219:G1219"/>
    <mergeCell ref="F1240:G1240"/>
    <mergeCell ref="F1248:G1248"/>
    <mergeCell ref="F1238:G1238"/>
    <mergeCell ref="F1241:G1241"/>
    <mergeCell ref="F1232:G1232"/>
    <mergeCell ref="F1193:G1193"/>
    <mergeCell ref="F1239:G1239"/>
    <mergeCell ref="F1227:G1227"/>
    <mergeCell ref="F1217:G1217"/>
    <mergeCell ref="F1221:G1221"/>
    <mergeCell ref="F1237:G1237"/>
    <mergeCell ref="F1235:G1235"/>
    <mergeCell ref="F1243:G1243"/>
    <mergeCell ref="F1210:G1210"/>
    <mergeCell ref="C1922:E1922"/>
    <mergeCell ref="C1973:E1973"/>
    <mergeCell ref="C1869:E1869"/>
    <mergeCell ref="C2051:E2051"/>
    <mergeCell ref="C1860:E1860"/>
    <mergeCell ref="C1865:E1865"/>
    <mergeCell ref="C1972:E1972"/>
    <mergeCell ref="C2054:E2054"/>
    <mergeCell ref="F1859:G1859"/>
    <mergeCell ref="C2003:E2003"/>
    <mergeCell ref="C2005:E2005"/>
    <mergeCell ref="C2000:E2000"/>
    <mergeCell ref="C2034:E2034"/>
    <mergeCell ref="C1856:E1856"/>
    <mergeCell ref="F1978:G1978"/>
    <mergeCell ref="C1927:E1927"/>
    <mergeCell ref="C1984:E1984"/>
    <mergeCell ref="C1979:E1979"/>
    <mergeCell ref="C1990:E1990"/>
    <mergeCell ref="C1982:E1982"/>
    <mergeCell ref="C1976:E1976"/>
    <mergeCell ref="C1946:E1946"/>
    <mergeCell ref="C1950:E1950"/>
    <mergeCell ref="C1942:E1942"/>
    <mergeCell ref="C1937:E1937"/>
    <mergeCell ref="C2084:E2084"/>
    <mergeCell ref="C2075:E2075"/>
    <mergeCell ref="C2083:E2083"/>
    <mergeCell ref="C2091:E2091"/>
    <mergeCell ref="C2082:E2082"/>
    <mergeCell ref="C2081:E2081"/>
    <mergeCell ref="C2076:E2076"/>
    <mergeCell ref="C2070:E2070"/>
    <mergeCell ref="C2064:E2064"/>
    <mergeCell ref="C2056:E2056"/>
    <mergeCell ref="C2069:E2069"/>
    <mergeCell ref="C1939:E1939"/>
    <mergeCell ref="C1967:E1967"/>
    <mergeCell ref="C2062:E2062"/>
    <mergeCell ref="C2067:E2067"/>
    <mergeCell ref="C1941:E1941"/>
    <mergeCell ref="C1997:E1997"/>
    <mergeCell ref="C1994:E1994"/>
    <mergeCell ref="C1993:E1993"/>
    <mergeCell ref="C1998:E1998"/>
    <mergeCell ref="C1980:E1980"/>
    <mergeCell ref="C1983:E1983"/>
    <mergeCell ref="C1985:E1985"/>
    <mergeCell ref="C1987:E1987"/>
    <mergeCell ref="C1958:E1958"/>
    <mergeCell ref="C1999:E1999"/>
    <mergeCell ref="C1961:E1961"/>
    <mergeCell ref="C1963:E1963"/>
    <mergeCell ref="C1988:E1988"/>
    <mergeCell ref="C1966:E1966"/>
    <mergeCell ref="C1995:E1995"/>
    <mergeCell ref="C1951:E1951"/>
    <mergeCell ref="H2904:I2904"/>
    <mergeCell ref="H2891:I2891"/>
    <mergeCell ref="H2947:I2947"/>
    <mergeCell ref="C2327:E2327"/>
    <mergeCell ref="C2315:E2315"/>
    <mergeCell ref="C2326:E2326"/>
    <mergeCell ref="C2318:E2318"/>
    <mergeCell ref="C2323:E2323"/>
    <mergeCell ref="H2780:I2780"/>
    <mergeCell ref="H2808:I2808"/>
    <mergeCell ref="H2806:I2806"/>
    <mergeCell ref="H2800:I2800"/>
    <mergeCell ref="F2930:G2930"/>
    <mergeCell ref="H2930:I2930"/>
    <mergeCell ref="H2914:I2914"/>
    <mergeCell ref="C2090:E2090"/>
    <mergeCell ref="C2095:E2095"/>
    <mergeCell ref="F2526:G2526"/>
    <mergeCell ref="H2526:I2526"/>
    <mergeCell ref="H2872:I2872"/>
    <mergeCell ref="H2884:I2884"/>
    <mergeCell ref="F2870:G2870"/>
    <mergeCell ref="H2915:I2915"/>
    <mergeCell ref="H2919:I2919"/>
    <mergeCell ref="H2908:I2908"/>
    <mergeCell ref="H2911:I2911"/>
    <mergeCell ref="H2905:I2905"/>
    <mergeCell ref="H2907:I2907"/>
    <mergeCell ref="H2868:I2868"/>
    <mergeCell ref="F2884:G2884"/>
    <mergeCell ref="H2883:I2883"/>
    <mergeCell ref="H2869:I2869"/>
    <mergeCell ref="C2138:E2138"/>
    <mergeCell ref="C2139:E2139"/>
    <mergeCell ref="C2105:E2105"/>
    <mergeCell ref="C2302:E2302"/>
    <mergeCell ref="C2300:E2300"/>
    <mergeCell ref="C2131:E2131"/>
    <mergeCell ref="C2102:E2102"/>
    <mergeCell ref="C2106:E2106"/>
    <mergeCell ref="C2133:E2133"/>
    <mergeCell ref="C2123:E2123"/>
    <mergeCell ref="C2124:E2124"/>
    <mergeCell ref="C2800:E2800"/>
    <mergeCell ref="F2800:G2800"/>
    <mergeCell ref="C2760:E2760"/>
    <mergeCell ref="H2839:I2839"/>
    <mergeCell ref="H2862:I2862"/>
    <mergeCell ref="H2852:I2852"/>
    <mergeCell ref="H2846:I2846"/>
    <mergeCell ref="C2821:E2821"/>
    <mergeCell ref="F2821:G2821"/>
    <mergeCell ref="H2821:I2821"/>
    <mergeCell ref="C2319:E2319"/>
    <mergeCell ref="C2314:E2314"/>
    <mergeCell ref="C2311:E2311"/>
    <mergeCell ref="C2328:E2328"/>
    <mergeCell ref="F2504:G2504"/>
    <mergeCell ref="F2348:G2348"/>
    <mergeCell ref="F2343:G2343"/>
    <mergeCell ref="F2344:G2344"/>
    <mergeCell ref="C2425:E2425"/>
    <mergeCell ref="C2426:E2426"/>
    <mergeCell ref="C2391:E2391"/>
    <mergeCell ref="C2407:E2407"/>
    <mergeCell ref="F2358:G2358"/>
    <mergeCell ref="F2362:G2362"/>
    <mergeCell ref="F2691:G2691"/>
    <mergeCell ref="H2680:I2680"/>
    <mergeCell ref="C2772:E2772"/>
    <mergeCell ref="F2763:G2763"/>
    <mergeCell ref="F2744:G2744"/>
    <mergeCell ref="H2761:I2761"/>
    <mergeCell ref="H2767:I2767"/>
    <mergeCell ref="C2765:E2765"/>
    <mergeCell ref="C2744:E2744"/>
    <mergeCell ref="H2747:I2747"/>
    <mergeCell ref="F962:G962"/>
    <mergeCell ref="F960:G960"/>
    <mergeCell ref="F989:G989"/>
    <mergeCell ref="F985:G985"/>
    <mergeCell ref="F990:G990"/>
    <mergeCell ref="F986:G986"/>
    <mergeCell ref="F1042:G1042"/>
    <mergeCell ref="F977:G977"/>
    <mergeCell ref="F971:G971"/>
    <mergeCell ref="F968:G968"/>
    <mergeCell ref="F975:G975"/>
    <mergeCell ref="F1033:G1033"/>
    <mergeCell ref="F1044:G1044"/>
    <mergeCell ref="F1036:G1036"/>
    <mergeCell ref="F984:G984"/>
    <mergeCell ref="F1017:G1017"/>
    <mergeCell ref="F1037:G1037"/>
    <mergeCell ref="F1014:G1014"/>
    <mergeCell ref="F991:G991"/>
    <mergeCell ref="F995:G995"/>
    <mergeCell ref="F1007:G1007"/>
    <mergeCell ref="F1013:G1013"/>
    <mergeCell ref="F1018:G1018"/>
    <mergeCell ref="F1012:G1012"/>
    <mergeCell ref="F1011:G1011"/>
    <mergeCell ref="F864:G864"/>
    <mergeCell ref="F812:G812"/>
    <mergeCell ref="F863:G863"/>
    <mergeCell ref="F858:G858"/>
    <mergeCell ref="F862:G862"/>
    <mergeCell ref="F847:G847"/>
    <mergeCell ref="F846:G846"/>
    <mergeCell ref="F838:G838"/>
    <mergeCell ref="F830:G830"/>
    <mergeCell ref="F912:G912"/>
    <mergeCell ref="F907:G907"/>
    <mergeCell ref="F713:G713"/>
    <mergeCell ref="F736:G736"/>
    <mergeCell ref="F718:G718"/>
    <mergeCell ref="F870:G870"/>
    <mergeCell ref="F804:G804"/>
    <mergeCell ref="F793:G793"/>
    <mergeCell ref="F758:G758"/>
    <mergeCell ref="F869:G869"/>
    <mergeCell ref="F821:G821"/>
    <mergeCell ref="F785:G785"/>
    <mergeCell ref="F797:G797"/>
    <mergeCell ref="F853:G853"/>
    <mergeCell ref="F892:G892"/>
    <mergeCell ref="F879:G879"/>
    <mergeCell ref="F818:G818"/>
    <mergeCell ref="F824:G824"/>
    <mergeCell ref="F910:G910"/>
    <mergeCell ref="F810:G810"/>
    <mergeCell ref="F908:G908"/>
    <mergeCell ref="F800:G800"/>
    <mergeCell ref="F760:G760"/>
    <mergeCell ref="C156:E156"/>
    <mergeCell ref="C157:E157"/>
    <mergeCell ref="C163:E163"/>
    <mergeCell ref="C158:E158"/>
    <mergeCell ref="C166:E166"/>
    <mergeCell ref="F325:G325"/>
    <mergeCell ref="C310:E310"/>
    <mergeCell ref="C320:E320"/>
    <mergeCell ref="C165:E165"/>
    <mergeCell ref="C171:E171"/>
    <mergeCell ref="F356:G356"/>
    <mergeCell ref="C341:E341"/>
    <mergeCell ref="C353:E353"/>
    <mergeCell ref="F351:G351"/>
    <mergeCell ref="F458:G458"/>
    <mergeCell ref="F483:G483"/>
    <mergeCell ref="F468:G468"/>
    <mergeCell ref="F469:G469"/>
    <mergeCell ref="F459:G459"/>
    <mergeCell ref="F444:G444"/>
    <mergeCell ref="F454:G454"/>
    <mergeCell ref="F461:G461"/>
    <mergeCell ref="F457:G457"/>
    <mergeCell ref="F456:G456"/>
    <mergeCell ref="C162:E162"/>
    <mergeCell ref="C174:E174"/>
    <mergeCell ref="C168:E168"/>
    <mergeCell ref="C169:E169"/>
    <mergeCell ref="C178:E178"/>
    <mergeCell ref="F311:G311"/>
    <mergeCell ref="F314:G314"/>
    <mergeCell ref="C180:E180"/>
    <mergeCell ref="C184:E184"/>
    <mergeCell ref="F283:G283"/>
    <mergeCell ref="F391:G391"/>
    <mergeCell ref="F313:G313"/>
    <mergeCell ref="C347:E347"/>
    <mergeCell ref="C357:E357"/>
    <mergeCell ref="C345:E345"/>
    <mergeCell ref="F337:G337"/>
    <mergeCell ref="F344:G344"/>
    <mergeCell ref="C312:E312"/>
    <mergeCell ref="F319:G319"/>
    <mergeCell ref="C322:E322"/>
    <mergeCell ref="C318:E318"/>
    <mergeCell ref="C324:E324"/>
    <mergeCell ref="F315:G315"/>
    <mergeCell ref="C327:E327"/>
    <mergeCell ref="F346:G346"/>
    <mergeCell ref="F341:G341"/>
    <mergeCell ref="F347:G347"/>
    <mergeCell ref="F348:G348"/>
    <mergeCell ref="F353:G353"/>
    <mergeCell ref="F316:G316"/>
    <mergeCell ref="F317:G317"/>
    <mergeCell ref="F340:G340"/>
    <mergeCell ref="F338:G338"/>
    <mergeCell ref="F339:G339"/>
    <mergeCell ref="F342:G342"/>
    <mergeCell ref="F378:G378"/>
    <mergeCell ref="F360:G360"/>
    <mergeCell ref="F359:G359"/>
    <mergeCell ref="F363:G363"/>
    <mergeCell ref="F383:G383"/>
    <mergeCell ref="H2813:I2813"/>
    <mergeCell ref="H2828:I2828"/>
    <mergeCell ref="H2832:I2832"/>
    <mergeCell ref="H2826:I2826"/>
    <mergeCell ref="H2822:I2822"/>
    <mergeCell ref="H2819:I2819"/>
    <mergeCell ref="H2825:I2825"/>
    <mergeCell ref="H2827:I2827"/>
    <mergeCell ref="H2829:I2829"/>
    <mergeCell ref="H2850:I2850"/>
    <mergeCell ref="H2859:I2859"/>
    <mergeCell ref="H2841:I2841"/>
    <mergeCell ref="H2855:I2855"/>
    <mergeCell ref="H2853:I2853"/>
    <mergeCell ref="H2843:I2843"/>
    <mergeCell ref="H2848:I2848"/>
    <mergeCell ref="H2857:I2857"/>
    <mergeCell ref="H2858:I2858"/>
    <mergeCell ref="H2854:I2854"/>
    <mergeCell ref="H2817:I2817"/>
    <mergeCell ref="H2815:I2815"/>
    <mergeCell ref="H2816:I2816"/>
    <mergeCell ref="F2723:G2723"/>
    <mergeCell ref="F2543:G2543"/>
    <mergeCell ref="F2641:G2641"/>
    <mergeCell ref="F2587:G2587"/>
    <mergeCell ref="F2575:G2575"/>
    <mergeCell ref="F2684:G2684"/>
    <mergeCell ref="F2617:G2617"/>
    <mergeCell ref="H2655:I2655"/>
    <mergeCell ref="H2779:I2779"/>
    <mergeCell ref="H2804:I2804"/>
    <mergeCell ref="H2807:I2807"/>
    <mergeCell ref="F2693:G2693"/>
    <mergeCell ref="F2666:G2666"/>
    <mergeCell ref="F2671:G2671"/>
    <mergeCell ref="F2669:G2669"/>
    <mergeCell ref="F2778:G2778"/>
    <mergeCell ref="F2779:G2779"/>
    <mergeCell ref="H2799:I2799"/>
    <mergeCell ref="F2725:G2725"/>
    <mergeCell ref="F2733:G2733"/>
    <mergeCell ref="F2741:G2741"/>
    <mergeCell ref="H2746:I2746"/>
    <mergeCell ref="H2805:I2805"/>
    <mergeCell ref="F2769:G2769"/>
    <mergeCell ref="F2685:G2685"/>
    <mergeCell ref="F2688:G2688"/>
    <mergeCell ref="F2635:G2635"/>
    <mergeCell ref="H2546:I2546"/>
    <mergeCell ref="H2613:I2613"/>
    <mergeCell ref="H2620:I2620"/>
    <mergeCell ref="H2616:I2616"/>
    <mergeCell ref="F2482:G2482"/>
    <mergeCell ref="F2433:G2433"/>
    <mergeCell ref="F2360:G2360"/>
    <mergeCell ref="F2494:G2494"/>
    <mergeCell ref="F2496:G2496"/>
    <mergeCell ref="F2323:G2323"/>
    <mergeCell ref="F2353:G2353"/>
    <mergeCell ref="F2351:G2351"/>
    <mergeCell ref="F2337:G2337"/>
    <mergeCell ref="F2346:G2346"/>
    <mergeCell ref="F2532:G2532"/>
    <mergeCell ref="F2522:G2522"/>
    <mergeCell ref="F2510:G2510"/>
    <mergeCell ref="F2539:G2539"/>
    <mergeCell ref="F2498:G2498"/>
    <mergeCell ref="F2501:G2501"/>
    <mergeCell ref="F2499:G2499"/>
    <mergeCell ref="F2516:G2516"/>
    <mergeCell ref="F2537:G2537"/>
    <mergeCell ref="F2502:G2502"/>
    <mergeCell ref="F2380:G2380"/>
    <mergeCell ref="F2345:G2345"/>
    <mergeCell ref="F2520:G2520"/>
    <mergeCell ref="F2467:G2467"/>
    <mergeCell ref="F2450:G2450"/>
    <mergeCell ref="F2465:G2465"/>
    <mergeCell ref="F2461:G2461"/>
    <mergeCell ref="F2472:G2472"/>
    <mergeCell ref="F2459:G2459"/>
    <mergeCell ref="F2460:G2460"/>
    <mergeCell ref="F2470:G2470"/>
    <mergeCell ref="F2398:G2398"/>
    <mergeCell ref="F829:G829"/>
    <mergeCell ref="F676:G676"/>
    <mergeCell ref="F672:G672"/>
    <mergeCell ref="F689:G689"/>
    <mergeCell ref="F653:G653"/>
    <mergeCell ref="F624:G624"/>
    <mergeCell ref="F620:G620"/>
    <mergeCell ref="F609:G609"/>
    <mergeCell ref="F992:G992"/>
    <mergeCell ref="F610:G610"/>
    <mergeCell ref="F979:G979"/>
    <mergeCell ref="F650:G650"/>
    <mergeCell ref="F655:G655"/>
    <mergeCell ref="F743:G743"/>
    <mergeCell ref="F654:G654"/>
    <mergeCell ref="F2314:G2314"/>
    <mergeCell ref="F2324:G2324"/>
    <mergeCell ref="F974:G974"/>
    <mergeCell ref="F976:G976"/>
    <mergeCell ref="F1127:G1127"/>
    <mergeCell ref="F1151:G1151"/>
    <mergeCell ref="F981:G981"/>
    <mergeCell ref="F1010:G1010"/>
    <mergeCell ref="F1136:G1136"/>
    <mergeCell ref="F648:G648"/>
    <mergeCell ref="F636:G636"/>
    <mergeCell ref="F641:G641"/>
    <mergeCell ref="F626:G626"/>
    <mergeCell ref="F643:G643"/>
    <mergeCell ref="F642:G642"/>
    <mergeCell ref="F646:G646"/>
    <mergeCell ref="F632:G632"/>
    <mergeCell ref="F403:G403"/>
    <mergeCell ref="F419:G419"/>
    <mergeCell ref="F415:G415"/>
    <mergeCell ref="C364:E364"/>
    <mergeCell ref="C358:E358"/>
    <mergeCell ref="C361:E361"/>
    <mergeCell ref="C363:E363"/>
    <mergeCell ref="F362:G362"/>
    <mergeCell ref="F380:G380"/>
    <mergeCell ref="F387:G387"/>
    <mergeCell ref="F382:G382"/>
    <mergeCell ref="C385:E385"/>
    <mergeCell ref="C366:E366"/>
    <mergeCell ref="F366:G366"/>
    <mergeCell ref="C370:E370"/>
    <mergeCell ref="F379:G379"/>
    <mergeCell ref="H374:I374"/>
    <mergeCell ref="F376:G376"/>
    <mergeCell ref="C372:E372"/>
    <mergeCell ref="F367:G367"/>
    <mergeCell ref="H370:I370"/>
    <mergeCell ref="H371:I371"/>
    <mergeCell ref="F375:G375"/>
    <mergeCell ref="F370:G370"/>
    <mergeCell ref="F371:G371"/>
    <mergeCell ref="H375:I375"/>
    <mergeCell ref="H385:I385"/>
    <mergeCell ref="H386:I386"/>
    <mergeCell ref="F374:G374"/>
    <mergeCell ref="F364:G364"/>
    <mergeCell ref="F388:G388"/>
    <mergeCell ref="F393:G393"/>
    <mergeCell ref="F422:G422"/>
    <mergeCell ref="F430:G430"/>
    <mergeCell ref="F439:G439"/>
    <mergeCell ref="F438:G438"/>
    <mergeCell ref="F671:G671"/>
    <mergeCell ref="F453:G453"/>
    <mergeCell ref="C380:E380"/>
    <mergeCell ref="F386:G386"/>
    <mergeCell ref="C387:E387"/>
    <mergeCell ref="F384:G384"/>
    <mergeCell ref="F381:G381"/>
    <mergeCell ref="C451:E451"/>
    <mergeCell ref="F433:G433"/>
    <mergeCell ref="C403:E403"/>
    <mergeCell ref="C414:E414"/>
    <mergeCell ref="F424:G424"/>
    <mergeCell ref="F399:G399"/>
    <mergeCell ref="F441:G441"/>
    <mergeCell ref="F606:G606"/>
    <mergeCell ref="F649:G649"/>
    <mergeCell ref="F670:G670"/>
    <mergeCell ref="F449:G449"/>
    <mergeCell ref="F400:G400"/>
    <mergeCell ref="F443:G443"/>
    <mergeCell ref="F392:G392"/>
    <mergeCell ref="F398:G398"/>
    <mergeCell ref="F389:G389"/>
    <mergeCell ref="F395:G395"/>
    <mergeCell ref="F396:G396"/>
    <mergeCell ref="F410:G410"/>
    <mergeCell ref="F1049:G1049"/>
    <mergeCell ref="F1039:G1039"/>
    <mergeCell ref="F1041:G1041"/>
    <mergeCell ref="F1023:G1023"/>
    <mergeCell ref="F1026:G1026"/>
    <mergeCell ref="F1038:G1038"/>
    <mergeCell ref="F999:G999"/>
    <mergeCell ref="F997:G997"/>
    <mergeCell ref="F1001:G1001"/>
    <mergeCell ref="F1008:G1008"/>
    <mergeCell ref="F1005:G1005"/>
    <mergeCell ref="F1000:G1000"/>
    <mergeCell ref="F1006:G1006"/>
    <mergeCell ref="F1004:G1004"/>
    <mergeCell ref="F1003:G1003"/>
    <mergeCell ref="F1002:G1002"/>
    <mergeCell ref="F1016:G1016"/>
    <mergeCell ref="F1015:G1015"/>
    <mergeCell ref="F1019:G1019"/>
    <mergeCell ref="F1021:G1021"/>
    <mergeCell ref="F1022:G1022"/>
    <mergeCell ref="F1148:G1148"/>
    <mergeCell ref="F1134:G1134"/>
    <mergeCell ref="F1135:G1135"/>
    <mergeCell ref="F1067:G1067"/>
    <mergeCell ref="F1070:G1070"/>
    <mergeCell ref="F1087:G1087"/>
    <mergeCell ref="F1093:G1093"/>
    <mergeCell ref="F1071:G1071"/>
    <mergeCell ref="F1129:G1129"/>
    <mergeCell ref="F1045:G1045"/>
    <mergeCell ref="F1048:G1048"/>
    <mergeCell ref="F1046:G1046"/>
    <mergeCell ref="F1028:G1028"/>
    <mergeCell ref="F1063:G1063"/>
    <mergeCell ref="F1057:G1057"/>
    <mergeCell ref="F1054:G1054"/>
    <mergeCell ref="F1059:G1059"/>
    <mergeCell ref="F1061:G1061"/>
    <mergeCell ref="F1056:G1056"/>
    <mergeCell ref="F1141:G1141"/>
    <mergeCell ref="F1032:G1032"/>
    <mergeCell ref="F1030:G1030"/>
    <mergeCell ref="F1029:G1029"/>
    <mergeCell ref="F1031:G1031"/>
    <mergeCell ref="F1124:G1124"/>
    <mergeCell ref="F1132:G1132"/>
    <mergeCell ref="F1138:G1138"/>
    <mergeCell ref="F1147:G1147"/>
    <mergeCell ref="F1130:G1130"/>
    <mergeCell ref="F1122:G1122"/>
    <mergeCell ref="F1090:G1090"/>
    <mergeCell ref="F1091:G1091"/>
    <mergeCell ref="F1181:G1181"/>
    <mergeCell ref="H1186:I1186"/>
    <mergeCell ref="F1180:G1180"/>
    <mergeCell ref="H1163:I1163"/>
    <mergeCell ref="F1162:G1162"/>
    <mergeCell ref="H1162:I1162"/>
    <mergeCell ref="H1176:I1176"/>
    <mergeCell ref="H1167:I1167"/>
    <mergeCell ref="H1177:I1177"/>
    <mergeCell ref="F1168:G1168"/>
    <mergeCell ref="F1133:G1133"/>
    <mergeCell ref="F1154:G1154"/>
    <mergeCell ref="F1182:G1182"/>
    <mergeCell ref="F1176:G1176"/>
    <mergeCell ref="F1179:G1179"/>
    <mergeCell ref="F1177:G1177"/>
    <mergeCell ref="F1158:G1158"/>
    <mergeCell ref="F1161:G1161"/>
    <mergeCell ref="F1174:G1174"/>
    <mergeCell ref="F1164:G1164"/>
    <mergeCell ref="F1167:G1167"/>
    <mergeCell ref="F1173:G1173"/>
    <mergeCell ref="F1152:G1152"/>
    <mergeCell ref="F1185:G1185"/>
    <mergeCell ref="F1178:G1178"/>
    <mergeCell ref="F1175:G1175"/>
    <mergeCell ref="F1186:G1186"/>
    <mergeCell ref="F1183:G1183"/>
    <mergeCell ref="F1157:G1157"/>
    <mergeCell ref="F1160:G1160"/>
    <mergeCell ref="F1146:G1146"/>
    <mergeCell ref="F1155:G1155"/>
    <mergeCell ref="H1238:I1238"/>
    <mergeCell ref="F1244:G1244"/>
    <mergeCell ref="F1247:G1247"/>
    <mergeCell ref="F1246:G1246"/>
    <mergeCell ref="H1239:I1239"/>
    <mergeCell ref="H1247:I1247"/>
    <mergeCell ref="H1248:I1248"/>
    <mergeCell ref="F1216:G1216"/>
    <mergeCell ref="H1217:I1217"/>
    <mergeCell ref="H1213:I1213"/>
    <mergeCell ref="H1212:I1212"/>
    <mergeCell ref="F1214:G1214"/>
    <mergeCell ref="F1215:G1215"/>
    <mergeCell ref="F1213:G1213"/>
    <mergeCell ref="F1198:G1198"/>
    <mergeCell ref="H1199:I1199"/>
    <mergeCell ref="H1184:I1184"/>
    <mergeCell ref="H1196:I1196"/>
    <mergeCell ref="F1184:G1184"/>
    <mergeCell ref="H1188:I1188"/>
    <mergeCell ref="H1185:I1185"/>
    <mergeCell ref="H1189:I1189"/>
    <mergeCell ref="F1199:G1199"/>
    <mergeCell ref="H1197:I1197"/>
    <mergeCell ref="F1195:G1195"/>
    <mergeCell ref="F1187:G1187"/>
    <mergeCell ref="F1189:G1189"/>
    <mergeCell ref="F1191:G1191"/>
    <mergeCell ref="H1187:I1187"/>
    <mergeCell ref="H1191:I1191"/>
    <mergeCell ref="F1196:G1196"/>
    <mergeCell ref="H1190:I1190"/>
    <mergeCell ref="H1262:I1262"/>
    <mergeCell ref="H1278:I1278"/>
    <mergeCell ref="H1272:I1272"/>
    <mergeCell ref="F1261:G1261"/>
    <mergeCell ref="F1267:G1267"/>
    <mergeCell ref="F1266:G1266"/>
    <mergeCell ref="F1270:G1270"/>
    <mergeCell ref="F1274:G1274"/>
    <mergeCell ref="F1286:G1286"/>
    <mergeCell ref="F1290:G1290"/>
    <mergeCell ref="H1241:I1241"/>
    <mergeCell ref="H1245:I1245"/>
    <mergeCell ref="H1244:I1244"/>
    <mergeCell ref="H1242:I1242"/>
    <mergeCell ref="H1240:I1240"/>
    <mergeCell ref="H1243:I1243"/>
    <mergeCell ref="F1242:G1242"/>
    <mergeCell ref="F1251:G1251"/>
    <mergeCell ref="F1250:G1250"/>
    <mergeCell ref="H1253:I1253"/>
    <mergeCell ref="H1252:I1252"/>
    <mergeCell ref="H1246:I1246"/>
    <mergeCell ref="F1253:G1253"/>
    <mergeCell ref="F1252:G1252"/>
    <mergeCell ref="F1249:G1249"/>
    <mergeCell ref="F1245:G1245"/>
    <mergeCell ref="H1280:I1280"/>
    <mergeCell ref="H1283:I1283"/>
    <mergeCell ref="H1873:I1873"/>
    <mergeCell ref="H1501:I1501"/>
    <mergeCell ref="H1814:I1814"/>
    <mergeCell ref="H1813:I1813"/>
    <mergeCell ref="H1522:I1522"/>
    <mergeCell ref="H1811:I1811"/>
    <mergeCell ref="H1807:I1807"/>
    <mergeCell ref="H1605:I1605"/>
    <mergeCell ref="H1607:I1607"/>
    <mergeCell ref="H1587:I1587"/>
    <mergeCell ref="H1833:I1833"/>
    <mergeCell ref="H1838:I1838"/>
    <mergeCell ref="H1855:I1855"/>
    <mergeCell ref="H1837:I1837"/>
    <mergeCell ref="H1843:I1843"/>
    <mergeCell ref="H1836:I1836"/>
    <mergeCell ref="H1840:I1840"/>
    <mergeCell ref="H1846:I1846"/>
    <mergeCell ref="H1832:I1832"/>
    <mergeCell ref="F2813:G2813"/>
    <mergeCell ref="F2683:G2683"/>
    <mergeCell ref="H2752:I2752"/>
    <mergeCell ref="F2689:G2689"/>
    <mergeCell ref="H2715:I2715"/>
    <mergeCell ref="H2713:I2713"/>
    <mergeCell ref="H2820:I2820"/>
    <mergeCell ref="H2783:I2783"/>
    <mergeCell ref="H2811:I2811"/>
    <mergeCell ref="F2780:G2780"/>
    <mergeCell ref="F2782:G2782"/>
    <mergeCell ref="F2804:G2804"/>
    <mergeCell ref="F2789:G2789"/>
    <mergeCell ref="H2818:I2818"/>
    <mergeCell ref="F2687:G2687"/>
    <mergeCell ref="H2803:I2803"/>
    <mergeCell ref="F2781:G2781"/>
    <mergeCell ref="H2778:I2778"/>
    <mergeCell ref="F2728:G2728"/>
    <mergeCell ref="H2765:I2765"/>
    <mergeCell ref="H2810:I2810"/>
    <mergeCell ref="H2814:I2814"/>
    <mergeCell ref="F2811:G2811"/>
    <mergeCell ref="F2815:G2815"/>
    <mergeCell ref="F2812:G2812"/>
    <mergeCell ref="H2787:I2787"/>
    <mergeCell ref="F2755:G2755"/>
    <mergeCell ref="F2808:G2808"/>
    <mergeCell ref="F2806:G2806"/>
    <mergeCell ref="F2799:G2799"/>
    <mergeCell ref="F2802:G2802"/>
    <mergeCell ref="H2690:I2690"/>
    <mergeCell ref="F2817:G2817"/>
    <mergeCell ref="C2829:E2829"/>
    <mergeCell ref="C2828:E2828"/>
    <mergeCell ref="F2831:G2831"/>
    <mergeCell ref="C2827:E2827"/>
    <mergeCell ref="F2828:G2828"/>
    <mergeCell ref="F2825:G2825"/>
    <mergeCell ref="C2826:E2826"/>
    <mergeCell ref="F2826:G2826"/>
    <mergeCell ref="C2831:E2831"/>
    <mergeCell ref="C2830:E2830"/>
    <mergeCell ref="F2833:G2833"/>
    <mergeCell ref="F2837:G2837"/>
    <mergeCell ref="H2833:I2833"/>
    <mergeCell ref="H2837:I2837"/>
    <mergeCell ref="H2835:I2835"/>
    <mergeCell ref="F2836:G2836"/>
    <mergeCell ref="H2836:I2836"/>
    <mergeCell ref="H2834:I2834"/>
    <mergeCell ref="F2827:G2827"/>
    <mergeCell ref="F2820:G2820"/>
    <mergeCell ref="H2785:I2785"/>
    <mergeCell ref="F2823:G2823"/>
    <mergeCell ref="F2814:G2814"/>
    <mergeCell ref="H2823:I2823"/>
    <mergeCell ref="H2824:I2824"/>
    <mergeCell ref="F2835:G2835"/>
    <mergeCell ref="F2830:G2830"/>
    <mergeCell ref="F2824:G2824"/>
    <mergeCell ref="H2812:I2812"/>
    <mergeCell ref="H2797:I2797"/>
    <mergeCell ref="H2795:I2795"/>
    <mergeCell ref="H2794:I2794"/>
    <mergeCell ref="H2793:I2793"/>
    <mergeCell ref="H2798:I2798"/>
    <mergeCell ref="H2796:I2796"/>
    <mergeCell ref="C2798:E2798"/>
    <mergeCell ref="C2796:E2796"/>
    <mergeCell ref="F2796:G2796"/>
    <mergeCell ref="C2801:E2801"/>
    <mergeCell ref="H2801:I2801"/>
    <mergeCell ref="C2819:E2819"/>
    <mergeCell ref="C2803:E2803"/>
    <mergeCell ref="C2802:E2802"/>
    <mergeCell ref="C2804:E2804"/>
    <mergeCell ref="F2803:G2803"/>
    <mergeCell ref="C2818:E2818"/>
    <mergeCell ref="H2802:I2802"/>
    <mergeCell ref="F2807:G2807"/>
    <mergeCell ref="F2818:G2818"/>
    <mergeCell ref="F2819:G2819"/>
    <mergeCell ref="C2810:E2810"/>
    <mergeCell ref="F2816:G2816"/>
    <mergeCell ref="F2322:G2322"/>
    <mergeCell ref="C2817:E2817"/>
    <mergeCell ref="F2810:G2810"/>
    <mergeCell ref="H2809:I2809"/>
    <mergeCell ref="C2815:E2815"/>
    <mergeCell ref="C2812:E2812"/>
    <mergeCell ref="C2809:E2809"/>
    <mergeCell ref="C2811:E2811"/>
    <mergeCell ref="C2814:E2814"/>
    <mergeCell ref="C2725:E2725"/>
    <mergeCell ref="C2732:E2732"/>
    <mergeCell ref="C2706:E2706"/>
    <mergeCell ref="C2720:E2720"/>
    <mergeCell ref="C2703:E2703"/>
    <mergeCell ref="C2779:E2779"/>
    <mergeCell ref="C2774:E2774"/>
    <mergeCell ref="C2767:E2767"/>
    <mergeCell ref="C2766:E2766"/>
    <mergeCell ref="C2773:E2773"/>
    <mergeCell ref="C2768:E2768"/>
    <mergeCell ref="C2771:E2771"/>
    <mergeCell ref="C2777:E2777"/>
    <mergeCell ref="C2770:E2770"/>
    <mergeCell ref="C2778:E2778"/>
    <mergeCell ref="C2780:E2780"/>
    <mergeCell ref="H2790:I2790"/>
    <mergeCell ref="H2782:I2782"/>
    <mergeCell ref="H2781:I2781"/>
    <mergeCell ref="C2784:E2784"/>
    <mergeCell ref="C2785:E2785"/>
    <mergeCell ref="C2781:E2781"/>
    <mergeCell ref="C2782:E2782"/>
    <mergeCell ref="F2270:G2270"/>
    <mergeCell ref="C2786:E2786"/>
    <mergeCell ref="C2783:E2783"/>
    <mergeCell ref="C2788:E2788"/>
    <mergeCell ref="F2784:G2784"/>
    <mergeCell ref="F2786:G2786"/>
    <mergeCell ref="C2787:E2787"/>
    <mergeCell ref="F2783:G2783"/>
    <mergeCell ref="F2507:G2507"/>
    <mergeCell ref="F2503:G2503"/>
    <mergeCell ref="F2305:G2305"/>
    <mergeCell ref="F2329:G2329"/>
    <mergeCell ref="F2505:G2505"/>
    <mergeCell ref="F2246:G2246"/>
    <mergeCell ref="F2634:G2634"/>
    <mergeCell ref="F2602:G2602"/>
    <mergeCell ref="F2573:G2573"/>
    <mergeCell ref="F2304:G2304"/>
    <mergeCell ref="F2317:G2317"/>
    <mergeCell ref="F2506:G2506"/>
    <mergeCell ref="F2508:G2508"/>
    <mergeCell ref="F2492:G2492"/>
    <mergeCell ref="F2553:G2553"/>
    <mergeCell ref="F2311:G2311"/>
    <mergeCell ref="C2690:E2690"/>
    <mergeCell ref="C2668:E2668"/>
    <mergeCell ref="F2679:G2679"/>
    <mergeCell ref="F2673:G2673"/>
    <mergeCell ref="F2674:G2674"/>
    <mergeCell ref="F2312:G2312"/>
    <mergeCell ref="F2327:G2327"/>
    <mergeCell ref="F2328:G2328"/>
    <mergeCell ref="C2195:E2195"/>
    <mergeCell ref="F2318:G2318"/>
    <mergeCell ref="F2316:G2316"/>
    <mergeCell ref="F2325:G2325"/>
    <mergeCell ref="F2321:G2321"/>
    <mergeCell ref="F2320:G2320"/>
    <mergeCell ref="F2315:G2315"/>
    <mergeCell ref="F2309:G2309"/>
    <mergeCell ref="F2276:G2276"/>
    <mergeCell ref="F2283:G2283"/>
    <mergeCell ref="F2238:G2238"/>
    <mergeCell ref="F2236:G2236"/>
    <mergeCell ref="F2228:G2228"/>
    <mergeCell ref="F2205:G2205"/>
    <mergeCell ref="F2267:G2267"/>
    <mergeCell ref="F2239:G2239"/>
    <mergeCell ref="F2241:G2241"/>
    <mergeCell ref="F2259:G2259"/>
    <mergeCell ref="F2209:G2209"/>
    <mergeCell ref="F2300:G2300"/>
    <mergeCell ref="F2297:G2297"/>
    <mergeCell ref="F2294:G2294"/>
    <mergeCell ref="F2299:G2299"/>
    <mergeCell ref="F2293:G2293"/>
    <mergeCell ref="F2284:G2284"/>
    <mergeCell ref="F2303:G2303"/>
    <mergeCell ref="F2278:G2278"/>
    <mergeCell ref="F2287:G2287"/>
    <mergeCell ref="F2280:G2280"/>
    <mergeCell ref="F2279:G2279"/>
    <mergeCell ref="F2275:G2275"/>
    <mergeCell ref="F2282:G2282"/>
    <mergeCell ref="C2191:E2191"/>
    <mergeCell ref="F2200:G2200"/>
    <mergeCell ref="H1861:I1861"/>
    <mergeCell ref="C1863:E1863"/>
    <mergeCell ref="H1924:I1924"/>
    <mergeCell ref="H1862:I1862"/>
    <mergeCell ref="C1953:E1953"/>
    <mergeCell ref="C1918:E1918"/>
    <mergeCell ref="C2036:E2036"/>
    <mergeCell ref="C2026:E2026"/>
    <mergeCell ref="F2258:G2258"/>
    <mergeCell ref="F2260:G2260"/>
    <mergeCell ref="F2261:G2261"/>
    <mergeCell ref="F2243:G2243"/>
    <mergeCell ref="F2268:G2268"/>
    <mergeCell ref="F2242:G2242"/>
    <mergeCell ref="F2265:G2265"/>
    <mergeCell ref="F2264:G2264"/>
    <mergeCell ref="F2252:G2252"/>
    <mergeCell ref="F2256:G2256"/>
    <mergeCell ref="F2250:G2250"/>
    <mergeCell ref="H1875:I1875"/>
    <mergeCell ref="C2204:E2204"/>
    <mergeCell ref="C2207:E2207"/>
    <mergeCell ref="C2225:E2225"/>
    <mergeCell ref="C2223:E2223"/>
    <mergeCell ref="C2194:E2194"/>
    <mergeCell ref="C2209:E2209"/>
    <mergeCell ref="C2215:E2215"/>
    <mergeCell ref="C2216:E2216"/>
    <mergeCell ref="C2222:E2222"/>
    <mergeCell ref="C2203:E2203"/>
    <mergeCell ref="C2101:E2101"/>
    <mergeCell ref="H1826:I1826"/>
    <mergeCell ref="H1830:I1830"/>
    <mergeCell ref="H1818:I1818"/>
    <mergeCell ref="H1824:I1824"/>
    <mergeCell ref="H1816:I1816"/>
    <mergeCell ref="H1828:I1828"/>
    <mergeCell ref="H1567:I1567"/>
    <mergeCell ref="H1829:I1829"/>
    <mergeCell ref="F2262:G2262"/>
    <mergeCell ref="F2263:G2263"/>
    <mergeCell ref="H1866:I1866"/>
    <mergeCell ref="C1866:E1866"/>
    <mergeCell ref="H1865:I1865"/>
    <mergeCell ref="H1860:I1860"/>
    <mergeCell ref="F1860:G1860"/>
    <mergeCell ref="H1864:I1864"/>
    <mergeCell ref="H1834:I1834"/>
    <mergeCell ref="H1920:I1920"/>
    <mergeCell ref="H1881:I1881"/>
    <mergeCell ref="H1910:I1910"/>
    <mergeCell ref="H1883:I1883"/>
    <mergeCell ref="H1845:I1845"/>
    <mergeCell ref="H1850:I1850"/>
    <mergeCell ref="F2225:G2225"/>
    <mergeCell ref="H1857:I1857"/>
    <mergeCell ref="H1869:I1869"/>
    <mergeCell ref="H1927:I1927"/>
    <mergeCell ref="H1911:I1911"/>
    <mergeCell ref="H1931:I1931"/>
    <mergeCell ref="H1914:I1914"/>
    <mergeCell ref="F2152:G2152"/>
    <mergeCell ref="C2705:E2705"/>
    <mergeCell ref="C2699:E2699"/>
    <mergeCell ref="C2038:E2038"/>
    <mergeCell ref="C2424:E2424"/>
    <mergeCell ref="C2421:E2421"/>
    <mergeCell ref="C2400:E2400"/>
    <mergeCell ref="C2419:E2419"/>
    <mergeCell ref="C2414:E2414"/>
    <mergeCell ref="C2416:E2416"/>
    <mergeCell ref="C2406:E2406"/>
    <mergeCell ref="C2410:E2410"/>
    <mergeCell ref="C2403:E2403"/>
    <mergeCell ref="C2033:E2033"/>
    <mergeCell ref="C2047:E2047"/>
    <mergeCell ref="C2042:E2042"/>
    <mergeCell ref="C2021:E2021"/>
    <mergeCell ref="C2665:E2665"/>
    <mergeCell ref="C2055:E2055"/>
    <mergeCell ref="C2129:E2129"/>
    <mergeCell ref="C2135:E2135"/>
    <mergeCell ref="C2130:E2130"/>
    <mergeCell ref="C2041:E2041"/>
    <mergeCell ref="C2031:E2031"/>
    <mergeCell ref="C2028:E2028"/>
    <mergeCell ref="C2024:E2024"/>
    <mergeCell ref="C2119:E2119"/>
    <mergeCell ref="C2112:E2112"/>
    <mergeCell ref="C2115:E2115"/>
    <mergeCell ref="C2107:E2107"/>
    <mergeCell ref="C2147:E2147"/>
    <mergeCell ref="C2113:E2113"/>
    <mergeCell ref="C2145:E2145"/>
    <mergeCell ref="C2648:E2648"/>
    <mergeCell ref="C2650:E2650"/>
    <mergeCell ref="C2704:E2704"/>
    <mergeCell ref="C2712:E2712"/>
    <mergeCell ref="C2687:E2687"/>
    <mergeCell ref="C2700:E2700"/>
    <mergeCell ref="C2688:E2688"/>
    <mergeCell ref="C2691:E2691"/>
    <mergeCell ref="C2697:E2697"/>
    <mergeCell ref="C2689:E2689"/>
    <mergeCell ref="C2758:E2758"/>
    <mergeCell ref="C2764:E2764"/>
    <mergeCell ref="C2763:E2763"/>
    <mergeCell ref="C2717:E2717"/>
    <mergeCell ref="C2716:E2716"/>
    <mergeCell ref="C2724:E2724"/>
    <mergeCell ref="C2753:E2753"/>
    <mergeCell ref="C2719:E2719"/>
    <mergeCell ref="C2723:E2723"/>
    <mergeCell ref="C2722:E2722"/>
    <mergeCell ref="C2695:E2695"/>
    <mergeCell ref="C2696:E2696"/>
    <mergeCell ref="C2702:E2702"/>
    <mergeCell ref="C2701:E2701"/>
    <mergeCell ref="C2698:E2698"/>
    <mergeCell ref="C2694:E2694"/>
    <mergeCell ref="C2693:E2693"/>
    <mergeCell ref="C2692:E2692"/>
    <mergeCell ref="C2757:E2757"/>
    <mergeCell ref="C2754:E2754"/>
    <mergeCell ref="C2755:E2755"/>
    <mergeCell ref="C2710:E2710"/>
    <mergeCell ref="C2232:E2232"/>
    <mergeCell ref="C2235:E2235"/>
    <mergeCell ref="C2199:E2199"/>
    <mergeCell ref="C2492:E2492"/>
    <mergeCell ref="C2502:E2502"/>
    <mergeCell ref="C2666:E2666"/>
    <mergeCell ref="C2658:E2658"/>
    <mergeCell ref="C2498:E2498"/>
    <mergeCell ref="C2667:E2667"/>
    <mergeCell ref="C2499:E2499"/>
    <mergeCell ref="C2497:E2497"/>
    <mergeCell ref="C2493:E2493"/>
    <mergeCell ref="C2491:E2491"/>
    <mergeCell ref="C2495:E2495"/>
    <mergeCell ref="C2659:E2659"/>
    <mergeCell ref="C2501:E2501"/>
    <mergeCell ref="C2496:E2496"/>
    <mergeCell ref="C2611:E2611"/>
    <mergeCell ref="C2539:E2539"/>
    <mergeCell ref="C2664:E2664"/>
    <mergeCell ref="C2662:E2662"/>
    <mergeCell ref="C2504:E2504"/>
    <mergeCell ref="C2565:E2565"/>
    <mergeCell ref="C2626:E2626"/>
    <mergeCell ref="C2535:E2535"/>
    <mergeCell ref="C2655:E2655"/>
    <mergeCell ref="C2660:E2660"/>
    <mergeCell ref="C2549:E2549"/>
    <mergeCell ref="C2615:E2615"/>
    <mergeCell ref="C2529:E2529"/>
    <mergeCell ref="C2570:E2570"/>
    <mergeCell ref="C2559:E2559"/>
    <mergeCell ref="C2140:E2140"/>
    <mergeCell ref="C2136:E2136"/>
    <mergeCell ref="C1965:E1965"/>
    <mergeCell ref="C1992:E1992"/>
    <mergeCell ref="C2060:E2060"/>
    <mergeCell ref="C2022:E2022"/>
    <mergeCell ref="C2048:E2048"/>
    <mergeCell ref="C2094:E2094"/>
    <mergeCell ref="C2066:E2066"/>
    <mergeCell ref="C2074:E2074"/>
    <mergeCell ref="C2050:E2050"/>
    <mergeCell ref="C1945:E1945"/>
    <mergeCell ref="C1929:E1929"/>
    <mergeCell ref="C1944:E1944"/>
    <mergeCell ref="C1991:E1991"/>
    <mergeCell ref="C2196:E2196"/>
    <mergeCell ref="C2255:E2255"/>
    <mergeCell ref="C2167:E2167"/>
    <mergeCell ref="C2228:E2228"/>
    <mergeCell ref="C2217:E2217"/>
    <mergeCell ref="C2211:E2211"/>
    <mergeCell ref="C2212:E2212"/>
    <mergeCell ref="C2252:E2252"/>
    <mergeCell ref="C2226:E2226"/>
    <mergeCell ref="C2253:E2253"/>
    <mergeCell ref="C2254:E2254"/>
    <mergeCell ref="C2177:E2177"/>
    <mergeCell ref="C2178:E2178"/>
    <mergeCell ref="C2183:E2183"/>
    <mergeCell ref="C2250:E2250"/>
    <mergeCell ref="C2234:E2234"/>
    <mergeCell ref="C2236:E2236"/>
    <mergeCell ref="C1629:E1629"/>
    <mergeCell ref="C1611:E1611"/>
    <mergeCell ref="C1580:E1580"/>
    <mergeCell ref="C1578:E1578"/>
    <mergeCell ref="C1576:E1576"/>
    <mergeCell ref="C1654:E1654"/>
    <mergeCell ref="C1682:E1682"/>
    <mergeCell ref="C1670:E1670"/>
    <mergeCell ref="C1664:E1664"/>
    <mergeCell ref="C1657:E1657"/>
    <mergeCell ref="C1673:E1673"/>
    <mergeCell ref="C1672:E1672"/>
    <mergeCell ref="C1666:E1666"/>
    <mergeCell ref="C1658:E1658"/>
    <mergeCell ref="C1659:E1659"/>
    <mergeCell ref="C1663:E1663"/>
    <mergeCell ref="C1660:E1660"/>
    <mergeCell ref="C1680:E1680"/>
    <mergeCell ref="C1662:E1662"/>
    <mergeCell ref="C1679:E1679"/>
    <mergeCell ref="C1681:E1681"/>
    <mergeCell ref="C1678:E1678"/>
    <mergeCell ref="C1665:E1665"/>
    <mergeCell ref="C1669:E1669"/>
    <mergeCell ref="C1651:E1651"/>
    <mergeCell ref="C1634:E1634"/>
    <mergeCell ref="C1647:E1647"/>
    <mergeCell ref="C1640:E1640"/>
    <mergeCell ref="C1636:E1636"/>
    <mergeCell ref="C1630:E1630"/>
    <mergeCell ref="C1631:E1631"/>
    <mergeCell ref="C1609:E1609"/>
    <mergeCell ref="C1628:E1628"/>
    <mergeCell ref="C1539:E1539"/>
    <mergeCell ref="C1614:E1614"/>
    <mergeCell ref="C1619:E1619"/>
    <mergeCell ref="C1570:E1570"/>
    <mergeCell ref="C1574:E1574"/>
    <mergeCell ref="C1500:E1500"/>
    <mergeCell ref="C1499:E1499"/>
    <mergeCell ref="C1504:E1504"/>
    <mergeCell ref="C1544:E1544"/>
    <mergeCell ref="C1537:E1537"/>
    <mergeCell ref="C1533:E1533"/>
    <mergeCell ref="C1540:E1540"/>
    <mergeCell ref="C1508:E1508"/>
    <mergeCell ref="C1506:E1506"/>
    <mergeCell ref="C1515:E1515"/>
    <mergeCell ref="C1572:E1572"/>
    <mergeCell ref="C1568:E1568"/>
    <mergeCell ref="C1573:E1573"/>
    <mergeCell ref="C1571:E1571"/>
    <mergeCell ref="C1524:E1524"/>
    <mergeCell ref="C1521:E1521"/>
    <mergeCell ref="C1627:E1627"/>
    <mergeCell ref="C1577:E1577"/>
    <mergeCell ref="C1584:E1584"/>
    <mergeCell ref="C1590:E1590"/>
    <mergeCell ref="C1608:E1608"/>
    <mergeCell ref="C1613:E1613"/>
    <mergeCell ref="C1620:E1620"/>
    <mergeCell ref="C1592:E1592"/>
    <mergeCell ref="C1606:E1606"/>
    <mergeCell ref="C1632:E1632"/>
    <mergeCell ref="C1530:E1530"/>
    <mergeCell ref="C1527:E1527"/>
    <mergeCell ref="C1601:E1601"/>
    <mergeCell ref="C1595:E1595"/>
    <mergeCell ref="C1599:E1599"/>
    <mergeCell ref="C1575:E1575"/>
    <mergeCell ref="C1581:E1581"/>
    <mergeCell ref="C1579:E1579"/>
    <mergeCell ref="C1635:E1635"/>
    <mergeCell ref="C1582:E1582"/>
    <mergeCell ref="C1538:E1538"/>
    <mergeCell ref="C1422:E1422"/>
    <mergeCell ref="C1425:E1425"/>
    <mergeCell ref="C1433:E1433"/>
    <mergeCell ref="C1431:E1431"/>
    <mergeCell ref="C1428:E1428"/>
    <mergeCell ref="C1423:E1423"/>
    <mergeCell ref="C1426:E1426"/>
    <mergeCell ref="C1430:E1430"/>
    <mergeCell ref="C1429:E1429"/>
    <mergeCell ref="C1424:E1424"/>
    <mergeCell ref="C1434:E1434"/>
    <mergeCell ref="C1447:E1447"/>
    <mergeCell ref="C1457:E1457"/>
    <mergeCell ref="C1438:E1438"/>
    <mergeCell ref="C1458:E1458"/>
    <mergeCell ref="C1441:E1441"/>
    <mergeCell ref="C1442:E1442"/>
    <mergeCell ref="C1445:E1445"/>
    <mergeCell ref="C1448:E1448"/>
    <mergeCell ref="C1528:E1528"/>
    <mergeCell ref="C1386:E1386"/>
    <mergeCell ref="C1418:E1418"/>
    <mergeCell ref="C1389:E1389"/>
    <mergeCell ref="C1396:E1396"/>
    <mergeCell ref="C1414:E1414"/>
    <mergeCell ref="C1330:E1330"/>
    <mergeCell ref="C1381:E1381"/>
    <mergeCell ref="C1411:E1411"/>
    <mergeCell ref="C1367:E1367"/>
    <mergeCell ref="C1362:E1362"/>
    <mergeCell ref="C1366:E1366"/>
    <mergeCell ref="C1331:E1331"/>
    <mergeCell ref="C1343:E1343"/>
    <mergeCell ref="C1350:E1350"/>
    <mergeCell ref="C1355:E1355"/>
    <mergeCell ref="C1415:E1415"/>
    <mergeCell ref="C1347:E1347"/>
    <mergeCell ref="C1351:E1351"/>
    <mergeCell ref="C1380:E1380"/>
    <mergeCell ref="C1377:E1377"/>
    <mergeCell ref="C1378:E1378"/>
    <mergeCell ref="C1387:E1387"/>
    <mergeCell ref="C1610:E1610"/>
    <mergeCell ref="C1391:E1391"/>
    <mergeCell ref="C1379:E1379"/>
    <mergeCell ref="C1374:E1374"/>
    <mergeCell ref="C1372:E1372"/>
    <mergeCell ref="C1390:E1390"/>
    <mergeCell ref="C1248:E1248"/>
    <mergeCell ref="C1259:E1259"/>
    <mergeCell ref="C1258:E1258"/>
    <mergeCell ref="C1281:E1281"/>
    <mergeCell ref="C1284:E1284"/>
    <mergeCell ref="C1283:E1283"/>
    <mergeCell ref="C1280:E1280"/>
    <mergeCell ref="C1241:E1241"/>
    <mergeCell ref="C1369:E1369"/>
    <mergeCell ref="C1353:E1353"/>
    <mergeCell ref="C1357:E1357"/>
    <mergeCell ref="C1348:E1348"/>
    <mergeCell ref="C1360:E1360"/>
    <mergeCell ref="C1361:E1361"/>
    <mergeCell ref="C1252:E1252"/>
    <mergeCell ref="C1264:E1264"/>
    <mergeCell ref="C1272:E1272"/>
    <mergeCell ref="C1257:E1257"/>
    <mergeCell ref="C1249:E1249"/>
    <mergeCell ref="C1251:E1251"/>
    <mergeCell ref="C1246:E1246"/>
    <mergeCell ref="C1253:E1253"/>
    <mergeCell ref="C1250:E1250"/>
    <mergeCell ref="C1245:E1245"/>
    <mergeCell ref="C1261:E1261"/>
    <mergeCell ref="C1265:E1265"/>
    <mergeCell ref="C1637:E1637"/>
    <mergeCell ref="C1650:E1650"/>
    <mergeCell ref="C1648:E1648"/>
    <mergeCell ref="C1645:E1645"/>
    <mergeCell ref="C1641:E1641"/>
    <mergeCell ref="C1643:E1643"/>
    <mergeCell ref="C1644:E1644"/>
    <mergeCell ref="C1652:E1652"/>
    <mergeCell ref="C1655:E1655"/>
    <mergeCell ref="C1639:E1639"/>
    <mergeCell ref="C1687:E1687"/>
    <mergeCell ref="C1685:E1685"/>
    <mergeCell ref="C1852:E1852"/>
    <mergeCell ref="C1853:E1853"/>
    <mergeCell ref="C1828:E1828"/>
    <mergeCell ref="C1693:E1693"/>
    <mergeCell ref="C1777:E1777"/>
    <mergeCell ref="C1692:E1692"/>
    <mergeCell ref="C1761:E1761"/>
    <mergeCell ref="C1729:E1729"/>
    <mergeCell ref="C1851:E1851"/>
    <mergeCell ref="C1837:E1837"/>
    <mergeCell ref="C1836:E1836"/>
    <mergeCell ref="C1779:E1779"/>
    <mergeCell ref="C1775:E1775"/>
    <mergeCell ref="C1778:E1778"/>
    <mergeCell ref="C1825:E1825"/>
    <mergeCell ref="C1793:E1793"/>
    <mergeCell ref="C2163:E2163"/>
    <mergeCell ref="C2018:E2018"/>
    <mergeCell ref="C2092:E2092"/>
    <mergeCell ref="C2085:E2085"/>
    <mergeCell ref="C2103:E2103"/>
    <mergeCell ref="C2096:E2096"/>
    <mergeCell ref="C2087:E2087"/>
    <mergeCell ref="C2086:E2086"/>
    <mergeCell ref="C2100:E2100"/>
    <mergeCell ref="C2006:E2006"/>
    <mergeCell ref="C2004:E2004"/>
    <mergeCell ref="C1649:E1649"/>
    <mergeCell ref="C1653:E1653"/>
    <mergeCell ref="C1820:E1820"/>
    <mergeCell ref="C1762:E1762"/>
    <mergeCell ref="C1812:E1812"/>
    <mergeCell ref="C1875:E1875"/>
    <mergeCell ref="C1858:E1858"/>
    <mergeCell ref="C1859:E1859"/>
    <mergeCell ref="C1867:E1867"/>
    <mergeCell ref="C1864:E1864"/>
    <mergeCell ref="C1656:E1656"/>
    <mergeCell ref="C1862:E1862"/>
    <mergeCell ref="C2157:E2157"/>
    <mergeCell ref="C2146:E2146"/>
    <mergeCell ref="C2128:E2128"/>
    <mergeCell ref="C2098:E2098"/>
    <mergeCell ref="C2126:E2126"/>
    <mergeCell ref="C2149:E2149"/>
    <mergeCell ref="C2141:E2141"/>
    <mergeCell ref="C2150:E2150"/>
    <mergeCell ref="C2127:E2127"/>
    <mergeCell ref="C2221:E2221"/>
    <mergeCell ref="C2208:E2208"/>
    <mergeCell ref="C2192:E2192"/>
    <mergeCell ref="C2202:E2202"/>
    <mergeCell ref="C2229:E2229"/>
    <mergeCell ref="C2189:E2189"/>
    <mergeCell ref="C2180:E2180"/>
    <mergeCell ref="C2218:E2218"/>
    <mergeCell ref="C2220:E2220"/>
    <mergeCell ref="C2224:E2224"/>
    <mergeCell ref="C2219:E2219"/>
    <mergeCell ref="C2158:E2158"/>
    <mergeCell ref="C2097:E2097"/>
    <mergeCell ref="C1968:E1968"/>
    <mergeCell ref="C2114:E2114"/>
    <mergeCell ref="C2118:E2118"/>
    <mergeCell ref="C2110:E2110"/>
    <mergeCell ref="C2144:E2144"/>
    <mergeCell ref="C2175:E2175"/>
    <mergeCell ref="C2164:E2164"/>
    <mergeCell ref="C2172:E2172"/>
    <mergeCell ref="C2154:E2154"/>
    <mergeCell ref="C2156:E2156"/>
    <mergeCell ref="C2169:E2169"/>
    <mergeCell ref="C2161:E2161"/>
    <mergeCell ref="C2173:E2173"/>
    <mergeCell ref="C2160:E2160"/>
    <mergeCell ref="C2162:E2162"/>
    <mergeCell ref="C2153:E2153"/>
    <mergeCell ref="C2170:E2170"/>
    <mergeCell ref="C2155:E2155"/>
    <mergeCell ref="C2159:E2159"/>
    <mergeCell ref="C2294:E2294"/>
    <mergeCell ref="C2291:E2291"/>
    <mergeCell ref="C2262:E2262"/>
    <mergeCell ref="C2259:E2259"/>
    <mergeCell ref="C2285:E2285"/>
    <mergeCell ref="C2280:E2280"/>
    <mergeCell ref="C2247:E2247"/>
    <mergeCell ref="C2248:E2248"/>
    <mergeCell ref="C2249:E2249"/>
    <mergeCell ref="C2246:E2246"/>
    <mergeCell ref="C2244:E2244"/>
    <mergeCell ref="C2243:E2243"/>
    <mergeCell ref="C2233:E2233"/>
    <mergeCell ref="C2256:E2256"/>
    <mergeCell ref="C2283:E2283"/>
    <mergeCell ref="C2289:E2289"/>
    <mergeCell ref="C2292:E2292"/>
    <mergeCell ref="C2288:E2288"/>
    <mergeCell ref="C2287:E2287"/>
    <mergeCell ref="C2275:E2275"/>
    <mergeCell ref="C2290:E2290"/>
    <mergeCell ref="C2267:E2267"/>
    <mergeCell ref="C2274:E2274"/>
    <mergeCell ref="C2279:E2279"/>
    <mergeCell ref="C2263:E2263"/>
    <mergeCell ref="C2261:E2261"/>
    <mergeCell ref="C2269:E2269"/>
    <mergeCell ref="C2257:E2257"/>
    <mergeCell ref="C2239:E2239"/>
    <mergeCell ref="C2245:E2245"/>
    <mergeCell ref="C2238:E2238"/>
    <mergeCell ref="C2488:E2488"/>
    <mergeCell ref="C2452:E2452"/>
    <mergeCell ref="C2468:E2468"/>
    <mergeCell ref="C2477:E2477"/>
    <mergeCell ref="C2461:E2461"/>
    <mergeCell ref="C2460:E2460"/>
    <mergeCell ref="C2266:E2266"/>
    <mergeCell ref="C2471:E2471"/>
    <mergeCell ref="C2463:E2463"/>
    <mergeCell ref="C2260:E2260"/>
    <mergeCell ref="C2268:E2268"/>
    <mergeCell ref="C2258:E2258"/>
    <mergeCell ref="C2309:E2309"/>
    <mergeCell ref="C2296:E2296"/>
    <mergeCell ref="C2298:E2298"/>
    <mergeCell ref="C2265:E2265"/>
    <mergeCell ref="C2282:E2282"/>
    <mergeCell ref="C2278:E2278"/>
    <mergeCell ref="C2264:E2264"/>
    <mergeCell ref="C2286:E2286"/>
    <mergeCell ref="C2284:E2284"/>
    <mergeCell ref="C2277:E2277"/>
    <mergeCell ref="C2272:E2272"/>
    <mergeCell ref="C2273:E2273"/>
    <mergeCell ref="C2271:E2271"/>
    <mergeCell ref="C2276:E2276"/>
    <mergeCell ref="C2415:E2415"/>
    <mergeCell ref="C2413:E2413"/>
    <mergeCell ref="C2423:E2423"/>
    <mergeCell ref="C2438:E2438"/>
    <mergeCell ref="C2427:E2427"/>
    <mergeCell ref="C2442:E2442"/>
    <mergeCell ref="C2483:E2483"/>
    <mergeCell ref="C2443:E2443"/>
    <mergeCell ref="C2430:E2430"/>
    <mergeCell ref="C2440:E2440"/>
    <mergeCell ref="C2437:E2437"/>
    <mergeCell ref="C2439:E2439"/>
    <mergeCell ref="C2435:E2435"/>
    <mergeCell ref="C2433:E2433"/>
    <mergeCell ref="C2432:E2432"/>
    <mergeCell ref="C2431:E2431"/>
    <mergeCell ref="C2469:E2469"/>
    <mergeCell ref="C2476:E2476"/>
    <mergeCell ref="C2470:E2470"/>
    <mergeCell ref="C2482:E2482"/>
    <mergeCell ref="C2473:E2473"/>
    <mergeCell ref="C2478:E2478"/>
    <mergeCell ref="C2466:E2466"/>
    <mergeCell ref="C2475:E2475"/>
    <mergeCell ref="C2467:E2467"/>
    <mergeCell ref="C2456:E2456"/>
    <mergeCell ref="C2462:E2462"/>
    <mergeCell ref="C2464:E2464"/>
    <mergeCell ref="C2457:E2457"/>
    <mergeCell ref="C2458:E2458"/>
    <mergeCell ref="C2479:E2479"/>
    <mergeCell ref="C2451:E2451"/>
    <mergeCell ref="C2446:E2446"/>
    <mergeCell ref="C2474:E2474"/>
    <mergeCell ref="C2472:E2472"/>
    <mergeCell ref="C2480:E2480"/>
    <mergeCell ref="C2295:E2295"/>
    <mergeCell ref="F2302:G2302"/>
    <mergeCell ref="C2377:E2377"/>
    <mergeCell ref="C2396:E2396"/>
    <mergeCell ref="C2389:E2389"/>
    <mergeCell ref="C2387:E2387"/>
    <mergeCell ref="C2381:E2381"/>
    <mergeCell ref="C2382:E2382"/>
    <mergeCell ref="C2385:E2385"/>
    <mergeCell ref="F2295:G2295"/>
    <mergeCell ref="C2297:E2297"/>
    <mergeCell ref="C2380:E2380"/>
    <mergeCell ref="C2388:E2388"/>
    <mergeCell ref="C2395:E2395"/>
    <mergeCell ref="F2298:G2298"/>
    <mergeCell ref="C2392:E2392"/>
    <mergeCell ref="C2394:E2394"/>
    <mergeCell ref="F2310:G2310"/>
    <mergeCell ref="F2332:G2332"/>
    <mergeCell ref="F2308:G2308"/>
    <mergeCell ref="C2371:E2371"/>
    <mergeCell ref="F2350:G2350"/>
    <mergeCell ref="C2346:E2346"/>
    <mergeCell ref="F2347:G2347"/>
    <mergeCell ref="F2342:G2342"/>
    <mergeCell ref="F2319:G2319"/>
    <mergeCell ref="F2336:G2336"/>
    <mergeCell ref="C2341:E2341"/>
    <mergeCell ref="C2372:E2372"/>
    <mergeCell ref="C2336:E2336"/>
    <mergeCell ref="C2349:E2349"/>
    <mergeCell ref="F2307:G2307"/>
    <mergeCell ref="F1171:G1171"/>
    <mergeCell ref="F1142:G1142"/>
    <mergeCell ref="F1169:G1169"/>
    <mergeCell ref="F1128:G1128"/>
    <mergeCell ref="F1137:G1137"/>
    <mergeCell ref="F1131:G1131"/>
    <mergeCell ref="F1139:G1139"/>
    <mergeCell ref="F1143:G1143"/>
    <mergeCell ref="F1172:G1172"/>
    <mergeCell ref="F1144:G1144"/>
    <mergeCell ref="F1268:G1268"/>
    <mergeCell ref="F1236:G1236"/>
    <mergeCell ref="F1233:G1233"/>
    <mergeCell ref="F1208:G1208"/>
    <mergeCell ref="F1206:G1206"/>
    <mergeCell ref="F702:G702"/>
    <mergeCell ref="F696:G696"/>
    <mergeCell ref="F697:G697"/>
    <mergeCell ref="F762:G762"/>
    <mergeCell ref="F761:G761"/>
    <mergeCell ref="F754:G754"/>
    <mergeCell ref="F752:G752"/>
    <mergeCell ref="F698:G698"/>
    <mergeCell ref="F712:G712"/>
    <mergeCell ref="F703:G703"/>
    <mergeCell ref="F708:G708"/>
    <mergeCell ref="F699:G699"/>
    <mergeCell ref="F706:G706"/>
    <mergeCell ref="F721:G721"/>
    <mergeCell ref="F755:G755"/>
    <mergeCell ref="F725:G725"/>
    <mergeCell ref="F716:G716"/>
    <mergeCell ref="F732:G732"/>
    <mergeCell ref="F730:G730"/>
    <mergeCell ref="F724:G724"/>
    <mergeCell ref="F728:G728"/>
    <mergeCell ref="F731:G731"/>
    <mergeCell ref="F759:G759"/>
    <mergeCell ref="F733:G733"/>
    <mergeCell ref="F714:G714"/>
    <mergeCell ref="F425:G425"/>
    <mergeCell ref="F427:G427"/>
    <mergeCell ref="F467:G467"/>
    <mergeCell ref="F466:G466"/>
    <mergeCell ref="F462:G462"/>
    <mergeCell ref="F460:G460"/>
    <mergeCell ref="F464:G464"/>
    <mergeCell ref="F504:G504"/>
    <mergeCell ref="F511:G511"/>
    <mergeCell ref="F501:G501"/>
    <mergeCell ref="F508:G508"/>
    <mergeCell ref="F503:G503"/>
    <mergeCell ref="F502:G502"/>
    <mergeCell ref="F471:G471"/>
    <mergeCell ref="F495:G495"/>
    <mergeCell ref="F485:G485"/>
    <mergeCell ref="F481:G481"/>
    <mergeCell ref="F647:G647"/>
    <mergeCell ref="F639:G639"/>
    <mergeCell ref="F637:G637"/>
    <mergeCell ref="F420:G420"/>
    <mergeCell ref="H435:I435"/>
    <mergeCell ref="H433:I433"/>
    <mergeCell ref="H423:I423"/>
    <mergeCell ref="H429:I429"/>
    <mergeCell ref="H434:I434"/>
    <mergeCell ref="F664:G664"/>
    <mergeCell ref="F470:G470"/>
    <mergeCell ref="F437:G437"/>
    <mergeCell ref="F634:G634"/>
    <mergeCell ref="F635:G635"/>
    <mergeCell ref="F597:G597"/>
    <mergeCell ref="F598:G598"/>
    <mergeCell ref="F633:G633"/>
    <mergeCell ref="F618:G618"/>
    <mergeCell ref="F601:G601"/>
    <mergeCell ref="F661:G661"/>
    <mergeCell ref="F660:G660"/>
    <mergeCell ref="H426:I426"/>
    <mergeCell ref="F605:G605"/>
    <mergeCell ref="F600:G600"/>
    <mergeCell ref="F584:G584"/>
    <mergeCell ref="F586:G586"/>
    <mergeCell ref="F599:G599"/>
    <mergeCell ref="F596:G596"/>
    <mergeCell ref="F604:G604"/>
    <mergeCell ref="F631:G631"/>
    <mergeCell ref="F629:G629"/>
    <mergeCell ref="F662:G662"/>
    <mergeCell ref="H663:I663"/>
    <mergeCell ref="H460:I460"/>
    <mergeCell ref="F463:G463"/>
    <mergeCell ref="H463:I463"/>
    <mergeCell ref="H430:I430"/>
    <mergeCell ref="F435:G435"/>
    <mergeCell ref="F432:G432"/>
    <mergeCell ref="F434:G434"/>
    <mergeCell ref="H432:I432"/>
    <mergeCell ref="F465:G465"/>
    <mergeCell ref="F455:G455"/>
    <mergeCell ref="H443:I443"/>
    <mergeCell ref="H447:I447"/>
    <mergeCell ref="H446:I446"/>
    <mergeCell ref="F452:G452"/>
    <mergeCell ref="H437:I437"/>
    <mergeCell ref="H439:I439"/>
    <mergeCell ref="H452:I452"/>
    <mergeCell ref="F450:G450"/>
    <mergeCell ref="F447:G447"/>
    <mergeCell ref="H440:I440"/>
    <mergeCell ref="H438:I438"/>
    <mergeCell ref="F440:G440"/>
    <mergeCell ref="H448:I448"/>
    <mergeCell ref="H431:I431"/>
    <mergeCell ref="H445:I445"/>
    <mergeCell ref="F451:G451"/>
    <mergeCell ref="H466:I466"/>
    <mergeCell ref="H491:I491"/>
    <mergeCell ref="H484:I484"/>
    <mergeCell ref="H480:I480"/>
    <mergeCell ref="H482:I482"/>
    <mergeCell ref="F473:G473"/>
    <mergeCell ref="F472:G472"/>
    <mergeCell ref="H475:I475"/>
    <mergeCell ref="F474:G474"/>
    <mergeCell ref="H468:I468"/>
    <mergeCell ref="F497:G497"/>
    <mergeCell ref="F522:G522"/>
    <mergeCell ref="F532:G532"/>
    <mergeCell ref="F499:G499"/>
    <mergeCell ref="F519:G519"/>
    <mergeCell ref="F518:G518"/>
    <mergeCell ref="F509:G509"/>
    <mergeCell ref="F520:G520"/>
    <mergeCell ref="F500:G500"/>
    <mergeCell ref="F513:G513"/>
    <mergeCell ref="F475:G475"/>
    <mergeCell ref="F480:G480"/>
    <mergeCell ref="F498:G498"/>
    <mergeCell ref="F493:G493"/>
    <mergeCell ref="F486:G486"/>
    <mergeCell ref="F494:G494"/>
    <mergeCell ref="F492:G492"/>
    <mergeCell ref="F484:G484"/>
    <mergeCell ref="F491:G491"/>
    <mergeCell ref="F487:G487"/>
    <mergeCell ref="F476:G476"/>
    <mergeCell ref="F478:G478"/>
    <mergeCell ref="F490:G490"/>
    <mergeCell ref="F488:G488"/>
    <mergeCell ref="F482:G482"/>
    <mergeCell ref="F489:G489"/>
    <mergeCell ref="F477:G477"/>
    <mergeCell ref="F507:G507"/>
    <mergeCell ref="F512:G512"/>
    <mergeCell ref="C570:E570"/>
    <mergeCell ref="F579:G579"/>
    <mergeCell ref="C563:E563"/>
    <mergeCell ref="F577:G577"/>
    <mergeCell ref="C561:E561"/>
    <mergeCell ref="F568:G568"/>
    <mergeCell ref="F575:G575"/>
    <mergeCell ref="C574:E574"/>
    <mergeCell ref="C576:E576"/>
    <mergeCell ref="C577:E577"/>
    <mergeCell ref="F521:G521"/>
    <mergeCell ref="F515:G515"/>
    <mergeCell ref="F510:G510"/>
    <mergeCell ref="F535:G535"/>
    <mergeCell ref="F538:G538"/>
    <mergeCell ref="F549:G549"/>
    <mergeCell ref="F544:G544"/>
    <mergeCell ref="F541:G541"/>
    <mergeCell ref="F540:G540"/>
    <mergeCell ref="F524:G524"/>
    <mergeCell ref="F527:G527"/>
    <mergeCell ref="F557:G557"/>
    <mergeCell ref="F558:G558"/>
    <mergeCell ref="F529:G529"/>
    <mergeCell ref="F537:G537"/>
    <mergeCell ref="F530:G530"/>
    <mergeCell ref="F542:G542"/>
    <mergeCell ref="F533:G533"/>
    <mergeCell ref="F539:G539"/>
    <mergeCell ref="F554:G554"/>
    <mergeCell ref="F514:G514"/>
    <mergeCell ref="C556:E556"/>
    <mergeCell ref="C573:E573"/>
    <mergeCell ref="C580:E580"/>
    <mergeCell ref="F572:G572"/>
    <mergeCell ref="F616:G616"/>
    <mergeCell ref="C604:E604"/>
    <mergeCell ref="C616:E616"/>
    <mergeCell ref="F615:G615"/>
    <mergeCell ref="C615:E615"/>
    <mergeCell ref="C602:E602"/>
    <mergeCell ref="F571:G571"/>
    <mergeCell ref="C589:E589"/>
    <mergeCell ref="F580:G580"/>
    <mergeCell ref="F578:G578"/>
    <mergeCell ref="C583:E583"/>
    <mergeCell ref="C588:E588"/>
    <mergeCell ref="C585:E585"/>
    <mergeCell ref="F583:G583"/>
    <mergeCell ref="F582:G582"/>
    <mergeCell ref="F594:G594"/>
    <mergeCell ref="F592:G592"/>
    <mergeCell ref="F587:G587"/>
    <mergeCell ref="F590:G590"/>
    <mergeCell ref="F593:G593"/>
    <mergeCell ref="F591:G591"/>
    <mergeCell ref="F589:G589"/>
    <mergeCell ref="F845:G845"/>
    <mergeCell ref="F813:G813"/>
    <mergeCell ref="F832:G832"/>
    <mergeCell ref="F588:G588"/>
    <mergeCell ref="F656:G656"/>
    <mergeCell ref="F795:G795"/>
    <mergeCell ref="F814:G814"/>
    <mergeCell ref="F823:G823"/>
    <mergeCell ref="F834:G834"/>
    <mergeCell ref="F871:G871"/>
    <mergeCell ref="F884:G884"/>
    <mergeCell ref="F889:G889"/>
    <mergeCell ref="C619:E619"/>
    <mergeCell ref="F621:G621"/>
    <mergeCell ref="C618:E618"/>
    <mergeCell ref="F617:G617"/>
    <mergeCell ref="F638:G638"/>
    <mergeCell ref="F628:G628"/>
    <mergeCell ref="F630:G630"/>
    <mergeCell ref="C636:E636"/>
    <mergeCell ref="C632:E632"/>
    <mergeCell ref="C627:E627"/>
    <mergeCell ref="F674:G674"/>
    <mergeCell ref="F684:G684"/>
    <mergeCell ref="F682:G682"/>
    <mergeCell ref="F685:G685"/>
    <mergeCell ref="F680:G680"/>
    <mergeCell ref="F707:G707"/>
    <mergeCell ref="F692:G692"/>
    <mergeCell ref="F693:G693"/>
    <mergeCell ref="F695:G695"/>
    <mergeCell ref="F705:G705"/>
    <mergeCell ref="F883:G883"/>
    <mergeCell ref="F898:G898"/>
    <mergeCell ref="F901:G901"/>
    <mergeCell ref="H900:I900"/>
    <mergeCell ref="H898:I898"/>
    <mergeCell ref="F890:G890"/>
    <mergeCell ref="F896:G896"/>
    <mergeCell ref="F893:G893"/>
    <mergeCell ref="F888:G888"/>
    <mergeCell ref="F900:G900"/>
    <mergeCell ref="F897:G897"/>
    <mergeCell ref="F899:G899"/>
    <mergeCell ref="H896:I896"/>
    <mergeCell ref="F891:G891"/>
    <mergeCell ref="H897:I897"/>
    <mergeCell ref="H901:I901"/>
    <mergeCell ref="F894:G894"/>
    <mergeCell ref="F886:G886"/>
    <mergeCell ref="H893:I893"/>
    <mergeCell ref="F885:G885"/>
    <mergeCell ref="F895:G895"/>
    <mergeCell ref="F861:G861"/>
    <mergeCell ref="F996:G996"/>
    <mergeCell ref="F943:G943"/>
    <mergeCell ref="F932:G932"/>
    <mergeCell ref="F919:G919"/>
    <mergeCell ref="F920:G920"/>
    <mergeCell ref="F935:G935"/>
    <mergeCell ref="F933:G933"/>
    <mergeCell ref="F930:G930"/>
    <mergeCell ref="F941:G941"/>
    <mergeCell ref="F940:G940"/>
    <mergeCell ref="F927:G927"/>
    <mergeCell ref="F936:G936"/>
    <mergeCell ref="H913:I913"/>
    <mergeCell ref="F915:G915"/>
    <mergeCell ref="F924:G924"/>
    <mergeCell ref="F916:G916"/>
    <mergeCell ref="F918:G918"/>
    <mergeCell ref="H935:I935"/>
    <mergeCell ref="H930:I930"/>
    <mergeCell ref="H921:I921"/>
    <mergeCell ref="H919:I919"/>
    <mergeCell ref="H917:I917"/>
    <mergeCell ref="F923:G923"/>
    <mergeCell ref="F913:G913"/>
    <mergeCell ref="H920:I920"/>
    <mergeCell ref="F931:G931"/>
    <mergeCell ref="F934:G934"/>
    <mergeCell ref="F970:G970"/>
    <mergeCell ref="F949:G949"/>
    <mergeCell ref="F959:G959"/>
    <mergeCell ref="F957:G957"/>
    <mergeCell ref="H1039:I1039"/>
    <mergeCell ref="H1043:I1043"/>
    <mergeCell ref="F1025:G1025"/>
    <mergeCell ref="H1042:I1042"/>
    <mergeCell ref="F1027:G1027"/>
    <mergeCell ref="H1029:I1029"/>
    <mergeCell ref="H1025:I1025"/>
    <mergeCell ref="H1028:I1028"/>
    <mergeCell ref="F1035:G1035"/>
    <mergeCell ref="F1040:G1040"/>
    <mergeCell ref="F1047:G1047"/>
    <mergeCell ref="F1020:G1020"/>
    <mergeCell ref="H1044:I1044"/>
    <mergeCell ref="H1021:I1021"/>
    <mergeCell ref="H1022:I1022"/>
    <mergeCell ref="H1023:I1023"/>
    <mergeCell ref="H1034:I1034"/>
    <mergeCell ref="H1041:I1041"/>
    <mergeCell ref="H1033:I1033"/>
    <mergeCell ref="F1024:G1024"/>
    <mergeCell ref="H1038:I1038"/>
    <mergeCell ref="H1027:I1027"/>
    <mergeCell ref="H1026:I1026"/>
    <mergeCell ref="H1024:I1024"/>
    <mergeCell ref="H1045:I1045"/>
    <mergeCell ref="H1035:I1035"/>
    <mergeCell ref="H1004:I1004"/>
    <mergeCell ref="H981:I981"/>
    <mergeCell ref="H1001:I1001"/>
    <mergeCell ref="F993:G993"/>
    <mergeCell ref="F994:G994"/>
    <mergeCell ref="H973:I973"/>
    <mergeCell ref="H979:I979"/>
    <mergeCell ref="F983:G983"/>
    <mergeCell ref="H980:I980"/>
    <mergeCell ref="H986:I986"/>
    <mergeCell ref="H963:I963"/>
    <mergeCell ref="H1020:I1020"/>
    <mergeCell ref="H1010:I1010"/>
    <mergeCell ref="H1013:I1013"/>
    <mergeCell ref="H1017:I1017"/>
    <mergeCell ref="H999:I999"/>
    <mergeCell ref="H1006:I1006"/>
    <mergeCell ref="H1002:I1002"/>
    <mergeCell ref="H1012:I1012"/>
    <mergeCell ref="H1011:I1011"/>
    <mergeCell ref="H988:I988"/>
    <mergeCell ref="H1018:I1018"/>
    <mergeCell ref="H1016:I1016"/>
    <mergeCell ref="H1008:I1008"/>
    <mergeCell ref="H1015:I1015"/>
    <mergeCell ref="H1007:I1007"/>
    <mergeCell ref="H1003:I1003"/>
    <mergeCell ref="F1009:G1009"/>
    <mergeCell ref="H1005:I1005"/>
    <mergeCell ref="H989:I989"/>
    <mergeCell ref="H966:I966"/>
    <mergeCell ref="F998:G998"/>
    <mergeCell ref="H969:I969"/>
    <mergeCell ref="H970:I970"/>
    <mergeCell ref="H943:I943"/>
    <mergeCell ref="H950:I950"/>
    <mergeCell ref="H968:I968"/>
    <mergeCell ref="H962:I962"/>
    <mergeCell ref="H964:I964"/>
    <mergeCell ref="H967:I967"/>
    <mergeCell ref="H958:I958"/>
    <mergeCell ref="F988:G988"/>
    <mergeCell ref="F980:G980"/>
    <mergeCell ref="H983:I983"/>
    <mergeCell ref="H982:I982"/>
    <mergeCell ref="F987:G987"/>
    <mergeCell ref="H972:I972"/>
    <mergeCell ref="F972:G972"/>
    <mergeCell ref="F973:G973"/>
    <mergeCell ref="H974:I974"/>
    <mergeCell ref="H985:I985"/>
    <mergeCell ref="H944:I944"/>
    <mergeCell ref="H948:I948"/>
    <mergeCell ref="F958:G958"/>
    <mergeCell ref="F961:G961"/>
    <mergeCell ref="F944:G944"/>
    <mergeCell ref="F964:G964"/>
    <mergeCell ref="H975:I975"/>
    <mergeCell ref="F956:G956"/>
    <mergeCell ref="F955:G955"/>
    <mergeCell ref="F954:G954"/>
    <mergeCell ref="F950:G950"/>
    <mergeCell ref="F945:G945"/>
    <mergeCell ref="F952:G952"/>
    <mergeCell ref="H932:I932"/>
    <mergeCell ref="H927:I927"/>
    <mergeCell ref="H924:I924"/>
    <mergeCell ref="H952:I952"/>
    <mergeCell ref="H951:I951"/>
    <mergeCell ref="H947:I947"/>
    <mergeCell ref="H949:I949"/>
    <mergeCell ref="H941:I941"/>
    <mergeCell ref="H946:I946"/>
    <mergeCell ref="H945:I945"/>
    <mergeCell ref="H902:I902"/>
    <mergeCell ref="F902:G902"/>
    <mergeCell ref="F904:G904"/>
    <mergeCell ref="F905:G905"/>
    <mergeCell ref="H912:I912"/>
    <mergeCell ref="F903:G903"/>
    <mergeCell ref="H906:I906"/>
    <mergeCell ref="H905:I905"/>
    <mergeCell ref="F906:G906"/>
    <mergeCell ref="F909:G909"/>
    <mergeCell ref="F942:G942"/>
    <mergeCell ref="F917:G917"/>
    <mergeCell ref="F911:G911"/>
    <mergeCell ref="F921:G921"/>
    <mergeCell ref="F914:G914"/>
    <mergeCell ref="F948:G948"/>
    <mergeCell ref="F947:G947"/>
    <mergeCell ref="F946:G946"/>
    <mergeCell ref="F951:G951"/>
    <mergeCell ref="F922:G922"/>
    <mergeCell ref="H922:I922"/>
    <mergeCell ref="H863:I863"/>
    <mergeCell ref="H856:I856"/>
    <mergeCell ref="H861:I861"/>
    <mergeCell ref="H855:I855"/>
    <mergeCell ref="H853:I853"/>
    <mergeCell ref="H1080:I1080"/>
    <mergeCell ref="F872:G872"/>
    <mergeCell ref="H865:I865"/>
    <mergeCell ref="F866:G866"/>
    <mergeCell ref="H867:I867"/>
    <mergeCell ref="H873:I873"/>
    <mergeCell ref="F873:G873"/>
    <mergeCell ref="F868:G868"/>
    <mergeCell ref="H868:I868"/>
    <mergeCell ref="F878:G878"/>
    <mergeCell ref="H869:I869"/>
    <mergeCell ref="F875:G875"/>
    <mergeCell ref="F876:G876"/>
    <mergeCell ref="F877:G877"/>
    <mergeCell ref="H870:I870"/>
    <mergeCell ref="H871:I871"/>
    <mergeCell ref="H881:I881"/>
    <mergeCell ref="H876:I876"/>
    <mergeCell ref="H872:I872"/>
    <mergeCell ref="F865:G865"/>
    <mergeCell ref="F874:G874"/>
    <mergeCell ref="H886:I886"/>
    <mergeCell ref="F926:G926"/>
    <mergeCell ref="H908:I908"/>
    <mergeCell ref="H925:I925"/>
    <mergeCell ref="H938:I938"/>
    <mergeCell ref="H942:I942"/>
    <mergeCell ref="H828:I828"/>
    <mergeCell ref="F833:G833"/>
    <mergeCell ref="H824:I824"/>
    <mergeCell ref="F801:G801"/>
    <mergeCell ref="F860:G860"/>
    <mergeCell ref="H813:I813"/>
    <mergeCell ref="H837:I837"/>
    <mergeCell ref="H805:I805"/>
    <mergeCell ref="F859:G859"/>
    <mergeCell ref="H851:I851"/>
    <mergeCell ref="H854:I854"/>
    <mergeCell ref="H833:I833"/>
    <mergeCell ref="H846:I846"/>
    <mergeCell ref="H852:I852"/>
    <mergeCell ref="H784:I784"/>
    <mergeCell ref="H789:I789"/>
    <mergeCell ref="H785:I785"/>
    <mergeCell ref="H836:I836"/>
    <mergeCell ref="H834:I834"/>
    <mergeCell ref="H842:I842"/>
    <mergeCell ref="H804:I804"/>
    <mergeCell ref="H814:I814"/>
    <mergeCell ref="H835:I835"/>
    <mergeCell ref="F848:G848"/>
    <mergeCell ref="F850:G850"/>
    <mergeCell ref="F856:G856"/>
    <mergeCell ref="F852:G852"/>
    <mergeCell ref="F849:G849"/>
    <mergeCell ref="F843:G843"/>
    <mergeCell ref="F854:G854"/>
    <mergeCell ref="F811:G811"/>
    <mergeCell ref="F835:G835"/>
    <mergeCell ref="H1128:I1128"/>
    <mergeCell ref="H1133:I1133"/>
    <mergeCell ref="F1153:G1153"/>
    <mergeCell ref="F1105:G1105"/>
    <mergeCell ref="F767:G767"/>
    <mergeCell ref="F769:G769"/>
    <mergeCell ref="H1146:I1146"/>
    <mergeCell ref="H1143:I1143"/>
    <mergeCell ref="H1141:I1141"/>
    <mergeCell ref="H1138:I1138"/>
    <mergeCell ref="H1096:I1096"/>
    <mergeCell ref="H1102:I1102"/>
    <mergeCell ref="H1109:I1109"/>
    <mergeCell ref="H1107:I1107"/>
    <mergeCell ref="F851:G851"/>
    <mergeCell ref="H848:I848"/>
    <mergeCell ref="H1159:I1159"/>
    <mergeCell ref="H1154:I1154"/>
    <mergeCell ref="H1153:I1153"/>
    <mergeCell ref="H1156:I1156"/>
    <mergeCell ref="H1147:I1147"/>
    <mergeCell ref="H1149:I1149"/>
    <mergeCell ref="H1155:I1155"/>
    <mergeCell ref="H1127:I1127"/>
    <mergeCell ref="H838:I838"/>
    <mergeCell ref="H807:I807"/>
    <mergeCell ref="F1145:G1145"/>
    <mergeCell ref="F1119:G1119"/>
    <mergeCell ref="F1118:G1118"/>
    <mergeCell ref="H1112:I1112"/>
    <mergeCell ref="H775:I775"/>
    <mergeCell ref="H799:I799"/>
    <mergeCell ref="H1152:I1152"/>
    <mergeCell ref="H1555:I1555"/>
    <mergeCell ref="H1487:I1487"/>
    <mergeCell ref="H1265:I1265"/>
    <mergeCell ref="H1274:I1274"/>
    <mergeCell ref="H1564:I1564"/>
    <mergeCell ref="H1563:I1563"/>
    <mergeCell ref="H1554:I1554"/>
    <mergeCell ref="H1490:I1490"/>
    <mergeCell ref="H1281:I1281"/>
    <mergeCell ref="H1219:I1219"/>
    <mergeCell ref="H1180:I1180"/>
    <mergeCell ref="H1181:I1181"/>
    <mergeCell ref="H1182:I1182"/>
    <mergeCell ref="H1165:I1165"/>
    <mergeCell ref="H1161:I1161"/>
    <mergeCell ref="H1821:I1821"/>
    <mergeCell ref="H1820:I1820"/>
    <mergeCell ref="H1804:I1804"/>
    <mergeCell ref="H1470:I1470"/>
    <mergeCell ref="H1497:I1497"/>
    <mergeCell ref="H1178:I1178"/>
    <mergeCell ref="H1158:I1158"/>
    <mergeCell ref="H1157:I1157"/>
    <mergeCell ref="H1297:I1297"/>
    <mergeCell ref="H1295:I1295"/>
    <mergeCell ref="H1256:I1256"/>
    <mergeCell ref="H1251:I1251"/>
    <mergeCell ref="H1254:I1254"/>
    <mergeCell ref="H1259:I1259"/>
    <mergeCell ref="H1282:I1282"/>
    <mergeCell ref="H1287:I1287"/>
    <mergeCell ref="H1498:I1498"/>
    <mergeCell ref="H1499:I1499"/>
    <mergeCell ref="H1495:I1495"/>
    <mergeCell ref="H1640:I1640"/>
    <mergeCell ref="H1868:I1868"/>
    <mergeCell ref="H1847:I1847"/>
    <mergeCell ref="H1809:I1809"/>
    <mergeCell ref="H1842:I1842"/>
    <mergeCell ref="H1929:I1929"/>
    <mergeCell ref="H1491:I1491"/>
    <mergeCell ref="H1867:I1867"/>
    <mergeCell ref="H1819:I1819"/>
    <mergeCell ref="H2001:I2001"/>
    <mergeCell ref="F1967:G1967"/>
    <mergeCell ref="F1981:G1981"/>
    <mergeCell ref="H1854:I1854"/>
    <mergeCell ref="H1856:I1856"/>
    <mergeCell ref="H1609:I1609"/>
    <mergeCell ref="H1784:I1784"/>
    <mergeCell ref="H1799:I1799"/>
    <mergeCell ref="H1627:I1627"/>
    <mergeCell ref="H1851:I1851"/>
    <mergeCell ref="H1815:I1815"/>
    <mergeCell ref="H1825:I1825"/>
    <mergeCell ref="H1823:I1823"/>
    <mergeCell ref="H1827:I1827"/>
    <mergeCell ref="H1831:I1831"/>
    <mergeCell ref="H1853:I1853"/>
    <mergeCell ref="H1863:I1863"/>
    <mergeCell ref="H1858:I1858"/>
    <mergeCell ref="H1839:I1839"/>
    <mergeCell ref="H1848:I1848"/>
    <mergeCell ref="F2192:G2192"/>
    <mergeCell ref="F2170:G2170"/>
    <mergeCell ref="F2167:G2167"/>
    <mergeCell ref="F2179:G2179"/>
    <mergeCell ref="F2251:G2251"/>
    <mergeCell ref="F2257:G2257"/>
    <mergeCell ref="F2226:G2226"/>
    <mergeCell ref="F2203:G2203"/>
    <mergeCell ref="F2214:G2214"/>
    <mergeCell ref="F2227:G2227"/>
    <mergeCell ref="F2215:G2215"/>
    <mergeCell ref="H1951:I1951"/>
    <mergeCell ref="H1948:I1948"/>
    <mergeCell ref="F1962:G1962"/>
    <mergeCell ref="H1812:I1812"/>
    <mergeCell ref="H1518:I1518"/>
    <mergeCell ref="H1938:I1938"/>
    <mergeCell ref="H2006:I2006"/>
    <mergeCell ref="F2025:G2025"/>
    <mergeCell ref="H1973:I1973"/>
    <mergeCell ref="H1975:I1975"/>
    <mergeCell ref="F1974:G1974"/>
    <mergeCell ref="F1982:G1982"/>
    <mergeCell ref="H2020:I2020"/>
    <mergeCell ref="H1617:I1617"/>
    <mergeCell ref="H1780:I1780"/>
    <mergeCell ref="H1952:I1952"/>
    <mergeCell ref="F2255:G2255"/>
    <mergeCell ref="F2206:G2206"/>
    <mergeCell ref="F2208:G2208"/>
    <mergeCell ref="H1835:I1835"/>
    <mergeCell ref="H1852:I1852"/>
    <mergeCell ref="C2721:E2721"/>
    <mergeCell ref="C2729:E2729"/>
    <mergeCell ref="C2728:E2728"/>
    <mergeCell ref="C2727:E2727"/>
    <mergeCell ref="C2726:E2726"/>
    <mergeCell ref="C2455:E2455"/>
    <mergeCell ref="C2402:E2402"/>
    <mergeCell ref="C2436:E2436"/>
    <mergeCell ref="C2711:E2711"/>
    <mergeCell ref="C2708:E2708"/>
    <mergeCell ref="C2709:E2709"/>
    <mergeCell ref="C2628:E2628"/>
    <mergeCell ref="C2505:E2505"/>
    <mergeCell ref="C2428:E2428"/>
    <mergeCell ref="C2422:E2422"/>
    <mergeCell ref="C2404:E2404"/>
    <mergeCell ref="C2434:E2434"/>
    <mergeCell ref="C2405:E2405"/>
    <mergeCell ref="C2412:E2412"/>
    <mergeCell ref="C2411:E2411"/>
    <mergeCell ref="C2450:E2450"/>
    <mergeCell ref="C2444:E2444"/>
    <mergeCell ref="C2449:E2449"/>
    <mergeCell ref="C2429:E2429"/>
    <mergeCell ref="C2448:E2448"/>
    <mergeCell ref="C2441:E2441"/>
    <mergeCell ref="C2454:E2454"/>
    <mergeCell ref="C2453:E2453"/>
    <mergeCell ref="C2408:E2408"/>
    <mergeCell ref="C2508:E2508"/>
    <mergeCell ref="C2445:E2445"/>
    <mergeCell ref="C2459:E2459"/>
    <mergeCell ref="C2487:E2487"/>
    <mergeCell ref="C2447:E2447"/>
    <mergeCell ref="C2379:E2379"/>
    <mergeCell ref="C2399:E2399"/>
    <mergeCell ref="C2384:E2384"/>
    <mergeCell ref="C2390:E2390"/>
    <mergeCell ref="C2393:E2393"/>
    <mergeCell ref="C2386:E2386"/>
    <mergeCell ref="C2383:E2383"/>
    <mergeCell ref="C2398:E2398"/>
    <mergeCell ref="C2325:E2325"/>
    <mergeCell ref="C2321:E2321"/>
    <mergeCell ref="C2401:E2401"/>
    <mergeCell ref="C2397:E2397"/>
    <mergeCell ref="C2409:E2409"/>
    <mergeCell ref="F2370:G2370"/>
    <mergeCell ref="F1971:G1971"/>
    <mergeCell ref="F2142:G2142"/>
    <mergeCell ref="F2168:G2168"/>
    <mergeCell ref="F1985:G1985"/>
    <mergeCell ref="F2141:G2141"/>
    <mergeCell ref="F2131:G2131"/>
    <mergeCell ref="F2149:G2149"/>
    <mergeCell ref="C2343:E2343"/>
    <mergeCell ref="C2340:E2340"/>
    <mergeCell ref="F2349:G2349"/>
    <mergeCell ref="F2357:G2357"/>
    <mergeCell ref="F2341:G2341"/>
    <mergeCell ref="F2340:G2340"/>
    <mergeCell ref="C2342:E2342"/>
    <mergeCell ref="C2355:E2355"/>
    <mergeCell ref="C2354:E2354"/>
    <mergeCell ref="C2304:E2304"/>
    <mergeCell ref="C2313:E2313"/>
    <mergeCell ref="C2305:E2305"/>
    <mergeCell ref="F2301:G2301"/>
    <mergeCell ref="C2312:E2312"/>
    <mergeCell ref="C2301:E2301"/>
    <mergeCell ref="C2310:E2310"/>
    <mergeCell ref="C2303:E2303"/>
    <mergeCell ref="C2308:E2308"/>
    <mergeCell ref="C2320:E2320"/>
    <mergeCell ref="F2313:G2313"/>
    <mergeCell ref="F2253:G2253"/>
    <mergeCell ref="F2030:G2030"/>
    <mergeCell ref="F2162:G2162"/>
    <mergeCell ref="H1575:I1575"/>
    <mergeCell ref="H1576:I1576"/>
    <mergeCell ref="H1569:I1569"/>
    <mergeCell ref="H1583:I1583"/>
    <mergeCell ref="H1601:I1601"/>
    <mergeCell ref="H1624:I1624"/>
    <mergeCell ref="H1786:I1786"/>
    <mergeCell ref="H1745:I1745"/>
    <mergeCell ref="F1999:G1999"/>
    <mergeCell ref="F2159:G2159"/>
    <mergeCell ref="F2245:G2245"/>
    <mergeCell ref="H1974:I1974"/>
    <mergeCell ref="F1972:G1972"/>
    <mergeCell ref="F2244:G2244"/>
    <mergeCell ref="F2229:G2229"/>
    <mergeCell ref="F1973:G1973"/>
    <mergeCell ref="F1976:G1976"/>
    <mergeCell ref="F2051:G2051"/>
    <mergeCell ref="F1980:G1980"/>
    <mergeCell ref="H2004:I2004"/>
    <mergeCell ref="F1977:G1977"/>
    <mergeCell ref="H1996:I1996"/>
    <mergeCell ref="H1945:I1945"/>
    <mergeCell ref="H1941:I1941"/>
    <mergeCell ref="F1950:G1950"/>
    <mergeCell ref="F1992:G1992"/>
    <mergeCell ref="H1549:I1549"/>
    <mergeCell ref="H1531:I1531"/>
    <mergeCell ref="H1540:I1540"/>
    <mergeCell ref="H1536:I1536"/>
    <mergeCell ref="H1530:I1530"/>
    <mergeCell ref="H1525:I1525"/>
    <mergeCell ref="H1526:I1526"/>
    <mergeCell ref="H1534:I1534"/>
    <mergeCell ref="H1547:I1547"/>
    <mergeCell ref="H1535:I1535"/>
    <mergeCell ref="H1533:I1533"/>
    <mergeCell ref="H1527:I1527"/>
    <mergeCell ref="H1755:I1755"/>
    <mergeCell ref="H1552:I1552"/>
    <mergeCell ref="H1593:I1593"/>
    <mergeCell ref="H1586:I1586"/>
    <mergeCell ref="H1592:I1592"/>
    <mergeCell ref="H1579:I1579"/>
    <mergeCell ref="H1591:I1591"/>
    <mergeCell ref="H1594:I1594"/>
    <mergeCell ref="H1560:I1560"/>
    <mergeCell ref="H1558:I1558"/>
    <mergeCell ref="H1849:I1849"/>
    <mergeCell ref="H1841:I1841"/>
    <mergeCell ref="H1455:I1455"/>
    <mergeCell ref="H1515:I1515"/>
    <mergeCell ref="H1516:I1516"/>
    <mergeCell ref="H1513:I1513"/>
    <mergeCell ref="H1494:I1494"/>
    <mergeCell ref="H1496:I1496"/>
    <mergeCell ref="H1514:I1514"/>
    <mergeCell ref="H1507:I1507"/>
    <mergeCell ref="H1509:I1509"/>
    <mergeCell ref="H1512:I1512"/>
    <mergeCell ref="H1510:I1510"/>
    <mergeCell ref="H1521:I1521"/>
    <mergeCell ref="H1545:I1545"/>
    <mergeCell ref="H1524:I1524"/>
    <mergeCell ref="H1539:I1539"/>
    <mergeCell ref="H1517:I1517"/>
    <mergeCell ref="H1537:I1537"/>
    <mergeCell ref="H1544:I1544"/>
    <mergeCell ref="H1538:I1538"/>
    <mergeCell ref="H1528:I1528"/>
    <mergeCell ref="H1542:I1542"/>
    <mergeCell ref="H1543:I1543"/>
    <mergeCell ref="H1485:I1485"/>
    <mergeCell ref="H1483:I1483"/>
    <mergeCell ref="H1482:I1482"/>
    <mergeCell ref="H1477:I1477"/>
    <mergeCell ref="H1464:I1464"/>
    <mergeCell ref="H1541:I1541"/>
    <mergeCell ref="H1462:I1462"/>
    <mergeCell ref="H1465:I1465"/>
    <mergeCell ref="H1466:I1466"/>
    <mergeCell ref="H1459:I1459"/>
    <mergeCell ref="H1413:I1413"/>
    <mergeCell ref="H1411:I1411"/>
    <mergeCell ref="H1406:I1406"/>
    <mergeCell ref="H1434:I1434"/>
    <mergeCell ref="H1432:I1432"/>
    <mergeCell ref="H1419:I1419"/>
    <mergeCell ref="H1437:I1437"/>
    <mergeCell ref="H1436:I1436"/>
    <mergeCell ref="H1423:I1423"/>
    <mergeCell ref="H1425:I1425"/>
    <mergeCell ref="H1429:I1429"/>
    <mergeCell ref="H1421:I1421"/>
    <mergeCell ref="H1420:I1420"/>
    <mergeCell ref="H1443:I1443"/>
    <mergeCell ref="H1447:I1447"/>
    <mergeCell ref="H1452:I1452"/>
    <mergeCell ref="H1450:I1450"/>
    <mergeCell ref="H1451:I1451"/>
    <mergeCell ref="H1448:I1448"/>
    <mergeCell ref="H1449:I1449"/>
    <mergeCell ref="H1446:I1446"/>
    <mergeCell ref="H1445:I1445"/>
    <mergeCell ref="H1441:I1441"/>
    <mergeCell ref="H1463:I1463"/>
    <mergeCell ref="H1523:I1523"/>
    <mergeCell ref="H1476:I1476"/>
    <mergeCell ref="H1473:I1473"/>
    <mergeCell ref="H1520:I1520"/>
    <mergeCell ref="H1397:I1397"/>
    <mergeCell ref="H1412:I1412"/>
    <mergeCell ref="H1400:I1400"/>
    <mergeCell ref="H1402:I1402"/>
    <mergeCell ref="H1410:I1410"/>
    <mergeCell ref="H1457:I1457"/>
    <mergeCell ref="H1428:I1428"/>
    <mergeCell ref="H1456:I1456"/>
    <mergeCell ref="H1467:I1467"/>
    <mergeCell ref="H1414:I1414"/>
    <mergeCell ref="H1416:I1416"/>
    <mergeCell ref="H1427:I1427"/>
    <mergeCell ref="H1408:I1408"/>
    <mergeCell ref="H1407:I1407"/>
    <mergeCell ref="H1409:I1409"/>
    <mergeCell ref="H1415:I1415"/>
    <mergeCell ref="H1417:I1417"/>
    <mergeCell ref="H1403:I1403"/>
    <mergeCell ref="H1401:I1401"/>
    <mergeCell ref="H1404:I1404"/>
    <mergeCell ref="H1405:I1405"/>
    <mergeCell ref="H1469:I1469"/>
    <mergeCell ref="H1475:I1475"/>
    <mergeCell ref="H1519:I1519"/>
    <mergeCell ref="H1472:I1472"/>
    <mergeCell ref="H1439:I1439"/>
    <mergeCell ref="H1442:I1442"/>
    <mergeCell ref="H1767:I1767"/>
    <mergeCell ref="H1787:I1787"/>
    <mergeCell ref="H1792:I1792"/>
    <mergeCell ref="H1794:I1794"/>
    <mergeCell ref="H1760:I1760"/>
    <mergeCell ref="H1724:I1724"/>
    <mergeCell ref="H1479:I1479"/>
    <mergeCell ref="H1502:I1502"/>
    <mergeCell ref="H1529:I1529"/>
    <mergeCell ref="H1506:I1506"/>
    <mergeCell ref="H1770:I1770"/>
    <mergeCell ref="H1757:I1757"/>
    <mergeCell ref="H1480:I1480"/>
    <mergeCell ref="H1481:I1481"/>
    <mergeCell ref="H1590:I1590"/>
    <mergeCell ref="H1589:I1589"/>
    <mergeCell ref="H1629:I1629"/>
    <mergeCell ref="H1626:I1626"/>
    <mergeCell ref="H1532:I1532"/>
    <mergeCell ref="H1500:I1500"/>
    <mergeCell ref="H1484:I1484"/>
    <mergeCell ref="H1504:I1504"/>
    <mergeCell ref="H1505:I1505"/>
    <mergeCell ref="H1508:I1508"/>
    <mergeCell ref="H1492:I1492"/>
    <mergeCell ref="H1503:I1503"/>
    <mergeCell ref="H1493:I1493"/>
    <mergeCell ref="H1548:I1548"/>
    <mergeCell ref="H1546:I1546"/>
    <mergeCell ref="H1551:I1551"/>
    <mergeCell ref="H1550:I1550"/>
    <mergeCell ref="H1489:I1489"/>
    <mergeCell ref="H1977:I1977"/>
    <mergeCell ref="H1983:I1983"/>
    <mergeCell ref="H1999:I1999"/>
    <mergeCell ref="H1989:I1989"/>
    <mergeCell ref="H2003:I2003"/>
    <mergeCell ref="F1726:G1726"/>
    <mergeCell ref="F1769:G1769"/>
    <mergeCell ref="F1768:G1768"/>
    <mergeCell ref="F1831:G1831"/>
    <mergeCell ref="F1813:G1813"/>
    <mergeCell ref="F1780:G1780"/>
    <mergeCell ref="F1758:G1758"/>
    <mergeCell ref="F1782:G1782"/>
    <mergeCell ref="F1794:G1794"/>
    <mergeCell ref="F1826:G1826"/>
    <mergeCell ref="F1968:G1968"/>
    <mergeCell ref="H1968:I1968"/>
    <mergeCell ref="H1962:I1962"/>
    <mergeCell ref="H1801:I1801"/>
    <mergeCell ref="F1759:G1759"/>
    <mergeCell ref="H1844:I1844"/>
    <mergeCell ref="H1788:I1788"/>
    <mergeCell ref="F1765:G1765"/>
    <mergeCell ref="F1764:G1764"/>
    <mergeCell ref="H1766:I1766"/>
    <mergeCell ref="H1810:I1810"/>
    <mergeCell ref="H1808:I1808"/>
    <mergeCell ref="H1806:I1806"/>
    <mergeCell ref="H1782:I1782"/>
    <mergeCell ref="H1805:I1805"/>
    <mergeCell ref="H1790:I1790"/>
    <mergeCell ref="H1796:I1796"/>
    <mergeCell ref="H2022:I2022"/>
    <mergeCell ref="F2023:G2023"/>
    <mergeCell ref="H2026:I2026"/>
    <mergeCell ref="F2024:G2024"/>
    <mergeCell ref="H2018:I2018"/>
    <mergeCell ref="H2011:I2011"/>
    <mergeCell ref="H2021:I2021"/>
    <mergeCell ref="H2009:I2009"/>
    <mergeCell ref="H2017:I2017"/>
    <mergeCell ref="H2012:I2012"/>
    <mergeCell ref="H2019:I2019"/>
    <mergeCell ref="H2010:I2010"/>
    <mergeCell ref="H2014:I2014"/>
    <mergeCell ref="H2013:I2013"/>
    <mergeCell ref="H2016:I2016"/>
    <mergeCell ref="H1979:I1979"/>
    <mergeCell ref="H2015:I2015"/>
    <mergeCell ref="H1981:I1981"/>
    <mergeCell ref="H1992:I1992"/>
    <mergeCell ref="F2011:G2011"/>
    <mergeCell ref="F2014:G2014"/>
    <mergeCell ref="F2015:G2015"/>
    <mergeCell ref="F2013:G2013"/>
    <mergeCell ref="F2010:G2010"/>
    <mergeCell ref="F2004:G2004"/>
    <mergeCell ref="F2005:G2005"/>
    <mergeCell ref="F2006:G2006"/>
    <mergeCell ref="F1986:G1986"/>
    <mergeCell ref="H2005:I2005"/>
    <mergeCell ref="F1995:G1995"/>
    <mergeCell ref="F2000:G2000"/>
    <mergeCell ref="F1996:G1996"/>
    <mergeCell ref="C2324:E2324"/>
    <mergeCell ref="C2307:E2307"/>
    <mergeCell ref="C2334:E2334"/>
    <mergeCell ref="F2288:G2288"/>
    <mergeCell ref="F2292:G2292"/>
    <mergeCell ref="F2291:G2291"/>
    <mergeCell ref="F2290:G2290"/>
    <mergeCell ref="F2289:G2289"/>
    <mergeCell ref="C2306:E2306"/>
    <mergeCell ref="F2326:G2326"/>
    <mergeCell ref="F2040:G2040"/>
    <mergeCell ref="F2032:G2032"/>
    <mergeCell ref="H2160:I2160"/>
    <mergeCell ref="H2086:I2086"/>
    <mergeCell ref="H2140:I2140"/>
    <mergeCell ref="H2146:I2146"/>
    <mergeCell ref="H2158:I2158"/>
    <mergeCell ref="H2060:I2060"/>
    <mergeCell ref="F2148:G2148"/>
    <mergeCell ref="H2069:I2069"/>
    <mergeCell ref="F2124:G2124"/>
    <mergeCell ref="F2093:G2093"/>
    <mergeCell ref="F2157:G2157"/>
    <mergeCell ref="F2153:G2153"/>
    <mergeCell ref="F2076:G2076"/>
    <mergeCell ref="H2076:I2076"/>
    <mergeCell ref="F2037:G2037"/>
    <mergeCell ref="F2035:G2035"/>
    <mergeCell ref="F2277:G2277"/>
    <mergeCell ref="C2316:E2316"/>
    <mergeCell ref="C2317:E2317"/>
    <mergeCell ref="F2286:G2286"/>
    <mergeCell ref="C2362:E2362"/>
    <mergeCell ref="C2361:E2361"/>
    <mergeCell ref="C2358:E2358"/>
    <mergeCell ref="F2339:G2339"/>
    <mergeCell ref="C2364:E2364"/>
    <mergeCell ref="C2360:E2360"/>
    <mergeCell ref="C2359:E2359"/>
    <mergeCell ref="C2357:E2357"/>
    <mergeCell ref="C2347:E2347"/>
    <mergeCell ref="C2351:E2351"/>
    <mergeCell ref="C2348:E2348"/>
    <mergeCell ref="C2350:E2350"/>
    <mergeCell ref="F2334:G2334"/>
    <mergeCell ref="F2335:G2335"/>
    <mergeCell ref="C2332:E2332"/>
    <mergeCell ref="C2330:E2330"/>
    <mergeCell ref="C2335:E2335"/>
    <mergeCell ref="F2331:G2331"/>
    <mergeCell ref="F2330:G2330"/>
    <mergeCell ref="C2333:E2333"/>
    <mergeCell ref="C2331:E2331"/>
    <mergeCell ref="F2333:G2333"/>
    <mergeCell ref="F2338:G2338"/>
    <mergeCell ref="C2353:E2353"/>
    <mergeCell ref="C2352:E2352"/>
    <mergeCell ref="C2339:E2339"/>
    <mergeCell ref="C2337:E2337"/>
    <mergeCell ref="C2338:E2338"/>
    <mergeCell ref="C2174:E2174"/>
    <mergeCell ref="C2270:E2270"/>
    <mergeCell ref="C2120:E2120"/>
    <mergeCell ref="C2043:E2043"/>
    <mergeCell ref="C2071:E2071"/>
    <mergeCell ref="C2061:E2061"/>
    <mergeCell ref="C2010:E2010"/>
    <mergeCell ref="C2137:E2137"/>
    <mergeCell ref="C2134:E2134"/>
    <mergeCell ref="C2025:E2025"/>
    <mergeCell ref="C2030:E2030"/>
    <mergeCell ref="C2176:E2176"/>
    <mergeCell ref="C2240:E2240"/>
    <mergeCell ref="C2210:E2210"/>
    <mergeCell ref="C2213:E2213"/>
    <mergeCell ref="C2184:E2184"/>
    <mergeCell ref="C2200:E2200"/>
    <mergeCell ref="C2237:E2237"/>
    <mergeCell ref="C2242:E2242"/>
    <mergeCell ref="C2241:E2241"/>
    <mergeCell ref="C2251:E2251"/>
    <mergeCell ref="C2186:E2186"/>
    <mergeCell ref="C2197:E2197"/>
    <mergeCell ref="C2179:E2179"/>
    <mergeCell ref="C2227:E2227"/>
    <mergeCell ref="C2214:E2214"/>
    <mergeCell ref="C2206:E2206"/>
    <mergeCell ref="C2193:E2193"/>
    <mergeCell ref="C2205:E2205"/>
    <mergeCell ref="C2201:E2201"/>
    <mergeCell ref="C2182:E2182"/>
    <mergeCell ref="C2190:E2190"/>
    <mergeCell ref="C1949:E1949"/>
    <mergeCell ref="C1940:E1940"/>
    <mergeCell ref="C1948:E1948"/>
    <mergeCell ref="C1876:E1876"/>
    <mergeCell ref="C1877:E1877"/>
    <mergeCell ref="C1896:E1896"/>
    <mergeCell ref="C1894:E1894"/>
    <mergeCell ref="C1884:E1884"/>
    <mergeCell ref="C1885:E1885"/>
    <mergeCell ref="C1880:E1880"/>
    <mergeCell ref="C1888:E1888"/>
    <mergeCell ref="C1890:E1890"/>
    <mergeCell ref="C1891:E1891"/>
    <mergeCell ref="C1871:E1871"/>
    <mergeCell ref="C1932:E1932"/>
    <mergeCell ref="C1905:E1905"/>
    <mergeCell ref="C1893:E1893"/>
    <mergeCell ref="C1886:E1886"/>
    <mergeCell ref="C1878:E1878"/>
    <mergeCell ref="C1928:E1928"/>
    <mergeCell ref="C1872:E1872"/>
    <mergeCell ref="C1881:E1881"/>
    <mergeCell ref="C1873:E1873"/>
    <mergeCell ref="C1907:E1907"/>
    <mergeCell ref="C1916:E1916"/>
    <mergeCell ref="C1913:E1913"/>
    <mergeCell ref="C1925:E1925"/>
    <mergeCell ref="C1924:E1924"/>
    <mergeCell ref="C1930:E1930"/>
    <mergeCell ref="C1920:E1920"/>
    <mergeCell ref="C1897:E1897"/>
    <mergeCell ref="C1938:E1938"/>
    <mergeCell ref="C1730:E1730"/>
    <mergeCell ref="C1736:E1736"/>
    <mergeCell ref="C1732:E1732"/>
    <mergeCell ref="C1744:E1744"/>
    <mergeCell ref="C1791:E1791"/>
    <mergeCell ref="C1804:E1804"/>
    <mergeCell ref="C1768:E1768"/>
    <mergeCell ref="C1797:E1797"/>
    <mergeCell ref="C1794:E1794"/>
    <mergeCell ref="C1792:E1792"/>
    <mergeCell ref="C1783:E1783"/>
    <mergeCell ref="C1740:E1740"/>
    <mergeCell ref="C1772:E1772"/>
    <mergeCell ref="C1782:E1782"/>
    <mergeCell ref="C1751:E1751"/>
    <mergeCell ref="C1764:E1764"/>
    <mergeCell ref="C1733:E1733"/>
    <mergeCell ref="C1752:E1752"/>
    <mergeCell ref="C1760:E1760"/>
    <mergeCell ref="C1755:E1755"/>
    <mergeCell ref="C1738:E1738"/>
    <mergeCell ref="C1750:E1750"/>
    <mergeCell ref="C1759:E1759"/>
    <mergeCell ref="C1757:E1757"/>
    <mergeCell ref="C1774:E1774"/>
    <mergeCell ref="C1781:E1781"/>
    <mergeCell ref="C1767:E1767"/>
    <mergeCell ref="C1786:E1786"/>
    <mergeCell ref="C1770:E1770"/>
    <mergeCell ref="C1688:E1688"/>
    <mergeCell ref="C1689:E1689"/>
    <mergeCell ref="C1677:E1677"/>
    <mergeCell ref="C1691:E1691"/>
    <mergeCell ref="C1668:E1668"/>
    <mergeCell ref="C1686:E1686"/>
    <mergeCell ref="C1683:E1683"/>
    <mergeCell ref="C1720:E1720"/>
    <mergeCell ref="C1707:E1707"/>
    <mergeCell ref="C1705:E1705"/>
    <mergeCell ref="C1698:E1698"/>
    <mergeCell ref="C1697:E1697"/>
    <mergeCell ref="C1700:E1700"/>
    <mergeCell ref="C1694:E1694"/>
    <mergeCell ref="C1703:E1703"/>
    <mergeCell ref="C1702:E1702"/>
    <mergeCell ref="C1704:E1704"/>
    <mergeCell ref="C1695:E1695"/>
    <mergeCell ref="C1714:E1714"/>
    <mergeCell ref="C1701:E1701"/>
    <mergeCell ref="C1696:E1696"/>
    <mergeCell ref="C1709:E1709"/>
    <mergeCell ref="C1699:E1699"/>
    <mergeCell ref="C1706:E1706"/>
    <mergeCell ref="C1711:E1711"/>
    <mergeCell ref="C1712:E1712"/>
    <mergeCell ref="C1525:E1525"/>
    <mergeCell ref="C1470:E1470"/>
    <mergeCell ref="F1276:G1276"/>
    <mergeCell ref="F1500:G1500"/>
    <mergeCell ref="F1494:G1494"/>
    <mergeCell ref="C1420:E1420"/>
    <mergeCell ref="C1421:E1421"/>
    <mergeCell ref="F1418:G1418"/>
    <mergeCell ref="F1502:G1502"/>
    <mergeCell ref="F1496:G1496"/>
    <mergeCell ref="C1518:E1518"/>
    <mergeCell ref="C1523:E1523"/>
    <mergeCell ref="C1375:E1375"/>
    <mergeCell ref="C1478:E1478"/>
    <mergeCell ref="C1432:E1432"/>
    <mergeCell ref="C1469:E1469"/>
    <mergeCell ref="C1404:E1404"/>
    <mergeCell ref="C1412:E1412"/>
    <mergeCell ref="C1296:E1296"/>
    <mergeCell ref="C1325:E1325"/>
    <mergeCell ref="C1329:E1329"/>
    <mergeCell ref="C1277:E1277"/>
    <mergeCell ref="F1525:G1525"/>
    <mergeCell ref="F1498:G1498"/>
    <mergeCell ref="F1505:G1505"/>
    <mergeCell ref="F1523:G1523"/>
    <mergeCell ref="C1450:E1450"/>
    <mergeCell ref="C1417:E1417"/>
    <mergeCell ref="C1322:E1322"/>
    <mergeCell ref="C1332:E1332"/>
    <mergeCell ref="C1326:E1326"/>
    <mergeCell ref="C1303:E1303"/>
    <mergeCell ref="H1119:I1119"/>
    <mergeCell ref="F1115:G1115"/>
    <mergeCell ref="F1098:G1098"/>
    <mergeCell ref="F1102:G1102"/>
    <mergeCell ref="F1099:G1099"/>
    <mergeCell ref="F1114:G1114"/>
    <mergeCell ref="F1111:G1111"/>
    <mergeCell ref="F1103:G1103"/>
    <mergeCell ref="F1101:G1101"/>
    <mergeCell ref="F1108:G1108"/>
    <mergeCell ref="F1104:G1104"/>
    <mergeCell ref="H1221:I1221"/>
    <mergeCell ref="H1216:I1216"/>
    <mergeCell ref="H1214:I1214"/>
    <mergeCell ref="H1203:I1203"/>
    <mergeCell ref="H1205:I1205"/>
    <mergeCell ref="H1201:I1201"/>
    <mergeCell ref="H1208:I1208"/>
    <mergeCell ref="H1209:I1209"/>
    <mergeCell ref="F1218:G1218"/>
    <mergeCell ref="F1212:G1212"/>
    <mergeCell ref="F1211:G1211"/>
    <mergeCell ref="H1144:I1144"/>
    <mergeCell ref="H1114:I1114"/>
    <mergeCell ref="H1124:I1124"/>
    <mergeCell ref="H1148:I1148"/>
    <mergeCell ref="H1151:I1151"/>
    <mergeCell ref="H1110:I1110"/>
    <mergeCell ref="H1103:I1103"/>
    <mergeCell ref="H1108:I1108"/>
    <mergeCell ref="H1100:I1100"/>
    <mergeCell ref="H1105:I1105"/>
    <mergeCell ref="F1095:G1095"/>
    <mergeCell ref="H1104:I1104"/>
    <mergeCell ref="F1109:G1109"/>
    <mergeCell ref="F1094:G1094"/>
    <mergeCell ref="F1097:G1097"/>
    <mergeCell ref="F1117:G1117"/>
    <mergeCell ref="F1110:G1110"/>
    <mergeCell ref="F1112:G1112"/>
    <mergeCell ref="F1096:G1096"/>
    <mergeCell ref="F1100:G1100"/>
    <mergeCell ref="F1116:G1116"/>
    <mergeCell ref="F1107:G1107"/>
    <mergeCell ref="F1113:G1113"/>
    <mergeCell ref="H1113:I1113"/>
    <mergeCell ref="F1083:G1083"/>
    <mergeCell ref="H1073:I1073"/>
    <mergeCell ref="F1075:G1075"/>
    <mergeCell ref="F1081:G1081"/>
    <mergeCell ref="F1073:G1073"/>
    <mergeCell ref="F1076:G1076"/>
    <mergeCell ref="H1083:I1083"/>
    <mergeCell ref="H1077:I1077"/>
    <mergeCell ref="F1078:G1078"/>
    <mergeCell ref="F1079:G1079"/>
    <mergeCell ref="F1088:G1088"/>
    <mergeCell ref="F1086:G1086"/>
    <mergeCell ref="F1084:G1084"/>
    <mergeCell ref="F1089:G1089"/>
    <mergeCell ref="H1082:I1082"/>
    <mergeCell ref="H1081:I1081"/>
    <mergeCell ref="H1084:I1084"/>
    <mergeCell ref="H1087:I1087"/>
    <mergeCell ref="H1089:I1089"/>
    <mergeCell ref="H1088:I1088"/>
    <mergeCell ref="H1047:I1047"/>
    <mergeCell ref="H1052:I1052"/>
    <mergeCell ref="H1058:I1058"/>
    <mergeCell ref="H1056:I1056"/>
    <mergeCell ref="H1051:I1051"/>
    <mergeCell ref="H1048:I1048"/>
    <mergeCell ref="H1054:I1054"/>
    <mergeCell ref="H1049:I1049"/>
    <mergeCell ref="H1057:I1057"/>
    <mergeCell ref="F1062:G1062"/>
    <mergeCell ref="F1065:G1065"/>
    <mergeCell ref="H1078:I1078"/>
    <mergeCell ref="F1077:G1077"/>
    <mergeCell ref="H1062:I1062"/>
    <mergeCell ref="H1072:I1072"/>
    <mergeCell ref="F1064:G1064"/>
    <mergeCell ref="F1069:G1069"/>
    <mergeCell ref="H1065:I1065"/>
    <mergeCell ref="H1064:I1064"/>
    <mergeCell ref="F1058:G1058"/>
    <mergeCell ref="H1050:I1050"/>
    <mergeCell ref="F1053:G1053"/>
    <mergeCell ref="F1051:G1051"/>
    <mergeCell ref="F1052:G1052"/>
    <mergeCell ref="F1050:G1050"/>
    <mergeCell ref="F1055:G1055"/>
    <mergeCell ref="H1061:I1061"/>
    <mergeCell ref="H1053:I1053"/>
    <mergeCell ref="F1066:G1066"/>
    <mergeCell ref="H1060:I1060"/>
    <mergeCell ref="H978:I978"/>
    <mergeCell ref="H998:I998"/>
    <mergeCell ref="H1014:I1014"/>
    <mergeCell ref="H1019:I1019"/>
    <mergeCell ref="H1009:I1009"/>
    <mergeCell ref="H934:I934"/>
    <mergeCell ref="H1046:I1046"/>
    <mergeCell ref="H976:I976"/>
    <mergeCell ref="H984:I984"/>
    <mergeCell ref="H909:I909"/>
    <mergeCell ref="H1036:I1036"/>
    <mergeCell ref="H997:I997"/>
    <mergeCell ref="H994:I994"/>
    <mergeCell ref="H1000:I1000"/>
    <mergeCell ref="H995:I995"/>
    <mergeCell ref="H910:I910"/>
    <mergeCell ref="H987:I987"/>
    <mergeCell ref="H954:I954"/>
    <mergeCell ref="H959:I959"/>
    <mergeCell ref="H957:I957"/>
    <mergeCell ref="H956:I956"/>
    <mergeCell ref="H961:I961"/>
    <mergeCell ref="H960:I960"/>
    <mergeCell ref="H955:I955"/>
    <mergeCell ref="H965:I965"/>
    <mergeCell ref="H977:I977"/>
    <mergeCell ref="H971:I971"/>
    <mergeCell ref="H939:I939"/>
    <mergeCell ref="H926:I926"/>
    <mergeCell ref="H936:I936"/>
    <mergeCell ref="H918:I918"/>
    <mergeCell ref="H915:I915"/>
    <mergeCell ref="H511:I511"/>
    <mergeCell ref="H465:I465"/>
    <mergeCell ref="H940:I940"/>
    <mergeCell ref="H758:I758"/>
    <mergeCell ref="H764:I764"/>
    <mergeCell ref="H797:I797"/>
    <mergeCell ref="H759:I759"/>
    <mergeCell ref="H767:I767"/>
    <mergeCell ref="H761:I761"/>
    <mergeCell ref="H771:I771"/>
    <mergeCell ref="H776:I776"/>
    <mergeCell ref="H769:I769"/>
    <mergeCell ref="H888:I888"/>
    <mergeCell ref="H891:I891"/>
    <mergeCell ref="H850:I850"/>
    <mergeCell ref="H875:I875"/>
    <mergeCell ref="H847:I847"/>
    <mergeCell ref="H923:I923"/>
    <mergeCell ref="H877:I877"/>
    <mergeCell ref="H903:I903"/>
    <mergeCell ref="H907:I907"/>
    <mergeCell ref="H880:I880"/>
    <mergeCell ref="H860:I860"/>
    <mergeCell ref="H859:I859"/>
    <mergeCell ref="H857:I857"/>
    <mergeCell ref="H864:I864"/>
    <mergeCell ref="H874:I874"/>
    <mergeCell ref="H904:I904"/>
    <mergeCell ref="H885:I885"/>
    <mergeCell ref="H890:I890"/>
    <mergeCell ref="H899:I899"/>
    <mergeCell ref="H895:I895"/>
    <mergeCell ref="H494:I494"/>
    <mergeCell ref="H479:I479"/>
    <mergeCell ref="H483:I483"/>
    <mergeCell ref="H488:I488"/>
    <mergeCell ref="H464:I464"/>
    <mergeCell ref="H444:I444"/>
    <mergeCell ref="H450:I450"/>
    <mergeCell ref="H457:I457"/>
    <mergeCell ref="H451:I451"/>
    <mergeCell ref="H455:I455"/>
    <mergeCell ref="H474:I474"/>
    <mergeCell ref="H490:I490"/>
    <mergeCell ref="H498:I498"/>
    <mergeCell ref="H493:I493"/>
    <mergeCell ref="H492:I492"/>
    <mergeCell ref="H485:I485"/>
    <mergeCell ref="H486:I486"/>
    <mergeCell ref="H487:I487"/>
    <mergeCell ref="H496:I496"/>
    <mergeCell ref="H489:I489"/>
    <mergeCell ref="H471:I471"/>
    <mergeCell ref="H473:I473"/>
    <mergeCell ref="H481:I481"/>
    <mergeCell ref="H469:I469"/>
    <mergeCell ref="H477:I477"/>
    <mergeCell ref="H470:I470"/>
    <mergeCell ref="H472:I472"/>
    <mergeCell ref="H476:I476"/>
    <mergeCell ref="H478:I478"/>
    <mergeCell ref="H462:I462"/>
    <mergeCell ref="H467:I467"/>
    <mergeCell ref="H461:I461"/>
    <mergeCell ref="H387:I387"/>
    <mergeCell ref="H411:I411"/>
    <mergeCell ref="H420:I420"/>
    <mergeCell ref="H407:I407"/>
    <mergeCell ref="H404:I404"/>
    <mergeCell ref="H396:I396"/>
    <mergeCell ref="H395:I395"/>
    <mergeCell ref="H389:I389"/>
    <mergeCell ref="H459:I459"/>
    <mergeCell ref="H441:I441"/>
    <mergeCell ref="H449:I449"/>
    <mergeCell ref="H453:I453"/>
    <mergeCell ref="H456:I456"/>
    <mergeCell ref="H458:I458"/>
    <mergeCell ref="H454:I454"/>
    <mergeCell ref="H427:I427"/>
    <mergeCell ref="H421:I421"/>
    <mergeCell ref="H390:I390"/>
    <mergeCell ref="H402:I402"/>
    <mergeCell ref="H392:I392"/>
    <mergeCell ref="H388:I388"/>
    <mergeCell ref="H397:I397"/>
    <mergeCell ref="H400:I400"/>
    <mergeCell ref="H394:I394"/>
    <mergeCell ref="H391:I391"/>
    <mergeCell ref="H393:I393"/>
    <mergeCell ref="H403:I403"/>
    <mergeCell ref="H410:I410"/>
    <mergeCell ref="H398:I398"/>
    <mergeCell ref="H399:I399"/>
    <mergeCell ref="H424:I424"/>
    <mergeCell ref="H336:I336"/>
    <mergeCell ref="H340:I340"/>
    <mergeCell ref="H294:I294"/>
    <mergeCell ref="H275:I275"/>
    <mergeCell ref="H280:I280"/>
    <mergeCell ref="F357:G357"/>
    <mergeCell ref="F372:G372"/>
    <mergeCell ref="F373:G373"/>
    <mergeCell ref="H359:I359"/>
    <mergeCell ref="H358:I358"/>
    <mergeCell ref="H360:I360"/>
    <mergeCell ref="H363:I363"/>
    <mergeCell ref="H364:I364"/>
    <mergeCell ref="H361:I361"/>
    <mergeCell ref="H367:I367"/>
    <mergeCell ref="H384:I384"/>
    <mergeCell ref="H378:I378"/>
    <mergeCell ref="H376:I376"/>
    <mergeCell ref="H379:I379"/>
    <mergeCell ref="H380:I380"/>
    <mergeCell ref="H382:I382"/>
    <mergeCell ref="H383:I383"/>
    <mergeCell ref="H377:I377"/>
    <mergeCell ref="H381:I381"/>
    <mergeCell ref="F358:G358"/>
    <mergeCell ref="F361:G361"/>
    <mergeCell ref="F350:G350"/>
    <mergeCell ref="F336:G336"/>
    <mergeCell ref="F327:G327"/>
    <mergeCell ref="H335:I335"/>
    <mergeCell ref="H290:I290"/>
    <mergeCell ref="H285:I285"/>
    <mergeCell ref="C190:E190"/>
    <mergeCell ref="F140:G140"/>
    <mergeCell ref="C152:E152"/>
    <mergeCell ref="C150:E150"/>
    <mergeCell ref="C140:E140"/>
    <mergeCell ref="F150:G150"/>
    <mergeCell ref="F144:G144"/>
    <mergeCell ref="C151:E151"/>
    <mergeCell ref="C148:E148"/>
    <mergeCell ref="F148:G148"/>
    <mergeCell ref="C183:E183"/>
    <mergeCell ref="C195:E195"/>
    <mergeCell ref="C176:E176"/>
    <mergeCell ref="C164:E164"/>
    <mergeCell ref="C161:E161"/>
    <mergeCell ref="C167:E167"/>
    <mergeCell ref="C170:E170"/>
    <mergeCell ref="C172:E172"/>
    <mergeCell ref="C175:E175"/>
    <mergeCell ref="C182:E182"/>
    <mergeCell ref="C155:E155"/>
    <mergeCell ref="C173:E173"/>
    <mergeCell ref="C160:E160"/>
    <mergeCell ref="C177:E177"/>
    <mergeCell ref="F163:G163"/>
    <mergeCell ref="F155:G155"/>
    <mergeCell ref="F168:G168"/>
    <mergeCell ref="F158:G158"/>
    <mergeCell ref="F172:G172"/>
    <mergeCell ref="F164:G164"/>
    <mergeCell ref="C181:E181"/>
    <mergeCell ref="C179:E179"/>
    <mergeCell ref="C119:E119"/>
    <mergeCell ref="F119:G119"/>
    <mergeCell ref="C138:E138"/>
    <mergeCell ref="C132:E132"/>
    <mergeCell ref="F147:G147"/>
    <mergeCell ref="C139:E139"/>
    <mergeCell ref="F153:G153"/>
    <mergeCell ref="C146:E146"/>
    <mergeCell ref="C144:E144"/>
    <mergeCell ref="C109:E109"/>
    <mergeCell ref="C125:E125"/>
    <mergeCell ref="C129:E129"/>
    <mergeCell ref="C131:E131"/>
    <mergeCell ref="F151:G151"/>
    <mergeCell ref="F156:G156"/>
    <mergeCell ref="F126:G126"/>
    <mergeCell ref="F127:G127"/>
    <mergeCell ref="C133:E133"/>
    <mergeCell ref="F135:G135"/>
    <mergeCell ref="C127:E127"/>
    <mergeCell ref="F133:G133"/>
    <mergeCell ref="F132:G132"/>
    <mergeCell ref="C153:E153"/>
    <mergeCell ref="C147:E147"/>
    <mergeCell ref="C120:E120"/>
    <mergeCell ref="F120:G120"/>
    <mergeCell ref="F118:G118"/>
    <mergeCell ref="F122:G122"/>
    <mergeCell ref="C116:E116"/>
    <mergeCell ref="C135:E135"/>
    <mergeCell ref="F116:G116"/>
    <mergeCell ref="F123:G123"/>
    <mergeCell ref="C114:E114"/>
    <mergeCell ref="C103:E103"/>
    <mergeCell ref="C126:E126"/>
    <mergeCell ref="C105:E105"/>
    <mergeCell ref="C113:E113"/>
    <mergeCell ref="C97:E97"/>
    <mergeCell ref="C111:E111"/>
    <mergeCell ref="C112:E112"/>
    <mergeCell ref="C121:E121"/>
    <mergeCell ref="C115:E115"/>
    <mergeCell ref="F176:G176"/>
    <mergeCell ref="F152:G152"/>
    <mergeCell ref="F171:G171"/>
    <mergeCell ref="C137:E137"/>
    <mergeCell ref="F173:G173"/>
    <mergeCell ref="F174:G174"/>
    <mergeCell ref="F161:G161"/>
    <mergeCell ref="F139:G139"/>
    <mergeCell ref="C143:E143"/>
    <mergeCell ref="F170:G170"/>
    <mergeCell ref="F143:G143"/>
    <mergeCell ref="F137:G137"/>
    <mergeCell ref="F136:G136"/>
    <mergeCell ref="F128:G128"/>
    <mergeCell ref="C130:E130"/>
    <mergeCell ref="F146:G146"/>
    <mergeCell ref="F129:G129"/>
    <mergeCell ref="C107:E107"/>
    <mergeCell ref="C110:E110"/>
    <mergeCell ref="C104:E104"/>
    <mergeCell ref="F160:G160"/>
    <mergeCell ref="C136:E136"/>
    <mergeCell ref="C72:E72"/>
    <mergeCell ref="C65:E65"/>
    <mergeCell ref="C68:E68"/>
    <mergeCell ref="C59:E59"/>
    <mergeCell ref="C71:E71"/>
    <mergeCell ref="F85:G85"/>
    <mergeCell ref="C88:E88"/>
    <mergeCell ref="C82:E82"/>
    <mergeCell ref="C92:E92"/>
    <mergeCell ref="C84:E84"/>
    <mergeCell ref="F91:G91"/>
    <mergeCell ref="C89:E89"/>
    <mergeCell ref="F83:G83"/>
    <mergeCell ref="F89:G89"/>
    <mergeCell ref="C90:E90"/>
    <mergeCell ref="C108:E108"/>
    <mergeCell ref="C95:E95"/>
    <mergeCell ref="C85:E85"/>
    <mergeCell ref="C102:E102"/>
    <mergeCell ref="C94:E94"/>
    <mergeCell ref="C93:E93"/>
    <mergeCell ref="C87:E87"/>
    <mergeCell ref="C96:E96"/>
    <mergeCell ref="C106:E106"/>
    <mergeCell ref="C74:E74"/>
    <mergeCell ref="F74:G74"/>
    <mergeCell ref="C99:E99"/>
    <mergeCell ref="F99:G99"/>
    <mergeCell ref="C83:E83"/>
    <mergeCell ref="F69:G69"/>
    <mergeCell ref="C73:E73"/>
    <mergeCell ref="F80:G80"/>
    <mergeCell ref="H9:I9"/>
    <mergeCell ref="C21:E21"/>
    <mergeCell ref="C18:E18"/>
    <mergeCell ref="F9:G9"/>
    <mergeCell ref="F17:G17"/>
    <mergeCell ref="H18:I18"/>
    <mergeCell ref="H17:I17"/>
    <mergeCell ref="F18:G18"/>
    <mergeCell ref="C64:E64"/>
    <mergeCell ref="C66:E66"/>
    <mergeCell ref="C70:E70"/>
    <mergeCell ref="C60:E60"/>
    <mergeCell ref="C67:E67"/>
    <mergeCell ref="C9:E9"/>
    <mergeCell ref="C29:E29"/>
    <mergeCell ref="C17:E17"/>
    <mergeCell ref="C12:E12"/>
    <mergeCell ref="C30:E30"/>
    <mergeCell ref="C50:E50"/>
    <mergeCell ref="C53:E53"/>
    <mergeCell ref="C56:E56"/>
    <mergeCell ref="C57:E57"/>
    <mergeCell ref="C54:E54"/>
    <mergeCell ref="C10:E10"/>
    <mergeCell ref="F10:G10"/>
    <mergeCell ref="H10:I10"/>
    <mergeCell ref="C28:E28"/>
    <mergeCell ref="F28:G28"/>
    <mergeCell ref="H57:I57"/>
    <mergeCell ref="H46:I46"/>
    <mergeCell ref="H43:I43"/>
    <mergeCell ref="H63:I63"/>
    <mergeCell ref="F30:G30"/>
    <mergeCell ref="F26:G26"/>
    <mergeCell ref="F33:G33"/>
    <mergeCell ref="H33:I33"/>
    <mergeCell ref="H31:I31"/>
    <mergeCell ref="F39:G39"/>
    <mergeCell ref="C40:E40"/>
    <mergeCell ref="C37:E37"/>
    <mergeCell ref="C36:E36"/>
    <mergeCell ref="C38:E38"/>
    <mergeCell ref="C32:E32"/>
    <mergeCell ref="C33:E33"/>
    <mergeCell ref="C39:E39"/>
    <mergeCell ref="C35:E35"/>
    <mergeCell ref="H12:I12"/>
    <mergeCell ref="C15:E15"/>
    <mergeCell ref="C16:E16"/>
    <mergeCell ref="F16:G16"/>
    <mergeCell ref="H16:I16"/>
    <mergeCell ref="C19:E19"/>
    <mergeCell ref="F19:G19"/>
    <mergeCell ref="H19:I19"/>
    <mergeCell ref="C14:E14"/>
    <mergeCell ref="F14:G14"/>
    <mergeCell ref="H14:I14"/>
    <mergeCell ref="F15:G15"/>
    <mergeCell ref="C26:E26"/>
    <mergeCell ref="C23:E23"/>
    <mergeCell ref="H23:I23"/>
    <mergeCell ref="H40:I40"/>
    <mergeCell ref="F38:G38"/>
    <mergeCell ref="H34:I34"/>
    <mergeCell ref="H45:I45"/>
    <mergeCell ref="F48:G48"/>
    <mergeCell ref="F45:G45"/>
    <mergeCell ref="H64:I64"/>
    <mergeCell ref="H65:I65"/>
    <mergeCell ref="F59:G59"/>
    <mergeCell ref="H52:I52"/>
    <mergeCell ref="H62:I62"/>
    <mergeCell ref="F29:G29"/>
    <mergeCell ref="H36:I36"/>
    <mergeCell ref="H41:I41"/>
    <mergeCell ref="H29:I29"/>
    <mergeCell ref="H28:I28"/>
    <mergeCell ref="H30:I30"/>
    <mergeCell ref="F36:G36"/>
    <mergeCell ref="F35:G35"/>
    <mergeCell ref="H42:I42"/>
    <mergeCell ref="H56:I56"/>
    <mergeCell ref="H53:I53"/>
    <mergeCell ref="F56:G56"/>
    <mergeCell ref="F53:G53"/>
    <mergeCell ref="H58:I58"/>
    <mergeCell ref="H44:I44"/>
    <mergeCell ref="F44:G44"/>
    <mergeCell ref="F41:G41"/>
    <mergeCell ref="H38:I38"/>
    <mergeCell ref="H61:I61"/>
    <mergeCell ref="H48:I48"/>
    <mergeCell ref="F50:G50"/>
    <mergeCell ref="H50:I50"/>
    <mergeCell ref="F54:G54"/>
    <mergeCell ref="H54:I54"/>
    <mergeCell ref="H68:I68"/>
    <mergeCell ref="F68:G68"/>
    <mergeCell ref="H71:I71"/>
    <mergeCell ref="H73:I73"/>
    <mergeCell ref="F72:G72"/>
    <mergeCell ref="H70:I70"/>
    <mergeCell ref="F73:G73"/>
    <mergeCell ref="H72:I72"/>
    <mergeCell ref="F70:G70"/>
    <mergeCell ref="F71:G71"/>
    <mergeCell ref="H66:I66"/>
    <mergeCell ref="H67:I67"/>
    <mergeCell ref="F64:G64"/>
    <mergeCell ref="F67:G67"/>
    <mergeCell ref="F65:G65"/>
    <mergeCell ref="F66:G66"/>
    <mergeCell ref="H59:I59"/>
    <mergeCell ref="H69:I69"/>
    <mergeCell ref="F162:G162"/>
    <mergeCell ref="F157:G157"/>
    <mergeCell ref="F138:G138"/>
    <mergeCell ref="H139:I139"/>
    <mergeCell ref="H138:I138"/>
    <mergeCell ref="H128:I128"/>
    <mergeCell ref="F125:G125"/>
    <mergeCell ref="H129:I129"/>
    <mergeCell ref="H125:I125"/>
    <mergeCell ref="H124:I124"/>
    <mergeCell ref="H126:I126"/>
    <mergeCell ref="H116:I116"/>
    <mergeCell ref="H115:I115"/>
    <mergeCell ref="H108:I108"/>
    <mergeCell ref="H112:I112"/>
    <mergeCell ref="H92:I92"/>
    <mergeCell ref="H113:I113"/>
    <mergeCell ref="H104:I104"/>
    <mergeCell ref="H103:I103"/>
    <mergeCell ref="H105:I105"/>
    <mergeCell ref="H93:I93"/>
    <mergeCell ref="F104:G104"/>
    <mergeCell ref="H95:I95"/>
    <mergeCell ref="H97:I97"/>
    <mergeCell ref="F95:G95"/>
    <mergeCell ref="F92:G92"/>
    <mergeCell ref="F93:G93"/>
    <mergeCell ref="H98:I98"/>
    <mergeCell ref="F96:G96"/>
    <mergeCell ref="H96:I96"/>
    <mergeCell ref="H101:I101"/>
    <mergeCell ref="H99:I99"/>
    <mergeCell ref="H158:I158"/>
    <mergeCell ref="H151:I151"/>
    <mergeCell ref="H161:I161"/>
    <mergeCell ref="H153:I153"/>
    <mergeCell ref="H148:I148"/>
    <mergeCell ref="H150:I150"/>
    <mergeCell ref="H143:I143"/>
    <mergeCell ref="H160:I160"/>
    <mergeCell ref="H157:I157"/>
    <mergeCell ref="H146:I146"/>
    <mergeCell ref="H147:I147"/>
    <mergeCell ref="H204:I204"/>
    <mergeCell ref="H136:I136"/>
    <mergeCell ref="H133:I133"/>
    <mergeCell ref="H135:I135"/>
    <mergeCell ref="H144:I144"/>
    <mergeCell ref="H172:I172"/>
    <mergeCell ref="H169:I169"/>
    <mergeCell ref="H141:I141"/>
    <mergeCell ref="H198:I198"/>
    <mergeCell ref="H156:I156"/>
    <mergeCell ref="H187:I187"/>
    <mergeCell ref="F257:G257"/>
    <mergeCell ref="F230:G230"/>
    <mergeCell ref="H272:I272"/>
    <mergeCell ref="H274:I274"/>
    <mergeCell ref="H264:I264"/>
    <mergeCell ref="F268:G268"/>
    <mergeCell ref="F265:G265"/>
    <mergeCell ref="H266:I266"/>
    <mergeCell ref="H251:I251"/>
    <mergeCell ref="H270:I270"/>
    <mergeCell ref="H271:I271"/>
    <mergeCell ref="H258:I258"/>
    <mergeCell ref="H259:I259"/>
    <mergeCell ref="H250:I250"/>
    <mergeCell ref="F206:G206"/>
    <mergeCell ref="F270:G270"/>
    <mergeCell ref="H218:I218"/>
    <mergeCell ref="H222:I222"/>
    <mergeCell ref="F237:G237"/>
    <mergeCell ref="H233:I233"/>
    <mergeCell ref="F248:G248"/>
    <mergeCell ref="H234:I234"/>
    <mergeCell ref="H240:I240"/>
    <mergeCell ref="F242:G242"/>
    <mergeCell ref="F239:G239"/>
    <mergeCell ref="F240:G240"/>
    <mergeCell ref="H245:I245"/>
    <mergeCell ref="F244:G244"/>
    <mergeCell ref="H268:I268"/>
    <mergeCell ref="H246:I246"/>
    <mergeCell ref="H262:I262"/>
    <mergeCell ref="H267:I267"/>
    <mergeCell ref="H286:I286"/>
    <mergeCell ref="H284:I284"/>
    <mergeCell ref="H281:I281"/>
    <mergeCell ref="H287:I287"/>
    <mergeCell ref="H288:I288"/>
    <mergeCell ref="H289:I289"/>
    <mergeCell ref="F291:G291"/>
    <mergeCell ref="F272:G272"/>
    <mergeCell ref="F262:G262"/>
    <mergeCell ref="F263:G263"/>
    <mergeCell ref="F260:G260"/>
    <mergeCell ref="F261:G261"/>
    <mergeCell ref="F266:G266"/>
    <mergeCell ref="F275:G275"/>
    <mergeCell ref="F267:G267"/>
    <mergeCell ref="F264:G264"/>
    <mergeCell ref="F287:G287"/>
    <mergeCell ref="H283:I283"/>
    <mergeCell ref="H282:I282"/>
    <mergeCell ref="H277:I277"/>
    <mergeCell ref="H279:I279"/>
    <mergeCell ref="H276:I276"/>
    <mergeCell ref="H273:I273"/>
    <mergeCell ref="H265:I265"/>
    <mergeCell ref="H278:I278"/>
    <mergeCell ref="H263:I263"/>
    <mergeCell ref="H323:I323"/>
    <mergeCell ref="H321:I321"/>
    <mergeCell ref="H318:I318"/>
    <mergeCell ref="H320:I320"/>
    <mergeCell ref="H314:I314"/>
    <mergeCell ref="H316:I316"/>
    <mergeCell ref="H315:I315"/>
    <mergeCell ref="H291:I291"/>
    <mergeCell ref="H312:I312"/>
    <mergeCell ref="H297:I297"/>
    <mergeCell ref="H300:I300"/>
    <mergeCell ref="H302:I302"/>
    <mergeCell ref="H303:I303"/>
    <mergeCell ref="H309:I309"/>
    <mergeCell ref="H304:I304"/>
    <mergeCell ref="H310:I310"/>
    <mergeCell ref="H311:I311"/>
    <mergeCell ref="H299:I299"/>
    <mergeCell ref="H298:I298"/>
    <mergeCell ref="H293:I293"/>
    <mergeCell ref="H306:I306"/>
    <mergeCell ref="H308:I308"/>
    <mergeCell ref="H305:I305"/>
    <mergeCell ref="H307:I307"/>
    <mergeCell ref="H301:I301"/>
    <mergeCell ref="H295:I295"/>
    <mergeCell ref="H296:I296"/>
    <mergeCell ref="C600:E600"/>
    <mergeCell ref="C596:E596"/>
    <mergeCell ref="C608:E608"/>
    <mergeCell ref="C578:E578"/>
    <mergeCell ref="C584:E584"/>
    <mergeCell ref="C587:E587"/>
    <mergeCell ref="C581:E581"/>
    <mergeCell ref="C601:E601"/>
    <mergeCell ref="C593:E593"/>
    <mergeCell ref="F431:G431"/>
    <mergeCell ref="F404:G404"/>
    <mergeCell ref="C418:E418"/>
    <mergeCell ref="C422:E422"/>
    <mergeCell ref="C425:E425"/>
    <mergeCell ref="C431:E431"/>
    <mergeCell ref="C423:E423"/>
    <mergeCell ref="C404:E404"/>
    <mergeCell ref="F429:G429"/>
    <mergeCell ref="C413:E413"/>
    <mergeCell ref="C417:E417"/>
    <mergeCell ref="C415:E415"/>
    <mergeCell ref="C409:E409"/>
    <mergeCell ref="C416:E416"/>
    <mergeCell ref="C412:E412"/>
    <mergeCell ref="C434:E434"/>
    <mergeCell ref="F409:G409"/>
    <mergeCell ref="F413:G413"/>
    <mergeCell ref="F412:G412"/>
    <mergeCell ref="C410:E410"/>
    <mergeCell ref="C411:E411"/>
    <mergeCell ref="C407:E407"/>
    <mergeCell ref="C419:E419"/>
    <mergeCell ref="C647:E647"/>
    <mergeCell ref="C620:E620"/>
    <mergeCell ref="C638:E638"/>
    <mergeCell ref="C630:E630"/>
    <mergeCell ref="C629:E629"/>
    <mergeCell ref="C626:E626"/>
    <mergeCell ref="C628:E628"/>
    <mergeCell ref="C622:E622"/>
    <mergeCell ref="C635:E635"/>
    <mergeCell ref="C621:E621"/>
    <mergeCell ref="C634:E634"/>
    <mergeCell ref="C642:E642"/>
    <mergeCell ref="C633:E633"/>
    <mergeCell ref="F611:G611"/>
    <mergeCell ref="C625:E625"/>
    <mergeCell ref="C631:E631"/>
    <mergeCell ref="C613:E613"/>
    <mergeCell ref="C614:E614"/>
    <mergeCell ref="C624:E624"/>
    <mergeCell ref="F627:G627"/>
    <mergeCell ref="F614:G614"/>
    <mergeCell ref="C612:E612"/>
    <mergeCell ref="F625:G625"/>
    <mergeCell ref="F619:G619"/>
    <mergeCell ref="F803:G803"/>
    <mergeCell ref="F765:G765"/>
    <mergeCell ref="F757:G757"/>
    <mergeCell ref="C783:E783"/>
    <mergeCell ref="C792:E792"/>
    <mergeCell ref="C746:E746"/>
    <mergeCell ref="C788:E788"/>
    <mergeCell ref="C791:E791"/>
    <mergeCell ref="C790:E790"/>
    <mergeCell ref="F675:G675"/>
    <mergeCell ref="C744:E744"/>
    <mergeCell ref="C717:E717"/>
    <mergeCell ref="C722:E722"/>
    <mergeCell ref="C730:E730"/>
    <mergeCell ref="C727:E727"/>
    <mergeCell ref="C736:E736"/>
    <mergeCell ref="C658:E658"/>
    <mergeCell ref="C690:E690"/>
    <mergeCell ref="C682:E682"/>
    <mergeCell ref="C679:E679"/>
    <mergeCell ref="C672:E672"/>
    <mergeCell ref="C671:E671"/>
    <mergeCell ref="C685:E685"/>
    <mergeCell ref="C686:E686"/>
    <mergeCell ref="C689:E689"/>
    <mergeCell ref="C665:E665"/>
    <mergeCell ref="C673:E673"/>
    <mergeCell ref="C668:E668"/>
    <mergeCell ref="C684:E684"/>
    <mergeCell ref="C670:E670"/>
    <mergeCell ref="C678:E678"/>
    <mergeCell ref="C675:E675"/>
    <mergeCell ref="F828:G828"/>
    <mergeCell ref="H841:I841"/>
    <mergeCell ref="H840:I840"/>
    <mergeCell ref="H839:I839"/>
    <mergeCell ref="H832:I832"/>
    <mergeCell ref="C856:E856"/>
    <mergeCell ref="C861:E861"/>
    <mergeCell ref="C858:E858"/>
    <mergeCell ref="C863:E863"/>
    <mergeCell ref="F746:G746"/>
    <mergeCell ref="C769:E769"/>
    <mergeCell ref="F816:G816"/>
    <mergeCell ref="C786:E786"/>
    <mergeCell ref="C802:E802"/>
    <mergeCell ref="C795:E795"/>
    <mergeCell ref="C796:E796"/>
    <mergeCell ref="C780:E780"/>
    <mergeCell ref="C805:E805"/>
    <mergeCell ref="F788:G788"/>
    <mergeCell ref="F792:G792"/>
    <mergeCell ref="F787:G787"/>
    <mergeCell ref="C801:E801"/>
    <mergeCell ref="C789:E789"/>
    <mergeCell ref="C784:E784"/>
    <mergeCell ref="C785:E785"/>
    <mergeCell ref="C787:E787"/>
    <mergeCell ref="C807:E807"/>
    <mergeCell ref="C749:E749"/>
    <mergeCell ref="C767:E767"/>
    <mergeCell ref="C759:E759"/>
    <mergeCell ref="C753:E753"/>
    <mergeCell ref="C757:E757"/>
    <mergeCell ref="H1183:I1183"/>
    <mergeCell ref="H1195:I1195"/>
    <mergeCell ref="H1193:I1193"/>
    <mergeCell ref="H1175:I1175"/>
    <mergeCell ref="H1111:I1111"/>
    <mergeCell ref="H1095:I1095"/>
    <mergeCell ref="H1098:I1098"/>
    <mergeCell ref="H1115:I1115"/>
    <mergeCell ref="H1118:I1118"/>
    <mergeCell ref="H1068:I1068"/>
    <mergeCell ref="H1067:I1067"/>
    <mergeCell ref="H1094:I1094"/>
    <mergeCell ref="H1093:I1093"/>
    <mergeCell ref="H1092:I1092"/>
    <mergeCell ref="H1117:I1117"/>
    <mergeCell ref="H1063:I1063"/>
    <mergeCell ref="H1070:I1070"/>
    <mergeCell ref="H1101:I1101"/>
    <mergeCell ref="H1076:I1076"/>
    <mergeCell ref="H1074:I1074"/>
    <mergeCell ref="H1069:I1069"/>
    <mergeCell ref="H1085:I1085"/>
    <mergeCell ref="H1086:I1086"/>
    <mergeCell ref="H1090:I1090"/>
    <mergeCell ref="H1091:I1091"/>
    <mergeCell ref="H1079:I1079"/>
    <mergeCell ref="H1099:I1099"/>
    <mergeCell ref="H1097:I1097"/>
    <mergeCell ref="H1168:I1168"/>
    <mergeCell ref="H1125:I1125"/>
    <mergeCell ref="H1164:I1164"/>
    <mergeCell ref="H1160:I1160"/>
    <mergeCell ref="H1230:I1230"/>
    <mergeCell ref="H1237:I1237"/>
    <mergeCell ref="H1231:I1231"/>
    <mergeCell ref="H1222:I1222"/>
    <mergeCell ref="H1228:I1228"/>
    <mergeCell ref="H1226:I1226"/>
    <mergeCell ref="H1225:I1225"/>
    <mergeCell ref="H1224:I1224"/>
    <mergeCell ref="H1229:I1229"/>
    <mergeCell ref="H1233:I1233"/>
    <mergeCell ref="H1192:I1192"/>
    <mergeCell ref="H1215:I1215"/>
    <mergeCell ref="H1211:I1211"/>
    <mergeCell ref="H1227:I1227"/>
    <mergeCell ref="H1220:I1220"/>
    <mergeCell ref="H1218:I1218"/>
    <mergeCell ref="H1204:I1204"/>
    <mergeCell ref="H1206:I1206"/>
    <mergeCell ref="H1194:I1194"/>
    <mergeCell ref="H1223:I1223"/>
    <mergeCell ref="H1200:I1200"/>
    <mergeCell ref="H1198:I1198"/>
    <mergeCell ref="H1234:I1234"/>
    <mergeCell ref="H1236:I1236"/>
    <mergeCell ref="H1235:I1235"/>
    <mergeCell ref="H1210:I1210"/>
    <mergeCell ref="H1263:I1263"/>
    <mergeCell ref="H1232:I1232"/>
    <mergeCell ref="H1326:I1326"/>
    <mergeCell ref="F1318:G1318"/>
    <mergeCell ref="H1310:I1310"/>
    <mergeCell ref="H1311:I1311"/>
    <mergeCell ref="H1298:I1298"/>
    <mergeCell ref="H1291:I1291"/>
    <mergeCell ref="F1284:G1284"/>
    <mergeCell ref="F1288:G1288"/>
    <mergeCell ref="H1284:I1284"/>
    <mergeCell ref="H1289:I1289"/>
    <mergeCell ref="H1288:I1288"/>
    <mergeCell ref="H1273:I1273"/>
    <mergeCell ref="H1249:I1249"/>
    <mergeCell ref="H1266:I1266"/>
    <mergeCell ref="H1250:I1250"/>
    <mergeCell ref="H1285:I1285"/>
    <mergeCell ref="H1261:I1261"/>
    <mergeCell ref="H1275:I1275"/>
    <mergeCell ref="F1263:G1263"/>
    <mergeCell ref="F1265:G1265"/>
    <mergeCell ref="F1259:G1259"/>
    <mergeCell ref="F1260:G1260"/>
    <mergeCell ref="H1258:I1258"/>
    <mergeCell ref="F1254:G1254"/>
    <mergeCell ref="H1257:I1257"/>
    <mergeCell ref="H1260:I1260"/>
    <mergeCell ref="H1255:I1255"/>
    <mergeCell ref="F1256:G1256"/>
    <mergeCell ref="F1255:G1255"/>
    <mergeCell ref="F1262:G1262"/>
    <mergeCell ref="H1557:I1557"/>
    <mergeCell ref="C1600:E1600"/>
    <mergeCell ref="C1598:E1598"/>
    <mergeCell ref="C1597:E1597"/>
    <mergeCell ref="H1553:I1553"/>
    <mergeCell ref="F1555:G1555"/>
    <mergeCell ref="H1454:I1454"/>
    <mergeCell ref="H1398:I1398"/>
    <mergeCell ref="H1396:I1396"/>
    <mergeCell ref="H1418:I1418"/>
    <mergeCell ref="H1390:I1390"/>
    <mergeCell ref="H1460:I1460"/>
    <mergeCell ref="H1394:I1394"/>
    <mergeCell ref="H1399:I1399"/>
    <mergeCell ref="H1438:I1438"/>
    <mergeCell ref="H1440:I1440"/>
    <mergeCell ref="H1392:I1392"/>
    <mergeCell ref="H1393:I1393"/>
    <mergeCell ref="H1391:I1391"/>
    <mergeCell ref="C1589:E1589"/>
    <mergeCell ref="C1562:E1562"/>
    <mergeCell ref="C1565:E1565"/>
    <mergeCell ref="F1598:G1598"/>
    <mergeCell ref="H1474:I1474"/>
    <mergeCell ref="H1471:I1471"/>
    <mergeCell ref="H1468:I1468"/>
    <mergeCell ref="H1458:I1458"/>
    <mergeCell ref="H1478:I1478"/>
    <mergeCell ref="H1559:I1559"/>
    <mergeCell ref="H1562:I1562"/>
    <mergeCell ref="H1566:I1566"/>
    <mergeCell ref="F1560:G1560"/>
    <mergeCell ref="C1607:E1607"/>
    <mergeCell ref="C1602:E1602"/>
    <mergeCell ref="F1604:G1604"/>
    <mergeCell ref="C1604:E1604"/>
    <mergeCell ref="H1573:I1573"/>
    <mergeCell ref="H1577:I1577"/>
    <mergeCell ref="H1580:I1580"/>
    <mergeCell ref="H1581:I1581"/>
    <mergeCell ref="H1588:I1588"/>
    <mergeCell ref="H1606:I1606"/>
    <mergeCell ref="F1602:G1602"/>
    <mergeCell ref="F1585:G1585"/>
    <mergeCell ref="F1584:G1584"/>
    <mergeCell ref="F1591:G1591"/>
    <mergeCell ref="F1590:G1590"/>
    <mergeCell ref="F1589:G1589"/>
    <mergeCell ref="F1592:G1592"/>
    <mergeCell ref="F1587:G1587"/>
    <mergeCell ref="F1594:G1594"/>
    <mergeCell ref="C1605:E1605"/>
    <mergeCell ref="C1594:E1594"/>
    <mergeCell ref="C1593:E1593"/>
    <mergeCell ref="C1710:E1710"/>
    <mergeCell ref="F1717:G1717"/>
    <mergeCell ref="C1708:E1708"/>
    <mergeCell ref="C1717:E1717"/>
    <mergeCell ref="F1715:G1715"/>
    <mergeCell ref="F1710:G1710"/>
    <mergeCell ref="F1711:G1711"/>
    <mergeCell ref="H1711:I1711"/>
    <mergeCell ref="H1616:I1616"/>
    <mergeCell ref="H1709:I1709"/>
    <mergeCell ref="F1675:G1675"/>
    <mergeCell ref="F1701:G1701"/>
    <mergeCell ref="H1608:I1608"/>
    <mergeCell ref="H1625:I1625"/>
    <mergeCell ref="H1683:I1683"/>
    <mergeCell ref="H1704:I1704"/>
    <mergeCell ref="H1628:I1628"/>
    <mergeCell ref="H1630:I1630"/>
    <mergeCell ref="H1644:I1644"/>
    <mergeCell ref="H1645:I1645"/>
    <mergeCell ref="H1610:I1610"/>
    <mergeCell ref="H1611:I1611"/>
    <mergeCell ref="H1613:I1613"/>
    <mergeCell ref="C1675:E1675"/>
    <mergeCell ref="C1646:E1646"/>
    <mergeCell ref="C1674:E1674"/>
    <mergeCell ref="C1667:E1667"/>
    <mergeCell ref="C1671:E1671"/>
    <mergeCell ref="C1690:E1690"/>
    <mergeCell ref="F1684:G1684"/>
    <mergeCell ref="F1714:G1714"/>
    <mergeCell ref="C1676:E1676"/>
    <mergeCell ref="C1765:E1765"/>
    <mergeCell ref="C1773:E1773"/>
    <mergeCell ref="C1718:E1718"/>
    <mergeCell ref="C1724:E1724"/>
    <mergeCell ref="C1749:E1749"/>
    <mergeCell ref="C1719:E1719"/>
    <mergeCell ref="C1713:E1713"/>
    <mergeCell ref="C1715:E1715"/>
    <mergeCell ref="C1716:E1716"/>
    <mergeCell ref="C1722:E1722"/>
    <mergeCell ref="C1723:E1723"/>
    <mergeCell ref="C1748:E1748"/>
    <mergeCell ref="C1721:E1721"/>
    <mergeCell ref="C1745:E1745"/>
    <mergeCell ref="C1746:E1746"/>
    <mergeCell ref="C1726:E1726"/>
    <mergeCell ref="C1742:E1742"/>
    <mergeCell ref="C1741:E1741"/>
    <mergeCell ref="C1728:E1728"/>
    <mergeCell ref="C1734:E1734"/>
    <mergeCell ref="C1735:E1735"/>
    <mergeCell ref="C1727:E1727"/>
    <mergeCell ref="C1725:E1725"/>
    <mergeCell ref="C1747:E1747"/>
    <mergeCell ref="C1737:E1737"/>
    <mergeCell ref="C1739:E1739"/>
    <mergeCell ref="C1753:E1753"/>
    <mergeCell ref="C1758:E1758"/>
    <mergeCell ref="C1763:E1763"/>
    <mergeCell ref="C1754:E1754"/>
    <mergeCell ref="C1743:E1743"/>
    <mergeCell ref="C1731:E1731"/>
    <mergeCell ref="C1823:E1823"/>
    <mergeCell ref="C1848:E1848"/>
    <mergeCell ref="C1796:E1796"/>
    <mergeCell ref="C1788:E1788"/>
    <mergeCell ref="C1807:E1807"/>
    <mergeCell ref="C1789:E1789"/>
    <mergeCell ref="C1803:E1803"/>
    <mergeCell ref="C1798:E1798"/>
    <mergeCell ref="C1799:E1799"/>
    <mergeCell ref="C1795:E1795"/>
    <mergeCell ref="C1790:E1790"/>
    <mergeCell ref="C1800:E1800"/>
    <mergeCell ref="C1808:E1808"/>
    <mergeCell ref="C1766:E1766"/>
    <mergeCell ref="C1771:E1771"/>
    <mergeCell ref="C1780:E1780"/>
    <mergeCell ref="C1785:E1785"/>
    <mergeCell ref="C1769:E1769"/>
    <mergeCell ref="C1831:E1831"/>
    <mergeCell ref="C1834:E1834"/>
    <mergeCell ref="C1844:E1844"/>
    <mergeCell ref="C1829:E1829"/>
    <mergeCell ref="C1815:E1815"/>
    <mergeCell ref="C1802:E1802"/>
    <mergeCell ref="C1838:E1838"/>
    <mergeCell ref="C1835:E1835"/>
    <mergeCell ref="C1805:E1805"/>
    <mergeCell ref="C1826:E1826"/>
    <mergeCell ref="C1830:E1830"/>
    <mergeCell ref="C1787:E1787"/>
    <mergeCell ref="C1784:E1784"/>
    <mergeCell ref="C1776:E1776"/>
    <mergeCell ref="C1892:E1892"/>
    <mergeCell ref="C1895:E1895"/>
    <mergeCell ref="C1887:E1887"/>
    <mergeCell ref="C1889:E1889"/>
    <mergeCell ref="C1854:E1854"/>
    <mergeCell ref="C1883:E1883"/>
    <mergeCell ref="C1882:E1882"/>
    <mergeCell ref="C1879:E1879"/>
    <mergeCell ref="C1874:E1874"/>
    <mergeCell ref="C1870:E1870"/>
    <mergeCell ref="C1839:E1839"/>
    <mergeCell ref="C1832:E1832"/>
    <mergeCell ref="C1833:E1833"/>
    <mergeCell ref="C1845:E1845"/>
    <mergeCell ref="C1840:E1840"/>
    <mergeCell ref="C1847:E1847"/>
    <mergeCell ref="C1842:E1842"/>
    <mergeCell ref="C1850:E1850"/>
    <mergeCell ref="C1841:E1841"/>
    <mergeCell ref="C1843:E1843"/>
    <mergeCell ref="C1855:E1855"/>
    <mergeCell ref="C1861:E1861"/>
    <mergeCell ref="C1868:E1868"/>
    <mergeCell ref="C1857:E1857"/>
    <mergeCell ref="C1989:E1989"/>
    <mergeCell ref="C1962:E1962"/>
    <mergeCell ref="C1970:E1970"/>
    <mergeCell ref="C1931:E1931"/>
    <mergeCell ref="C1952:E1952"/>
    <mergeCell ref="C1955:E1955"/>
    <mergeCell ref="C1977:E1977"/>
    <mergeCell ref="C1974:E1974"/>
    <mergeCell ref="C1975:E1975"/>
    <mergeCell ref="C1903:E1903"/>
    <mergeCell ref="C1898:E1898"/>
    <mergeCell ref="C1901:E1901"/>
    <mergeCell ref="C1902:E1902"/>
    <mergeCell ref="C1906:E1906"/>
    <mergeCell ref="C1899:E1899"/>
    <mergeCell ref="C1904:E1904"/>
    <mergeCell ref="C1900:E1900"/>
    <mergeCell ref="C1936:E1936"/>
    <mergeCell ref="C1933:E1933"/>
    <mergeCell ref="C1943:E1943"/>
    <mergeCell ref="C1957:E1957"/>
    <mergeCell ref="C1947:E1947"/>
    <mergeCell ref="C1969:E1969"/>
    <mergeCell ref="C1964:E1964"/>
    <mergeCell ref="C1978:E1978"/>
    <mergeCell ref="C1981:E1981"/>
    <mergeCell ref="C1971:E1971"/>
    <mergeCell ref="C1986:E1986"/>
    <mergeCell ref="C1919:E1919"/>
    <mergeCell ref="C1923:E1923"/>
    <mergeCell ref="C1926:E1926"/>
    <mergeCell ref="C1934:E1934"/>
    <mergeCell ref="C1908:E1908"/>
    <mergeCell ref="C1910:E1910"/>
    <mergeCell ref="C1915:E1915"/>
    <mergeCell ref="C1911:E1911"/>
    <mergeCell ref="C1909:E1909"/>
    <mergeCell ref="C1912:E1912"/>
    <mergeCell ref="C1921:E1921"/>
    <mergeCell ref="C1917:E1917"/>
    <mergeCell ref="C1954:E1954"/>
    <mergeCell ref="C2057:E2057"/>
    <mergeCell ref="C2065:E2065"/>
    <mergeCell ref="C2059:E2059"/>
    <mergeCell ref="C2073:E2073"/>
    <mergeCell ref="C2058:E2058"/>
    <mergeCell ref="C2049:E2049"/>
    <mergeCell ref="C2052:E2052"/>
    <mergeCell ref="C2032:E2032"/>
    <mergeCell ref="C2044:E2044"/>
    <mergeCell ref="C2035:E2035"/>
    <mergeCell ref="C2040:E2040"/>
    <mergeCell ref="C2039:E2039"/>
    <mergeCell ref="C2045:E2045"/>
    <mergeCell ref="C2046:E2046"/>
    <mergeCell ref="C2027:E2027"/>
    <mergeCell ref="C2037:E2037"/>
    <mergeCell ref="C2001:E2001"/>
    <mergeCell ref="C2020:E2020"/>
    <mergeCell ref="C2017:E2017"/>
    <mergeCell ref="C2019:E2019"/>
    <mergeCell ref="C2008:E2008"/>
    <mergeCell ref="C2023:E2023"/>
    <mergeCell ref="C2029:E2029"/>
    <mergeCell ref="C2016:E2016"/>
    <mergeCell ref="C2015:E2015"/>
    <mergeCell ref="C2013:E2013"/>
    <mergeCell ref="C2345:E2345"/>
    <mergeCell ref="C2370:E2370"/>
    <mergeCell ref="C2344:E2344"/>
    <mergeCell ref="C2293:E2293"/>
    <mergeCell ref="C2374:E2374"/>
    <mergeCell ref="F2497:G2497"/>
    <mergeCell ref="F2493:G2493"/>
    <mergeCell ref="F2491:G2491"/>
    <mergeCell ref="F2489:G2489"/>
    <mergeCell ref="F2495:G2495"/>
    <mergeCell ref="C2166:E2166"/>
    <mergeCell ref="C2171:E2171"/>
    <mergeCell ref="C2181:E2181"/>
    <mergeCell ref="C2168:E2168"/>
    <mergeCell ref="C2187:E2187"/>
    <mergeCell ref="C2378:E2378"/>
    <mergeCell ref="C2230:E2230"/>
    <mergeCell ref="C2367:E2367"/>
    <mergeCell ref="C2375:E2375"/>
    <mergeCell ref="C2365:E2365"/>
    <mergeCell ref="C2231:E2231"/>
    <mergeCell ref="C2356:E2356"/>
    <mergeCell ref="C2373:E2373"/>
    <mergeCell ref="C2329:E2329"/>
    <mergeCell ref="C2322:E2322"/>
    <mergeCell ref="C2148:E2148"/>
    <mergeCell ref="C2185:E2185"/>
    <mergeCell ref="C2198:E2198"/>
    <mergeCell ref="C2151:E2151"/>
    <mergeCell ref="C2369:E2369"/>
    <mergeCell ref="F2367:G2367"/>
    <mergeCell ref="F2369:G2369"/>
    <mergeCell ref="F2366:G2366"/>
    <mergeCell ref="C2368:E2368"/>
    <mergeCell ref="F2359:G2359"/>
    <mergeCell ref="C2363:E2363"/>
    <mergeCell ref="C2366:E2366"/>
    <mergeCell ref="C2714:E2714"/>
    <mergeCell ref="C2715:E2715"/>
    <mergeCell ref="H2791:I2791"/>
    <mergeCell ref="F2785:G2785"/>
    <mergeCell ref="H2788:I2788"/>
    <mergeCell ref="H2789:I2789"/>
    <mergeCell ref="C2734:E2734"/>
    <mergeCell ref="C2674:E2674"/>
    <mergeCell ref="C2619:E2619"/>
    <mergeCell ref="C2620:E2620"/>
    <mergeCell ref="C2756:E2756"/>
    <mergeCell ref="C2751:E2751"/>
    <mergeCell ref="F2751:G2751"/>
    <mergeCell ref="C2622:E2622"/>
    <mergeCell ref="C2731:E2731"/>
    <mergeCell ref="C2675:E2675"/>
    <mergeCell ref="C2657:E2657"/>
    <mergeCell ref="C2735:E2735"/>
    <mergeCell ref="C2730:E2730"/>
    <mergeCell ref="C2670:E2670"/>
    <mergeCell ref="C2745:E2745"/>
    <mergeCell ref="C2718:E2718"/>
    <mergeCell ref="C2679:E2679"/>
    <mergeCell ref="C2682:E2682"/>
    <mergeCell ref="C2684:E2684"/>
    <mergeCell ref="C2623:E2623"/>
    <mergeCell ref="C2683:E2683"/>
    <mergeCell ref="C2680:E2680"/>
    <mergeCell ref="C2677:E2677"/>
    <mergeCell ref="C2678:E2678"/>
    <mergeCell ref="C2713:E2713"/>
    <mergeCell ref="C2707:E2707"/>
    <mergeCell ref="H2871:I2871"/>
    <mergeCell ref="H2878:I2878"/>
    <mergeCell ref="H2874:I2874"/>
    <mergeCell ref="H2838:I2838"/>
    <mergeCell ref="H2856:I2856"/>
    <mergeCell ref="H2831:I2831"/>
    <mergeCell ref="H2844:I2844"/>
    <mergeCell ref="H2830:I2830"/>
    <mergeCell ref="H2840:I2840"/>
    <mergeCell ref="H2842:I2842"/>
    <mergeCell ref="H2863:I2863"/>
    <mergeCell ref="H2845:I2845"/>
    <mergeCell ref="C2748:E2748"/>
    <mergeCell ref="F2729:G2729"/>
    <mergeCell ref="C2750:E2750"/>
    <mergeCell ref="C2789:E2789"/>
    <mergeCell ref="C2739:E2739"/>
    <mergeCell ref="C2743:E2743"/>
    <mergeCell ref="C2736:E2736"/>
    <mergeCell ref="C2746:E2746"/>
    <mergeCell ref="H2784:I2784"/>
    <mergeCell ref="H2786:I2786"/>
    <mergeCell ref="F2748:G2748"/>
    <mergeCell ref="F2750:G2750"/>
    <mergeCell ref="C2733:E2733"/>
    <mergeCell ref="F2753:G2753"/>
    <mergeCell ref="F2745:G2745"/>
    <mergeCell ref="H2792:I2792"/>
    <mergeCell ref="C2747:E2747"/>
    <mergeCell ref="C2769:E2769"/>
    <mergeCell ref="C2761:E2761"/>
    <mergeCell ref="H2951:I2951"/>
    <mergeCell ref="H2901:I2901"/>
    <mergeCell ref="H2894:I2894"/>
    <mergeCell ref="H2898:I2898"/>
    <mergeCell ref="H2910:I2910"/>
    <mergeCell ref="H2900:I2900"/>
    <mergeCell ref="H2916:I2916"/>
    <mergeCell ref="H2946:I2946"/>
    <mergeCell ref="H2895:I2895"/>
    <mergeCell ref="H2945:I2945"/>
    <mergeCell ref="H2897:I2897"/>
    <mergeCell ref="H2909:I2909"/>
    <mergeCell ref="H2876:I2876"/>
    <mergeCell ref="H2899:I2899"/>
    <mergeCell ref="H2896:I2896"/>
    <mergeCell ref="H2886:I2886"/>
    <mergeCell ref="H2888:I2888"/>
    <mergeCell ref="H2934:I2934"/>
    <mergeCell ref="H2880:I2880"/>
    <mergeCell ref="H2879:I2879"/>
    <mergeCell ref="H2892:I2892"/>
    <mergeCell ref="H2889:I2889"/>
    <mergeCell ref="H2890:I2890"/>
    <mergeCell ref="H2887:I2887"/>
    <mergeCell ref="H2885:I2885"/>
    <mergeCell ref="H1561:I1561"/>
    <mergeCell ref="H1584:I1584"/>
    <mergeCell ref="H2961:I2961"/>
    <mergeCell ref="F2953:G2953"/>
    <mergeCell ref="H2944:I2944"/>
    <mergeCell ref="H2965:I2965"/>
    <mergeCell ref="H2967:I2967"/>
    <mergeCell ref="H2957:I2957"/>
    <mergeCell ref="H1747:I1747"/>
    <mergeCell ref="H1748:I1748"/>
    <mergeCell ref="H1750:I1750"/>
    <mergeCell ref="H1753:I1753"/>
    <mergeCell ref="H2959:I2959"/>
    <mergeCell ref="H2954:I2954"/>
    <mergeCell ref="H2958:I2958"/>
    <mergeCell ref="H2948:I2948"/>
    <mergeCell ref="H2953:I2953"/>
    <mergeCell ref="H2949:I2949"/>
    <mergeCell ref="F2957:G2957"/>
    <mergeCell ref="H2955:I2955"/>
    <mergeCell ref="H2956:I2956"/>
    <mergeCell ref="F2950:G2950"/>
    <mergeCell ref="H2952:I2952"/>
    <mergeCell ref="F2954:G2954"/>
    <mergeCell ref="F2951:G2951"/>
    <mergeCell ref="H2950:I2950"/>
    <mergeCell ref="F1709:G1709"/>
    <mergeCell ref="H1574:I1574"/>
    <mergeCell ref="F1564:G1564"/>
    <mergeCell ref="F1563:G1563"/>
    <mergeCell ref="F1605:G1605"/>
    <mergeCell ref="H1598:I1598"/>
    <mergeCell ref="F2946:G2946"/>
    <mergeCell ref="C2994:E2994"/>
    <mergeCell ref="F2994:G2994"/>
    <mergeCell ref="H2994:I2994"/>
    <mergeCell ref="H2987:I2987"/>
    <mergeCell ref="C2987:E2987"/>
    <mergeCell ref="F2991:G2991"/>
    <mergeCell ref="C2988:E2988"/>
    <mergeCell ref="F2989:G2989"/>
    <mergeCell ref="H2991:I2991"/>
    <mergeCell ref="C3002:I3002"/>
    <mergeCell ref="C2992:E2992"/>
    <mergeCell ref="F2992:G2992"/>
    <mergeCell ref="H2992:I2992"/>
    <mergeCell ref="C2993:E2993"/>
    <mergeCell ref="F2965:G2965"/>
    <mergeCell ref="C2989:E2989"/>
    <mergeCell ref="E2996:G2996"/>
    <mergeCell ref="F2993:G2993"/>
    <mergeCell ref="F2985:G2985"/>
    <mergeCell ref="F2987:G2987"/>
    <mergeCell ref="H2988:I2988"/>
    <mergeCell ref="C2977:E2977"/>
    <mergeCell ref="C2978:E2978"/>
    <mergeCell ref="C2986:E2986"/>
    <mergeCell ref="H2981:I2981"/>
    <mergeCell ref="H2985:I2985"/>
    <mergeCell ref="H2982:I2982"/>
    <mergeCell ref="F2986:G2986"/>
    <mergeCell ref="C2982:E2982"/>
    <mergeCell ref="C2990:E2990"/>
    <mergeCell ref="F2990:G2990"/>
    <mergeCell ref="H2990:I2990"/>
    <mergeCell ref="H2989:I2989"/>
    <mergeCell ref="C2991:E2991"/>
    <mergeCell ref="F2988:G2988"/>
    <mergeCell ref="H2993:I2993"/>
    <mergeCell ref="C2985:E2985"/>
    <mergeCell ref="C2983:E2983"/>
    <mergeCell ref="F2981:G2981"/>
    <mergeCell ref="F2983:G2983"/>
    <mergeCell ref="H2983:I2983"/>
    <mergeCell ref="F2982:G2982"/>
    <mergeCell ref="F2975:G2975"/>
    <mergeCell ref="H2975:I2975"/>
    <mergeCell ref="C2979:E2979"/>
    <mergeCell ref="H2986:I2986"/>
    <mergeCell ref="H2976:I2976"/>
    <mergeCell ref="H2979:I2979"/>
    <mergeCell ref="H2978:I2978"/>
    <mergeCell ref="F2980:G2980"/>
    <mergeCell ref="F2978:G2978"/>
    <mergeCell ref="F2979:G2979"/>
    <mergeCell ref="H2977:I2977"/>
    <mergeCell ref="H2980:I2980"/>
    <mergeCell ref="H2984:I2984"/>
    <mergeCell ref="C2980:E2980"/>
    <mergeCell ref="F2977:G2977"/>
    <mergeCell ref="C2981:E2981"/>
    <mergeCell ref="C2976:E2976"/>
    <mergeCell ref="C2984:E2984"/>
    <mergeCell ref="F2984:G2984"/>
    <mergeCell ref="C2973:E2973"/>
    <mergeCell ref="F2976:G2976"/>
    <mergeCell ref="C2975:E2975"/>
    <mergeCell ref="F2973:G2973"/>
    <mergeCell ref="H2971:I2971"/>
    <mergeCell ref="H2970:I2970"/>
    <mergeCell ref="H2972:I2972"/>
    <mergeCell ref="F2967:G2967"/>
    <mergeCell ref="H2968:I2968"/>
    <mergeCell ref="F2971:G2971"/>
    <mergeCell ref="F2968:G2968"/>
    <mergeCell ref="F2970:G2970"/>
    <mergeCell ref="F2969:G2969"/>
    <mergeCell ref="H2969:I2969"/>
    <mergeCell ref="H2973:I2973"/>
    <mergeCell ref="F2958:G2958"/>
    <mergeCell ref="C2968:E2968"/>
    <mergeCell ref="C2964:E2964"/>
    <mergeCell ref="C2961:E2961"/>
    <mergeCell ref="C2962:E2962"/>
    <mergeCell ref="H2963:I2963"/>
    <mergeCell ref="H2962:I2962"/>
    <mergeCell ref="H2960:I2960"/>
    <mergeCell ref="H2964:I2964"/>
    <mergeCell ref="F2960:G2960"/>
    <mergeCell ref="H2974:I2974"/>
    <mergeCell ref="F2974:G2974"/>
    <mergeCell ref="C2974:E2974"/>
    <mergeCell ref="C2957:E2957"/>
    <mergeCell ref="C2956:E2956"/>
    <mergeCell ref="C2963:E2963"/>
    <mergeCell ref="C2958:E2958"/>
    <mergeCell ref="C2966:E2966"/>
    <mergeCell ref="C2967:E2967"/>
    <mergeCell ref="C2959:E2959"/>
    <mergeCell ref="F2966:G2966"/>
    <mergeCell ref="F2963:G2963"/>
    <mergeCell ref="C2960:E2960"/>
    <mergeCell ref="C2970:E2970"/>
    <mergeCell ref="C2972:E2972"/>
    <mergeCell ref="F2972:G2972"/>
    <mergeCell ref="F2962:G2962"/>
    <mergeCell ref="F2956:G2956"/>
    <mergeCell ref="F2959:G2959"/>
    <mergeCell ref="F2964:G2964"/>
    <mergeCell ref="C2965:E2965"/>
    <mergeCell ref="C2971:E2971"/>
    <mergeCell ref="F2961:G2961"/>
    <mergeCell ref="C2853:E2853"/>
    <mergeCell ref="C2953:E2953"/>
    <mergeCell ref="F2955:G2955"/>
    <mergeCell ref="C2857:E2857"/>
    <mergeCell ref="C2952:E2952"/>
    <mergeCell ref="F2947:G2947"/>
    <mergeCell ref="C2947:E2947"/>
    <mergeCell ref="C2950:E2950"/>
    <mergeCell ref="C2949:E2949"/>
    <mergeCell ref="C2948:E2948"/>
    <mergeCell ref="F2949:G2949"/>
    <mergeCell ref="F2952:G2952"/>
    <mergeCell ref="F2875:G2875"/>
    <mergeCell ref="C2875:E2875"/>
    <mergeCell ref="C2946:E2946"/>
    <mergeCell ref="C2944:E2944"/>
    <mergeCell ref="F2944:G2944"/>
    <mergeCell ref="C2951:E2951"/>
    <mergeCell ref="F2895:G2895"/>
    <mergeCell ref="F2937:G2937"/>
    <mergeCell ref="C2905:E2905"/>
    <mergeCell ref="C2955:E2955"/>
    <mergeCell ref="C2954:E2954"/>
    <mergeCell ref="C2870:E2870"/>
    <mergeCell ref="C2865:E2865"/>
    <mergeCell ref="F2869:G2869"/>
    <mergeCell ref="C2855:E2855"/>
    <mergeCell ref="C2854:E2854"/>
    <mergeCell ref="F2855:G2855"/>
    <mergeCell ref="C2864:E2864"/>
    <mergeCell ref="F2856:G2856"/>
    <mergeCell ref="C2861:E2861"/>
    <mergeCell ref="C2862:E2862"/>
    <mergeCell ref="C2856:E2856"/>
    <mergeCell ref="F2901:G2901"/>
    <mergeCell ref="F2904:G2904"/>
    <mergeCell ref="F2893:G2893"/>
    <mergeCell ref="F2862:G2862"/>
    <mergeCell ref="C2886:E2886"/>
    <mergeCell ref="C2889:E2889"/>
    <mergeCell ref="F2868:G2868"/>
    <mergeCell ref="F2876:G2876"/>
    <mergeCell ref="F2863:G2863"/>
    <mergeCell ref="F2866:G2866"/>
    <mergeCell ref="F2867:G2867"/>
    <mergeCell ref="F2861:G2861"/>
    <mergeCell ref="F2902:G2902"/>
    <mergeCell ref="C2904:E2904"/>
    <mergeCell ref="C2894:E2894"/>
    <mergeCell ref="C2883:E2883"/>
    <mergeCell ref="C2891:E2891"/>
    <mergeCell ref="C2881:E2881"/>
    <mergeCell ref="C2880:E2880"/>
    <mergeCell ref="C2892:E2892"/>
    <mergeCell ref="C2901:E2901"/>
    <mergeCell ref="C2896:E2896"/>
    <mergeCell ref="F2896:G2896"/>
    <mergeCell ref="C2902:E2902"/>
    <mergeCell ref="C2858:E2858"/>
    <mergeCell ref="F2857:G2857"/>
    <mergeCell ref="F2858:G2858"/>
    <mergeCell ref="F2864:G2864"/>
    <mergeCell ref="C2850:E2850"/>
    <mergeCell ref="F2850:G2850"/>
    <mergeCell ref="C2838:E2838"/>
    <mergeCell ref="C2807:E2807"/>
    <mergeCell ref="C2847:E2847"/>
    <mergeCell ref="C2805:E2805"/>
    <mergeCell ref="C2813:E2813"/>
    <mergeCell ref="C2816:E2816"/>
    <mergeCell ref="C2837:E2837"/>
    <mergeCell ref="C2823:E2823"/>
    <mergeCell ref="C2848:E2848"/>
    <mergeCell ref="C2849:E2849"/>
    <mergeCell ref="F2846:G2846"/>
    <mergeCell ref="C2846:E2846"/>
    <mergeCell ref="F2842:G2842"/>
    <mergeCell ref="C2843:E2843"/>
    <mergeCell ref="C2845:E2845"/>
    <mergeCell ref="F2844:G2844"/>
    <mergeCell ref="F2849:G2849"/>
    <mergeCell ref="F2848:G2848"/>
    <mergeCell ref="C2822:E2822"/>
    <mergeCell ref="F2822:G2822"/>
    <mergeCell ref="C2820:E2820"/>
    <mergeCell ref="C2824:E2824"/>
    <mergeCell ref="F2809:G2809"/>
    <mergeCell ref="F2805:G2805"/>
    <mergeCell ref="F2860:G2860"/>
    <mergeCell ref="C2859:E2859"/>
    <mergeCell ref="C2860:E2860"/>
    <mergeCell ref="C2835:E2835"/>
    <mergeCell ref="F2794:G2794"/>
    <mergeCell ref="C2740:E2740"/>
    <mergeCell ref="C2737:E2737"/>
    <mergeCell ref="C2775:E2775"/>
    <mergeCell ref="C2752:E2752"/>
    <mergeCell ref="C2759:E2759"/>
    <mergeCell ref="F2754:G2754"/>
    <mergeCell ref="C2791:E2791"/>
    <mergeCell ref="C2742:E2742"/>
    <mergeCell ref="C2741:E2741"/>
    <mergeCell ref="C2825:E2825"/>
    <mergeCell ref="C2790:E2790"/>
    <mergeCell ref="C2808:E2808"/>
    <mergeCell ref="F2792:G2792"/>
    <mergeCell ref="C2806:E2806"/>
    <mergeCell ref="F2790:G2790"/>
    <mergeCell ref="C2793:E2793"/>
    <mergeCell ref="F2797:G2797"/>
    <mergeCell ref="C2794:E2794"/>
    <mergeCell ref="C2797:E2797"/>
    <mergeCell ref="C2749:E2749"/>
    <mergeCell ref="C2762:E2762"/>
    <mergeCell ref="F2787:G2787"/>
    <mergeCell ref="F2788:G2788"/>
    <mergeCell ref="C2795:E2795"/>
    <mergeCell ref="F2791:G2791"/>
    <mergeCell ref="F2795:G2795"/>
    <mergeCell ref="F2798:G2798"/>
    <mergeCell ref="F2793:G2793"/>
    <mergeCell ref="F2801:G2801"/>
    <mergeCell ref="C2738:E2738"/>
    <mergeCell ref="C2646:E2646"/>
    <mergeCell ref="C2634:E2634"/>
    <mergeCell ref="C2649:E2649"/>
    <mergeCell ref="F2657:G2657"/>
    <mergeCell ref="C2654:E2654"/>
    <mergeCell ref="C2653:E2653"/>
    <mergeCell ref="C2652:E2652"/>
    <mergeCell ref="C2647:E2647"/>
    <mergeCell ref="C2651:E2651"/>
    <mergeCell ref="F2686:G2686"/>
    <mergeCell ref="F2682:G2682"/>
    <mergeCell ref="F2649:G2649"/>
    <mergeCell ref="F2670:G2670"/>
    <mergeCell ref="F2675:G2675"/>
    <mergeCell ref="F2677:G2677"/>
    <mergeCell ref="F2678:G2678"/>
    <mergeCell ref="C2656:E2656"/>
    <mergeCell ref="C2661:E2661"/>
    <mergeCell ref="C2663:E2663"/>
    <mergeCell ref="C2672:E2672"/>
    <mergeCell ref="C2673:E2673"/>
    <mergeCell ref="C2671:E2671"/>
    <mergeCell ref="C2669:E2669"/>
    <mergeCell ref="C2685:E2685"/>
    <mergeCell ref="C2676:E2676"/>
    <mergeCell ref="C2686:E2686"/>
    <mergeCell ref="C2681:E2681"/>
    <mergeCell ref="C2643:E2643"/>
    <mergeCell ref="F2646:G2646"/>
    <mergeCell ref="F2645:G2645"/>
    <mergeCell ref="F2643:G2643"/>
    <mergeCell ref="F2642:G2642"/>
    <mergeCell ref="C2642:E2642"/>
    <mergeCell ref="C2644:E2644"/>
    <mergeCell ref="C2645:E2645"/>
    <mergeCell ref="F2644:G2644"/>
    <mergeCell ref="C2640:E2640"/>
    <mergeCell ref="C2641:E2641"/>
    <mergeCell ref="C2639:E2639"/>
    <mergeCell ref="C2637:E2637"/>
    <mergeCell ref="C2632:E2632"/>
    <mergeCell ref="C2633:E2633"/>
    <mergeCell ref="C2638:E2638"/>
    <mergeCell ref="C2636:E2636"/>
    <mergeCell ref="C2635:E2635"/>
    <mergeCell ref="F2639:G2639"/>
    <mergeCell ref="C2604:E2604"/>
    <mergeCell ref="F2603:G2603"/>
    <mergeCell ref="C2612:E2612"/>
    <mergeCell ref="F2604:G2604"/>
    <mergeCell ref="C2609:E2609"/>
    <mergeCell ref="C2614:E2614"/>
    <mergeCell ref="F2614:G2614"/>
    <mergeCell ref="C2610:E2610"/>
    <mergeCell ref="F2606:G2606"/>
    <mergeCell ref="C2605:E2605"/>
    <mergeCell ref="F2609:G2609"/>
    <mergeCell ref="C2606:E2606"/>
    <mergeCell ref="C2613:E2613"/>
    <mergeCell ref="F2608:G2608"/>
    <mergeCell ref="C2631:E2631"/>
    <mergeCell ref="F2610:G2610"/>
    <mergeCell ref="F2613:G2613"/>
    <mergeCell ref="F2611:G2611"/>
    <mergeCell ref="C2624:E2624"/>
    <mergeCell ref="C2627:E2627"/>
    <mergeCell ref="C2616:E2616"/>
    <mergeCell ref="F2627:G2627"/>
    <mergeCell ref="F2628:G2628"/>
    <mergeCell ref="C2621:E2621"/>
    <mergeCell ref="C2630:E2630"/>
    <mergeCell ref="C2625:E2625"/>
    <mergeCell ref="C2629:E2629"/>
    <mergeCell ref="C2618:E2618"/>
    <mergeCell ref="C2617:E2617"/>
    <mergeCell ref="F2607:G2607"/>
    <mergeCell ref="C2608:E2608"/>
    <mergeCell ref="C2601:E2601"/>
    <mergeCell ref="C2597:E2597"/>
    <mergeCell ref="C2602:E2602"/>
    <mergeCell ref="C2607:E2607"/>
    <mergeCell ref="C2599:E2599"/>
    <mergeCell ref="F2626:G2626"/>
    <mergeCell ref="F2618:G2618"/>
    <mergeCell ref="F2619:G2619"/>
    <mergeCell ref="F2612:G2612"/>
    <mergeCell ref="F2615:G2615"/>
    <mergeCell ref="C2589:E2589"/>
    <mergeCell ref="C2587:E2587"/>
    <mergeCell ref="C2593:E2593"/>
    <mergeCell ref="C2581:E2581"/>
    <mergeCell ref="C2596:E2596"/>
    <mergeCell ref="C2586:E2586"/>
    <mergeCell ref="C2590:E2590"/>
    <mergeCell ref="C2584:E2584"/>
    <mergeCell ref="C2583:E2583"/>
    <mergeCell ref="F2597:G2597"/>
    <mergeCell ref="C2600:E2600"/>
    <mergeCell ref="C2603:E2603"/>
    <mergeCell ref="C2598:E2598"/>
    <mergeCell ref="F2601:G2601"/>
    <mergeCell ref="C2594:E2594"/>
    <mergeCell ref="C2579:E2579"/>
    <mergeCell ref="F2581:G2581"/>
    <mergeCell ref="F2584:G2584"/>
    <mergeCell ref="F2583:G2583"/>
    <mergeCell ref="F2580:G2580"/>
    <mergeCell ref="F2579:G2579"/>
    <mergeCell ref="F2582:G2582"/>
    <mergeCell ref="C2595:E2595"/>
    <mergeCell ref="C2585:E2585"/>
    <mergeCell ref="F2586:G2586"/>
    <mergeCell ref="C2592:E2592"/>
    <mergeCell ref="F2592:G2592"/>
    <mergeCell ref="F2599:G2599"/>
    <mergeCell ref="C2591:E2591"/>
    <mergeCell ref="F2585:G2585"/>
    <mergeCell ref="F2596:G2596"/>
    <mergeCell ref="F2595:G2595"/>
    <mergeCell ref="C2580:E2580"/>
    <mergeCell ref="C2578:E2578"/>
    <mergeCell ref="C2560:E2560"/>
    <mergeCell ref="C2541:E2541"/>
    <mergeCell ref="C2548:E2548"/>
    <mergeCell ref="C2544:E2544"/>
    <mergeCell ref="C2545:E2545"/>
    <mergeCell ref="C2582:E2582"/>
    <mergeCell ref="C2577:E2577"/>
    <mergeCell ref="C2571:E2571"/>
    <mergeCell ref="F2576:G2576"/>
    <mergeCell ref="C2576:E2576"/>
    <mergeCell ref="C2557:E2557"/>
    <mergeCell ref="C2561:E2561"/>
    <mergeCell ref="C2564:E2564"/>
    <mergeCell ref="C2558:E2558"/>
    <mergeCell ref="C2562:E2562"/>
    <mergeCell ref="F2562:G2562"/>
    <mergeCell ref="F2561:G2561"/>
    <mergeCell ref="C2588:E2588"/>
    <mergeCell ref="C2568:E2568"/>
    <mergeCell ref="F2567:G2567"/>
    <mergeCell ref="C2563:E2563"/>
    <mergeCell ref="C2573:E2573"/>
    <mergeCell ref="C2566:E2566"/>
    <mergeCell ref="F2569:G2569"/>
    <mergeCell ref="C2574:E2574"/>
    <mergeCell ref="F2578:G2578"/>
    <mergeCell ref="F2574:G2574"/>
    <mergeCell ref="C2569:E2569"/>
    <mergeCell ref="C2567:E2567"/>
    <mergeCell ref="F2577:G2577"/>
    <mergeCell ref="F2570:G2570"/>
    <mergeCell ref="F2571:G2571"/>
    <mergeCell ref="C2572:E2572"/>
    <mergeCell ref="F2544:G2544"/>
    <mergeCell ref="F2546:G2546"/>
    <mergeCell ref="F2550:G2550"/>
    <mergeCell ref="C2547:E2547"/>
    <mergeCell ref="F2549:G2549"/>
    <mergeCell ref="F2548:G2548"/>
    <mergeCell ref="F2545:G2545"/>
    <mergeCell ref="F2547:G2547"/>
    <mergeCell ref="C2550:E2550"/>
    <mergeCell ref="C2575:E2575"/>
    <mergeCell ref="C2556:E2556"/>
    <mergeCell ref="C2540:E2540"/>
    <mergeCell ref="C2533:E2533"/>
    <mergeCell ref="C2543:E2543"/>
    <mergeCell ref="C2546:E2546"/>
    <mergeCell ref="C2542:E2542"/>
    <mergeCell ref="C2538:E2538"/>
    <mergeCell ref="C2552:E2552"/>
    <mergeCell ref="C2555:E2555"/>
    <mergeCell ref="C2554:E2554"/>
    <mergeCell ref="C2551:E2551"/>
    <mergeCell ref="C2553:E2553"/>
    <mergeCell ref="F2534:G2534"/>
    <mergeCell ref="F2531:G2531"/>
    <mergeCell ref="F2527:G2527"/>
    <mergeCell ref="F2524:G2524"/>
    <mergeCell ref="C2522:E2522"/>
    <mergeCell ref="C2531:E2531"/>
    <mergeCell ref="F2530:G2530"/>
    <mergeCell ref="F2523:G2523"/>
    <mergeCell ref="C2525:E2525"/>
    <mergeCell ref="C2523:E2523"/>
    <mergeCell ref="C2534:E2534"/>
    <mergeCell ref="C2524:E2524"/>
    <mergeCell ref="C2537:E2537"/>
    <mergeCell ref="C2536:E2536"/>
    <mergeCell ref="C2532:E2532"/>
    <mergeCell ref="C2530:E2530"/>
    <mergeCell ref="C2528:E2528"/>
    <mergeCell ref="C2526:E2526"/>
    <mergeCell ref="C2527:E2527"/>
    <mergeCell ref="F2554:G2554"/>
    <mergeCell ref="C2519:E2519"/>
    <mergeCell ref="C2513:E2513"/>
    <mergeCell ref="C2517:E2517"/>
    <mergeCell ref="F2519:G2519"/>
    <mergeCell ref="C2515:E2515"/>
    <mergeCell ref="C2516:E2516"/>
    <mergeCell ref="C2511:E2511"/>
    <mergeCell ref="F2509:G2509"/>
    <mergeCell ref="C2512:E2512"/>
    <mergeCell ref="C2521:E2521"/>
    <mergeCell ref="F2517:G2517"/>
    <mergeCell ref="C2518:E2518"/>
    <mergeCell ref="F2521:G2521"/>
    <mergeCell ref="F2518:G2518"/>
    <mergeCell ref="C2514:E2514"/>
    <mergeCell ref="F2514:G2514"/>
    <mergeCell ref="C2520:E2520"/>
    <mergeCell ref="F2515:G2515"/>
    <mergeCell ref="C2507:E2507"/>
    <mergeCell ref="C2500:E2500"/>
    <mergeCell ref="F2500:G2500"/>
    <mergeCell ref="F2513:G2513"/>
    <mergeCell ref="C2506:E2506"/>
    <mergeCell ref="C2503:E2503"/>
    <mergeCell ref="C2510:E2510"/>
    <mergeCell ref="F2512:G2512"/>
    <mergeCell ref="C2509:E2509"/>
    <mergeCell ref="F2490:G2490"/>
    <mergeCell ref="F2486:G2486"/>
    <mergeCell ref="C2485:E2485"/>
    <mergeCell ref="C2486:E2486"/>
    <mergeCell ref="C2484:E2484"/>
    <mergeCell ref="F2488:G2488"/>
    <mergeCell ref="F2476:G2476"/>
    <mergeCell ref="F2463:G2463"/>
    <mergeCell ref="C2494:E2494"/>
    <mergeCell ref="F2484:G2484"/>
    <mergeCell ref="F2485:G2485"/>
    <mergeCell ref="C2489:E2489"/>
    <mergeCell ref="C2465:E2465"/>
    <mergeCell ref="C2481:E2481"/>
    <mergeCell ref="C2490:E2490"/>
    <mergeCell ref="F2483:G2483"/>
    <mergeCell ref="F2477:G2477"/>
    <mergeCell ref="F2481:G2481"/>
    <mergeCell ref="F2474:G2474"/>
    <mergeCell ref="F2471:G2471"/>
    <mergeCell ref="F2473:G2473"/>
    <mergeCell ref="F2469:G2469"/>
    <mergeCell ref="F2475:G2475"/>
    <mergeCell ref="F2421:G2421"/>
    <mergeCell ref="C2417:E2417"/>
    <mergeCell ref="F2416:G2416"/>
    <mergeCell ref="F2419:G2419"/>
    <mergeCell ref="F2417:G2417"/>
    <mergeCell ref="F2420:G2420"/>
    <mergeCell ref="C2420:E2420"/>
    <mergeCell ref="C2418:E2418"/>
    <mergeCell ref="F2414:G2414"/>
    <mergeCell ref="F2435:G2435"/>
    <mergeCell ref="F2441:G2441"/>
    <mergeCell ref="F2422:G2422"/>
    <mergeCell ref="F2418:G2418"/>
    <mergeCell ref="F2427:G2427"/>
    <mergeCell ref="F2425:G2425"/>
    <mergeCell ref="F2434:G2434"/>
    <mergeCell ref="F2430:G2430"/>
    <mergeCell ref="F2428:G2428"/>
    <mergeCell ref="F2426:G2426"/>
    <mergeCell ref="F2438:G2438"/>
    <mergeCell ref="F2432:G2432"/>
    <mergeCell ref="F2429:G2429"/>
    <mergeCell ref="F2431:G2431"/>
    <mergeCell ref="F2437:G2437"/>
    <mergeCell ref="F2436:G2436"/>
    <mergeCell ref="F2440:G2440"/>
    <mergeCell ref="C2165:E2165"/>
    <mergeCell ref="C2104:E2104"/>
    <mergeCell ref="C2099:E2099"/>
    <mergeCell ref="C1956:E1956"/>
    <mergeCell ref="C1960:E1960"/>
    <mergeCell ref="C1959:E1959"/>
    <mergeCell ref="C1996:E1996"/>
    <mergeCell ref="C1814:E1814"/>
    <mergeCell ref="C2093:E2093"/>
    <mergeCell ref="C2143:E2143"/>
    <mergeCell ref="C2132:E2132"/>
    <mergeCell ref="C2125:E2125"/>
    <mergeCell ref="C2111:E2111"/>
    <mergeCell ref="C2109:E2109"/>
    <mergeCell ref="C2121:E2121"/>
    <mergeCell ref="C2142:E2142"/>
    <mergeCell ref="C2122:E2122"/>
    <mergeCell ref="C2116:E2116"/>
    <mergeCell ref="C2117:E2117"/>
    <mergeCell ref="C2108:E2108"/>
    <mergeCell ref="C2077:E2077"/>
    <mergeCell ref="C2078:E2078"/>
    <mergeCell ref="C2053:E2053"/>
    <mergeCell ref="C2080:E2080"/>
    <mergeCell ref="C2068:E2068"/>
    <mergeCell ref="C2079:E2079"/>
    <mergeCell ref="C2009:E2009"/>
    <mergeCell ref="C2014:E2014"/>
    <mergeCell ref="C2011:E2011"/>
    <mergeCell ref="C2012:E2012"/>
    <mergeCell ref="C2002:E2002"/>
    <mergeCell ref="C2007:E2007"/>
    <mergeCell ref="F1753:G1753"/>
    <mergeCell ref="C1849:E1849"/>
    <mergeCell ref="C1819:E1819"/>
    <mergeCell ref="H1802:I1802"/>
    <mergeCell ref="H1715:I1715"/>
    <mergeCell ref="H1713:I1713"/>
    <mergeCell ref="C1827:E1827"/>
    <mergeCell ref="H1762:I1762"/>
    <mergeCell ref="H1738:I1738"/>
    <mergeCell ref="H1761:I1761"/>
    <mergeCell ref="C1801:E1801"/>
    <mergeCell ref="H1647:I1647"/>
    <mergeCell ref="H1648:I1648"/>
    <mergeCell ref="H1703:I1703"/>
    <mergeCell ref="H1710:I1710"/>
    <mergeCell ref="H1679:I1679"/>
    <mergeCell ref="H1674:I1674"/>
    <mergeCell ref="H1676:I1676"/>
    <mergeCell ref="H1707:I1707"/>
    <mergeCell ref="H1712:I1712"/>
    <mergeCell ref="C1810:E1810"/>
    <mergeCell ref="C1821:E1821"/>
    <mergeCell ref="C1813:E1813"/>
    <mergeCell ref="C1811:E1811"/>
    <mergeCell ref="C1816:E1816"/>
    <mergeCell ref="C1818:E1818"/>
    <mergeCell ref="C1806:E1806"/>
    <mergeCell ref="C1809:E1809"/>
    <mergeCell ref="C1817:E1817"/>
    <mergeCell ref="C1846:E1846"/>
    <mergeCell ref="C1824:E1824"/>
    <mergeCell ref="C1822:E1822"/>
    <mergeCell ref="F1603:G1603"/>
    <mergeCell ref="F1596:G1596"/>
    <mergeCell ref="F1606:G1606"/>
    <mergeCell ref="F1599:G1599"/>
    <mergeCell ref="F1601:G1601"/>
    <mergeCell ref="F1595:G1595"/>
    <mergeCell ref="F1674:G1674"/>
    <mergeCell ref="F1693:G1693"/>
    <mergeCell ref="F1690:G1690"/>
    <mergeCell ref="H1725:I1725"/>
    <mergeCell ref="H1729:I1729"/>
    <mergeCell ref="H1638:I1638"/>
    <mergeCell ref="H1646:I1646"/>
    <mergeCell ref="F1724:G1724"/>
    <mergeCell ref="H1600:I1600"/>
    <mergeCell ref="H1618:I1618"/>
    <mergeCell ref="F1720:G1720"/>
    <mergeCell ref="H1721:I1721"/>
    <mergeCell ref="F1723:G1723"/>
    <mergeCell ref="H1603:I1603"/>
    <mergeCell ref="H1602:I1602"/>
    <mergeCell ref="H1597:I1597"/>
    <mergeCell ref="H1728:I1728"/>
    <mergeCell ref="F1857:G1857"/>
    <mergeCell ref="F1862:G1862"/>
    <mergeCell ref="F1856:G1856"/>
    <mergeCell ref="F1858:G1858"/>
    <mergeCell ref="F1863:G1863"/>
    <mergeCell ref="F1846:G1846"/>
    <mergeCell ref="F1841:G1841"/>
    <mergeCell ref="F1877:G1877"/>
    <mergeCell ref="F1873:G1873"/>
    <mergeCell ref="H1716:I1716"/>
    <mergeCell ref="H1719:I1719"/>
    <mergeCell ref="H1596:I1596"/>
    <mergeCell ref="H1595:I1595"/>
    <mergeCell ref="H1720:I1720"/>
    <mergeCell ref="H1599:I1599"/>
    <mergeCell ref="H1620:I1620"/>
    <mergeCell ref="H1615:I1615"/>
    <mergeCell ref="H1643:I1643"/>
    <mergeCell ref="H1694:I1694"/>
    <mergeCell ref="H1692:I1692"/>
    <mergeCell ref="H1675:I1675"/>
    <mergeCell ref="H1723:I1723"/>
    <mergeCell ref="F1722:G1722"/>
    <mergeCell ref="H1604:I1604"/>
    <mergeCell ref="H1621:I1621"/>
    <mergeCell ref="H1718:I1718"/>
    <mergeCell ref="F1607:G1607"/>
    <mergeCell ref="H1619:I1619"/>
    <mergeCell ref="F1683:G1683"/>
    <mergeCell ref="F1695:G1695"/>
    <mergeCell ref="F1679:G1679"/>
    <mergeCell ref="H1717:I1717"/>
    <mergeCell ref="F1838:G1838"/>
    <mergeCell ref="F1883:G1883"/>
    <mergeCell ref="F1901:G1901"/>
    <mergeCell ref="F1892:G1892"/>
    <mergeCell ref="F1900:G1900"/>
    <mergeCell ref="F1881:G1881"/>
    <mergeCell ref="F1894:G1894"/>
    <mergeCell ref="F1888:G1888"/>
    <mergeCell ref="F1890:G1890"/>
    <mergeCell ref="F1889:G1889"/>
    <mergeCell ref="F1895:G1895"/>
    <mergeCell ref="F1898:G1898"/>
    <mergeCell ref="F1922:G1922"/>
    <mergeCell ref="F1920:G1920"/>
    <mergeCell ref="F1921:G1921"/>
    <mergeCell ref="F1917:G1917"/>
    <mergeCell ref="F1906:G1906"/>
    <mergeCell ref="F1915:G1915"/>
    <mergeCell ref="F1919:G1919"/>
    <mergeCell ref="F1912:G1912"/>
    <mergeCell ref="F1916:G1916"/>
    <mergeCell ref="F1910:G1910"/>
    <mergeCell ref="F1879:G1879"/>
    <mergeCell ref="F1882:G1882"/>
    <mergeCell ref="F1866:G1866"/>
    <mergeCell ref="F1876:G1876"/>
    <mergeCell ref="F1870:G1870"/>
    <mergeCell ref="F1874:G1874"/>
    <mergeCell ref="F1878:G1878"/>
    <mergeCell ref="F1867:G1867"/>
    <mergeCell ref="F1880:G1880"/>
    <mergeCell ref="F1851:G1851"/>
    <mergeCell ref="F1519:G1519"/>
    <mergeCell ref="F1517:G1517"/>
    <mergeCell ref="F1514:G1514"/>
    <mergeCell ref="F1516:G1516"/>
    <mergeCell ref="F1541:G1541"/>
    <mergeCell ref="F1729:G1729"/>
    <mergeCell ref="F1700:G1700"/>
    <mergeCell ref="F1835:G1835"/>
    <mergeCell ref="F1815:G1815"/>
    <mergeCell ref="F1843:G1843"/>
    <mergeCell ref="F1871:G1871"/>
    <mergeCell ref="F1865:G1865"/>
    <mergeCell ref="F1868:G1868"/>
    <mergeCell ref="F1840:G1840"/>
    <mergeCell ref="F1875:G1875"/>
    <mergeCell ref="F1869:G1869"/>
    <mergeCell ref="F1848:G1848"/>
    <mergeCell ref="F1850:G1850"/>
    <mergeCell ref="F1864:G1864"/>
    <mergeCell ref="F1839:G1839"/>
    <mergeCell ref="F1872:G1872"/>
    <mergeCell ref="F1526:G1526"/>
    <mergeCell ref="F1539:G1539"/>
    <mergeCell ref="F1535:G1535"/>
    <mergeCell ref="F1531:G1531"/>
    <mergeCell ref="F1855:G1855"/>
    <mergeCell ref="F1823:G1823"/>
    <mergeCell ref="F1824:G1824"/>
    <mergeCell ref="F1810:G1810"/>
    <mergeCell ref="F1811:G1811"/>
    <mergeCell ref="F1809:G1809"/>
    <mergeCell ref="F1761:G1761"/>
    <mergeCell ref="F1538:G1538"/>
    <mergeCell ref="F1540:G1540"/>
    <mergeCell ref="F1581:G1581"/>
    <mergeCell ref="F1583:G1583"/>
    <mergeCell ref="F1575:G1575"/>
    <mergeCell ref="F1570:G1570"/>
    <mergeCell ref="F1572:G1572"/>
    <mergeCell ref="F1576:G1576"/>
    <mergeCell ref="F1579:G1579"/>
    <mergeCell ref="F1577:G1577"/>
    <mergeCell ref="F1532:G1532"/>
    <mergeCell ref="F1537:G1537"/>
    <mergeCell ref="F1552:G1552"/>
    <mergeCell ref="F1549:G1549"/>
    <mergeCell ref="F1554:G1554"/>
    <mergeCell ref="F1548:G1548"/>
    <mergeCell ref="F1544:G1544"/>
    <mergeCell ref="F1545:G1545"/>
    <mergeCell ref="F1553:G1553"/>
    <mergeCell ref="F1533:G1533"/>
    <mergeCell ref="F1558:G1558"/>
    <mergeCell ref="F1567:G1567"/>
    <mergeCell ref="F1571:G1571"/>
    <mergeCell ref="F1574:G1574"/>
    <mergeCell ref="C623:E623"/>
    <mergeCell ref="C824:E824"/>
    <mergeCell ref="C800:E800"/>
    <mergeCell ref="C771:E771"/>
    <mergeCell ref="C798:E798"/>
    <mergeCell ref="F1082:G1082"/>
    <mergeCell ref="F1281:G1281"/>
    <mergeCell ref="F1205:G1205"/>
    <mergeCell ref="F1322:G1322"/>
    <mergeCell ref="F1228:G1228"/>
    <mergeCell ref="C803:E803"/>
    <mergeCell ref="C816:E816"/>
    <mergeCell ref="C804:E804"/>
    <mergeCell ref="C1093:E1093"/>
    <mergeCell ref="C1107:E1107"/>
    <mergeCell ref="F1085:G1085"/>
    <mergeCell ref="F1068:G1068"/>
    <mergeCell ref="F1074:G1074"/>
    <mergeCell ref="F1316:G1316"/>
    <mergeCell ref="F1319:G1319"/>
    <mergeCell ref="F1080:G1080"/>
    <mergeCell ref="F1282:G1282"/>
    <mergeCell ref="F836:G836"/>
    <mergeCell ref="C823:E823"/>
    <mergeCell ref="C716:E716"/>
    <mergeCell ref="C742:E742"/>
    <mergeCell ref="C734:E734"/>
    <mergeCell ref="C1098:E1098"/>
    <mergeCell ref="C1153:E1153"/>
    <mergeCell ref="C1157:E1157"/>
    <mergeCell ref="C1119:E1119"/>
    <mergeCell ref="F855:G855"/>
    <mergeCell ref="C544:E544"/>
    <mergeCell ref="C548:E548"/>
    <mergeCell ref="C549:E549"/>
    <mergeCell ref="C607:E607"/>
    <mergeCell ref="C598:E598"/>
    <mergeCell ref="C599:E599"/>
    <mergeCell ref="C551:E551"/>
    <mergeCell ref="C567:E567"/>
    <mergeCell ref="C565:E565"/>
    <mergeCell ref="C553:E553"/>
    <mergeCell ref="C568:E568"/>
    <mergeCell ref="C781:E781"/>
    <mergeCell ref="C777:E777"/>
    <mergeCell ref="C793:E793"/>
    <mergeCell ref="C778:E778"/>
    <mergeCell ref="C552:E552"/>
    <mergeCell ref="C571:E571"/>
    <mergeCell ref="C566:E566"/>
    <mergeCell ref="C555:E555"/>
    <mergeCell ref="C560:E560"/>
    <mergeCell ref="C558:E558"/>
    <mergeCell ref="C726:E726"/>
    <mergeCell ref="C732:E732"/>
    <mergeCell ref="C737:E737"/>
    <mergeCell ref="C691:E691"/>
    <mergeCell ref="C692:E692"/>
    <mergeCell ref="C681:E681"/>
    <mergeCell ref="C645:E645"/>
    <mergeCell ref="C641:E641"/>
    <mergeCell ref="C648:E648"/>
    <mergeCell ref="C646:E646"/>
    <mergeCell ref="C650:E650"/>
    <mergeCell ref="C540:E540"/>
    <mergeCell ref="C446:E446"/>
    <mergeCell ref="C486:E486"/>
    <mergeCell ref="C458:E458"/>
    <mergeCell ref="C454:E454"/>
    <mergeCell ref="C462:E462"/>
    <mergeCell ref="C500:E500"/>
    <mergeCell ref="C482:E482"/>
    <mergeCell ref="C533:E533"/>
    <mergeCell ref="C495:E495"/>
    <mergeCell ref="C498:E498"/>
    <mergeCell ref="C531:E531"/>
    <mergeCell ref="C519:E519"/>
    <mergeCell ref="C532:E532"/>
    <mergeCell ref="C534:E534"/>
    <mergeCell ref="C537:E537"/>
    <mergeCell ref="C539:E539"/>
    <mergeCell ref="C535:E535"/>
    <mergeCell ref="C459:E459"/>
    <mergeCell ref="H366:I366"/>
    <mergeCell ref="H346:I346"/>
    <mergeCell ref="H329:I329"/>
    <mergeCell ref="H353:I353"/>
    <mergeCell ref="H351:I351"/>
    <mergeCell ref="C449:E449"/>
    <mergeCell ref="C443:E443"/>
    <mergeCell ref="C447:E447"/>
    <mergeCell ref="C367:E367"/>
    <mergeCell ref="C340:E340"/>
    <mergeCell ref="C435:E435"/>
    <mergeCell ref="C420:E420"/>
    <mergeCell ref="C378:E378"/>
    <mergeCell ref="C402:E402"/>
    <mergeCell ref="C371:E371"/>
    <mergeCell ref="C529:E529"/>
    <mergeCell ref="C530:E530"/>
    <mergeCell ref="C483:E483"/>
    <mergeCell ref="C474:E474"/>
    <mergeCell ref="H355:I355"/>
    <mergeCell ref="H356:I356"/>
    <mergeCell ref="H337:I337"/>
    <mergeCell ref="C332:E332"/>
    <mergeCell ref="H330:I330"/>
    <mergeCell ref="H331:I331"/>
    <mergeCell ref="C337:E337"/>
    <mergeCell ref="F334:G334"/>
    <mergeCell ref="C333:E333"/>
    <mergeCell ref="C331:E331"/>
    <mergeCell ref="C334:E334"/>
    <mergeCell ref="H348:I348"/>
    <mergeCell ref="H350:I350"/>
    <mergeCell ref="F254:G254"/>
    <mergeCell ref="C396:E396"/>
    <mergeCell ref="C399:E399"/>
    <mergeCell ref="C374:E374"/>
    <mergeCell ref="C384:E384"/>
    <mergeCell ref="C336:E336"/>
    <mergeCell ref="C338:E338"/>
    <mergeCell ref="C348:E348"/>
    <mergeCell ref="C355:E355"/>
    <mergeCell ref="C359:E359"/>
    <mergeCell ref="C352:E352"/>
    <mergeCell ref="C275:E275"/>
    <mergeCell ref="C268:E268"/>
    <mergeCell ref="C267:E267"/>
    <mergeCell ref="C273:E273"/>
    <mergeCell ref="C272:E272"/>
    <mergeCell ref="C271:E271"/>
    <mergeCell ref="C376:E376"/>
    <mergeCell ref="C395:E395"/>
    <mergeCell ref="C389:E389"/>
    <mergeCell ref="C388:E388"/>
    <mergeCell ref="C386:E386"/>
    <mergeCell ref="C381:E381"/>
    <mergeCell ref="C394:E394"/>
    <mergeCell ref="F326:G326"/>
    <mergeCell ref="F328:G328"/>
    <mergeCell ref="C321:E321"/>
    <mergeCell ref="F322:G322"/>
    <mergeCell ref="F318:G318"/>
    <mergeCell ref="C325:E325"/>
    <mergeCell ref="F335:G335"/>
    <mergeCell ref="F345:G345"/>
    <mergeCell ref="F225:G225"/>
    <mergeCell ref="C225:E225"/>
    <mergeCell ref="C226:E226"/>
    <mergeCell ref="F222:G222"/>
    <mergeCell ref="F228:G228"/>
    <mergeCell ref="C222:E222"/>
    <mergeCell ref="C223:E223"/>
    <mergeCell ref="F224:G224"/>
    <mergeCell ref="F221:G221"/>
    <mergeCell ref="C235:E235"/>
    <mergeCell ref="F220:G220"/>
    <mergeCell ref="H253:I253"/>
    <mergeCell ref="C220:E220"/>
    <mergeCell ref="F223:G223"/>
    <mergeCell ref="F253:G253"/>
    <mergeCell ref="F251:G251"/>
    <mergeCell ref="H252:I252"/>
    <mergeCell ref="F252:G252"/>
    <mergeCell ref="H232:I232"/>
    <mergeCell ref="H249:I249"/>
    <mergeCell ref="H243:I243"/>
    <mergeCell ref="H244:I244"/>
    <mergeCell ref="F245:G245"/>
    <mergeCell ref="H235:I235"/>
    <mergeCell ref="F234:G234"/>
    <mergeCell ref="H239:I239"/>
    <mergeCell ref="F241:G241"/>
    <mergeCell ref="H248:I248"/>
    <mergeCell ref="H230:I230"/>
    <mergeCell ref="H242:I242"/>
    <mergeCell ref="H237:I237"/>
    <mergeCell ref="H236:I236"/>
    <mergeCell ref="C390:E390"/>
    <mergeCell ref="C383:E383"/>
    <mergeCell ref="C408:E408"/>
    <mergeCell ref="C398:E398"/>
    <mergeCell ref="C392:E392"/>
    <mergeCell ref="C255:E255"/>
    <mergeCell ref="C313:E313"/>
    <mergeCell ref="C330:E330"/>
    <mergeCell ref="C316:E316"/>
    <mergeCell ref="C326:E326"/>
    <mergeCell ref="C329:E329"/>
    <mergeCell ref="C328:E328"/>
    <mergeCell ref="C317:E317"/>
    <mergeCell ref="C323:E323"/>
    <mergeCell ref="C319:E319"/>
    <mergeCell ref="C259:E259"/>
    <mergeCell ref="C261:E261"/>
    <mergeCell ref="C266:E266"/>
    <mergeCell ref="C262:E262"/>
    <mergeCell ref="C258:E258"/>
    <mergeCell ref="C264:E264"/>
    <mergeCell ref="C265:E265"/>
    <mergeCell ref="C260:E260"/>
    <mergeCell ref="C257:E257"/>
    <mergeCell ref="C350:E350"/>
    <mergeCell ref="C356:E356"/>
    <mergeCell ref="C360:E360"/>
    <mergeCell ref="C369:E369"/>
    <mergeCell ref="C501:E501"/>
    <mergeCell ref="C509:E509"/>
    <mergeCell ref="C518:E518"/>
    <mergeCell ref="C497:E497"/>
    <mergeCell ref="C520:E520"/>
    <mergeCell ref="C515:E515"/>
    <mergeCell ref="C511:E511"/>
    <mergeCell ref="C514:E514"/>
    <mergeCell ref="C510:E510"/>
    <mergeCell ref="C508:E508"/>
    <mergeCell ref="C527:E527"/>
    <mergeCell ref="C490:E490"/>
    <mergeCell ref="C499:E499"/>
    <mergeCell ref="C493:E493"/>
    <mergeCell ref="C461:E461"/>
    <mergeCell ref="C480:E480"/>
    <mergeCell ref="C479:E479"/>
    <mergeCell ref="C464:E464"/>
    <mergeCell ref="C496:E496"/>
    <mergeCell ref="C525:E525"/>
    <mergeCell ref="C465:E465"/>
    <mergeCell ref="C466:E466"/>
    <mergeCell ref="C478:E478"/>
    <mergeCell ref="C470:E470"/>
    <mergeCell ref="C477:E477"/>
    <mergeCell ref="C467:E467"/>
    <mergeCell ref="C463:E463"/>
    <mergeCell ref="C471:E471"/>
    <mergeCell ref="C473:E473"/>
    <mergeCell ref="C485:E485"/>
    <mergeCell ref="C468:E468"/>
    <mergeCell ref="C476:E476"/>
    <mergeCell ref="C1120:E1120"/>
    <mergeCell ref="C1134:E1134"/>
    <mergeCell ref="C1126:E1126"/>
    <mergeCell ref="C1132:E1132"/>
    <mergeCell ref="C1136:E1136"/>
    <mergeCell ref="C1140:E1140"/>
    <mergeCell ref="C1083:E1083"/>
    <mergeCell ref="C1152:E1152"/>
    <mergeCell ref="C1063:E1063"/>
    <mergeCell ref="C504:E504"/>
    <mergeCell ref="C1116:E1116"/>
    <mergeCell ref="C1109:E1109"/>
    <mergeCell ref="C1103:E1103"/>
    <mergeCell ref="C1112:E1112"/>
    <mergeCell ref="C1094:E1094"/>
    <mergeCell ref="C1115:E1115"/>
    <mergeCell ref="C522:E522"/>
    <mergeCell ref="C1056:E1056"/>
    <mergeCell ref="C1104:E1104"/>
    <mergeCell ref="C1095:E1095"/>
    <mergeCell ref="C1097:E1097"/>
    <mergeCell ref="C1066:E1066"/>
    <mergeCell ref="C1067:E1067"/>
    <mergeCell ref="C1101:E1101"/>
    <mergeCell ref="C1080:E1080"/>
    <mergeCell ref="C1084:E1084"/>
    <mergeCell ref="C541:E541"/>
    <mergeCell ref="C542:E542"/>
    <mergeCell ref="C1147:E1147"/>
    <mergeCell ref="C721:E721"/>
    <mergeCell ref="C720:E720"/>
    <mergeCell ref="C719:E719"/>
    <mergeCell ref="C1175:E1175"/>
    <mergeCell ref="C1150:E1150"/>
    <mergeCell ref="C1160:E1160"/>
    <mergeCell ref="C1151:E1151"/>
    <mergeCell ref="C1165:E1165"/>
    <mergeCell ref="C1171:E1171"/>
    <mergeCell ref="C1145:E1145"/>
    <mergeCell ref="C1162:E1162"/>
    <mergeCell ref="C1174:E1174"/>
    <mergeCell ref="C1144:E1144"/>
    <mergeCell ref="C1142:E1142"/>
    <mergeCell ref="C1158:E1158"/>
    <mergeCell ref="C1149:E1149"/>
    <mergeCell ref="C1146:E1146"/>
    <mergeCell ref="C1156:E1156"/>
    <mergeCell ref="C1148:E1148"/>
    <mergeCell ref="C1208:E1208"/>
    <mergeCell ref="C1206:E1206"/>
    <mergeCell ref="C1172:E1172"/>
    <mergeCell ref="C1170:E1170"/>
    <mergeCell ref="C1178:E1178"/>
    <mergeCell ref="C1189:E1189"/>
    <mergeCell ref="C1195:E1195"/>
    <mergeCell ref="C1154:E1154"/>
    <mergeCell ref="C1182:E1182"/>
    <mergeCell ref="C1173:E1173"/>
    <mergeCell ref="C1222:E1222"/>
    <mergeCell ref="C1228:E1228"/>
    <mergeCell ref="C1244:E1244"/>
    <mergeCell ref="C1239:E1239"/>
    <mergeCell ref="F1296:G1296"/>
    <mergeCell ref="F1291:G1291"/>
    <mergeCell ref="C1287:E1287"/>
    <mergeCell ref="C1294:E1294"/>
    <mergeCell ref="C1288:E1288"/>
    <mergeCell ref="C1290:E1290"/>
    <mergeCell ref="F1306:G1306"/>
    <mergeCell ref="C1300:E1300"/>
    <mergeCell ref="F1298:G1298"/>
    <mergeCell ref="F1287:G1287"/>
    <mergeCell ref="F1297:G1297"/>
    <mergeCell ref="F1272:G1272"/>
    <mergeCell ref="F1273:G1273"/>
    <mergeCell ref="F1278:G1278"/>
    <mergeCell ref="F1294:G1294"/>
    <mergeCell ref="F1279:G1279"/>
    <mergeCell ref="F1275:G1275"/>
    <mergeCell ref="C1295:E1295"/>
    <mergeCell ref="C1278:E1278"/>
    <mergeCell ref="C1270:E1270"/>
    <mergeCell ref="C1276:E1276"/>
    <mergeCell ref="C1282:E1282"/>
    <mergeCell ref="C1273:E1273"/>
    <mergeCell ref="C1266:E1266"/>
    <mergeCell ref="C1263:E1263"/>
    <mergeCell ref="F1264:G1264"/>
    <mergeCell ref="F1234:G1234"/>
    <mergeCell ref="F1269:G1269"/>
    <mergeCell ref="C1256:E1256"/>
    <mergeCell ref="F1258:G1258"/>
    <mergeCell ref="F1257:G1257"/>
    <mergeCell ref="C1269:E1269"/>
    <mergeCell ref="C1268:E1268"/>
    <mergeCell ref="C1335:E1335"/>
    <mergeCell ref="C1349:E1349"/>
    <mergeCell ref="F1371:G1371"/>
    <mergeCell ref="C1342:E1342"/>
    <mergeCell ref="C1354:E1354"/>
    <mergeCell ref="C1297:E1297"/>
    <mergeCell ref="C1305:E1305"/>
    <mergeCell ref="C1320:E1320"/>
    <mergeCell ref="C1313:E1313"/>
    <mergeCell ref="C1321:E1321"/>
    <mergeCell ref="C1302:E1302"/>
    <mergeCell ref="C1304:E1304"/>
    <mergeCell ref="C1310:E1310"/>
    <mergeCell ref="F1317:G1317"/>
    <mergeCell ref="F1329:G1329"/>
    <mergeCell ref="F1323:G1323"/>
    <mergeCell ref="C1306:E1306"/>
    <mergeCell ref="C1317:E1317"/>
    <mergeCell ref="C1341:E1341"/>
    <mergeCell ref="C1364:E1364"/>
    <mergeCell ref="C1359:E1359"/>
    <mergeCell ref="C1363:E1363"/>
    <mergeCell ref="C1312:E1312"/>
    <mergeCell ref="C1308:E1308"/>
    <mergeCell ref="F1313:G1313"/>
    <mergeCell ref="C1309:E1309"/>
    <mergeCell ref="C1340:E1340"/>
    <mergeCell ref="C1337:E1337"/>
    <mergeCell ref="C1298:E1298"/>
    <mergeCell ref="C1319:E1319"/>
    <mergeCell ref="F1676:G1676"/>
    <mergeCell ref="F1680:G1680"/>
    <mergeCell ref="F1682:G1682"/>
    <mergeCell ref="F1685:G1685"/>
    <mergeCell ref="F1705:G1705"/>
    <mergeCell ref="F1703:G1703"/>
    <mergeCell ref="F1681:G1681"/>
    <mergeCell ref="F1487:G1487"/>
    <mergeCell ref="F1462:G1462"/>
    <mergeCell ref="F1427:G1427"/>
    <mergeCell ref="F1448:G1448"/>
    <mergeCell ref="F1460:G1460"/>
    <mergeCell ref="F1485:G1485"/>
    <mergeCell ref="F1479:G1479"/>
    <mergeCell ref="F1471:G1471"/>
    <mergeCell ref="F1465:G1465"/>
    <mergeCell ref="F1477:G1477"/>
    <mergeCell ref="F1469:G1469"/>
    <mergeCell ref="F1470:G1470"/>
    <mergeCell ref="F1472:G1472"/>
    <mergeCell ref="F1486:G1486"/>
    <mergeCell ref="F1480:G1480"/>
    <mergeCell ref="F1328:G1328"/>
    <mergeCell ref="F1508:G1508"/>
    <mergeCell ref="F1719:G1719"/>
    <mergeCell ref="F1713:G1713"/>
    <mergeCell ref="F1786:G1786"/>
    <mergeCell ref="F1793:G1793"/>
    <mergeCell ref="F1468:G1468"/>
    <mergeCell ref="F1473:G1473"/>
    <mergeCell ref="F1476:G1476"/>
    <mergeCell ref="F1463:G1463"/>
    <mergeCell ref="F1454:G1454"/>
    <mergeCell ref="F1452:G1452"/>
    <mergeCell ref="F1458:G1458"/>
    <mergeCell ref="F1528:G1528"/>
    <mergeCell ref="F1536:G1536"/>
    <mergeCell ref="H1680:I1680"/>
    <mergeCell ref="H1684:I1684"/>
    <mergeCell ref="H1681:I1681"/>
    <mergeCell ref="F1783:G1783"/>
    <mergeCell ref="H1686:I1686"/>
    <mergeCell ref="F1687:G1687"/>
    <mergeCell ref="F1688:G1688"/>
    <mergeCell ref="F1704:G1704"/>
    <mergeCell ref="F1707:G1707"/>
    <mergeCell ref="F1706:G1706"/>
    <mergeCell ref="F1712:G1712"/>
    <mergeCell ref="F1792:G1792"/>
    <mergeCell ref="F1773:G1773"/>
    <mergeCell ref="F1771:G1771"/>
    <mergeCell ref="F1772:G1772"/>
    <mergeCell ref="H1773:I1773"/>
    <mergeCell ref="H1772:I1772"/>
    <mergeCell ref="F1762:G1762"/>
    <mergeCell ref="H1779:I1779"/>
    <mergeCell ref="F1924:G1924"/>
    <mergeCell ref="F1913:G1913"/>
    <mergeCell ref="F1903:G1903"/>
    <mergeCell ref="F1905:G1905"/>
    <mergeCell ref="F1930:G1930"/>
    <mergeCell ref="F1891:G1891"/>
    <mergeCell ref="H1791:I1791"/>
    <mergeCell ref="H1783:I1783"/>
    <mergeCell ref="F1763:G1763"/>
    <mergeCell ref="F1785:G1785"/>
    <mergeCell ref="F1692:G1692"/>
    <mergeCell ref="F1853:G1853"/>
    <mergeCell ref="F1847:G1847"/>
    <mergeCell ref="F1806:G1806"/>
    <mergeCell ref="F1755:G1755"/>
    <mergeCell ref="F1822:G1822"/>
    <mergeCell ref="F1788:G1788"/>
    <mergeCell ref="F1836:G1836"/>
    <mergeCell ref="F1849:G1849"/>
    <mergeCell ref="F1842:G1842"/>
    <mergeCell ref="F1861:G1861"/>
    <mergeCell ref="F1816:G1816"/>
    <mergeCell ref="F1827:G1827"/>
    <mergeCell ref="F1845:G1845"/>
    <mergeCell ref="F1854:G1854"/>
    <mergeCell ref="F1852:G1852"/>
    <mergeCell ref="F1825:G1825"/>
    <mergeCell ref="F1844:G1844"/>
    <mergeCell ref="F1818:G1818"/>
    <mergeCell ref="F1829:G1829"/>
    <mergeCell ref="F1828:G1828"/>
    <mergeCell ref="F1791:G1791"/>
    <mergeCell ref="F1947:G1947"/>
    <mergeCell ref="F1941:G1941"/>
    <mergeCell ref="F1936:G1936"/>
    <mergeCell ref="F1934:G1934"/>
    <mergeCell ref="F1935:G1935"/>
    <mergeCell ref="F1945:G1945"/>
    <mergeCell ref="F1939:G1939"/>
    <mergeCell ref="F1938:G1938"/>
    <mergeCell ref="F1943:G1943"/>
    <mergeCell ref="F1946:G1946"/>
    <mergeCell ref="F1929:G1929"/>
    <mergeCell ref="F1923:G1923"/>
    <mergeCell ref="F1907:G1907"/>
    <mergeCell ref="F1886:G1886"/>
    <mergeCell ref="F1931:G1931"/>
    <mergeCell ref="F1925:G1925"/>
    <mergeCell ref="F1927:G1927"/>
    <mergeCell ref="F1887:G1887"/>
    <mergeCell ref="F1909:G1909"/>
    <mergeCell ref="F1918:G1918"/>
    <mergeCell ref="F1932:G1932"/>
    <mergeCell ref="F1944:G1944"/>
    <mergeCell ref="F1940:G1940"/>
    <mergeCell ref="F1942:G1942"/>
    <mergeCell ref="F1933:G1933"/>
    <mergeCell ref="F1937:G1937"/>
    <mergeCell ref="F1902:G1902"/>
    <mergeCell ref="F1928:G1928"/>
    <mergeCell ref="F1926:G1926"/>
    <mergeCell ref="F1908:G1908"/>
    <mergeCell ref="F1904:G1904"/>
    <mergeCell ref="F1911:G1911"/>
    <mergeCell ref="H1961:I1961"/>
    <mergeCell ref="H1965:I1965"/>
    <mergeCell ref="H1953:I1953"/>
    <mergeCell ref="F1961:G1961"/>
    <mergeCell ref="H1963:I1963"/>
    <mergeCell ref="H1956:I1956"/>
    <mergeCell ref="H1954:I1954"/>
    <mergeCell ref="H1959:I1959"/>
    <mergeCell ref="H1955:I1955"/>
    <mergeCell ref="F1959:G1959"/>
    <mergeCell ref="F1956:G1956"/>
    <mergeCell ref="F1963:G1963"/>
    <mergeCell ref="F1970:G1970"/>
    <mergeCell ref="F1954:G1954"/>
    <mergeCell ref="F1948:G1948"/>
    <mergeCell ref="F1952:G1952"/>
    <mergeCell ref="F1951:G1951"/>
    <mergeCell ref="F1958:G1958"/>
    <mergeCell ref="F1953:G1953"/>
    <mergeCell ref="F1955:G1955"/>
    <mergeCell ref="F1949:G1949"/>
    <mergeCell ref="H1969:I1969"/>
    <mergeCell ref="H2062:I2062"/>
    <mergeCell ref="H2066:I2066"/>
    <mergeCell ref="H2075:I2075"/>
    <mergeCell ref="H2028:I2028"/>
    <mergeCell ref="H2033:I2033"/>
    <mergeCell ref="H2042:I2042"/>
    <mergeCell ref="H2052:I2052"/>
    <mergeCell ref="H2051:I2051"/>
    <mergeCell ref="H2043:I2043"/>
    <mergeCell ref="H2072:I2072"/>
    <mergeCell ref="F2028:G2028"/>
    <mergeCell ref="H2065:I2065"/>
    <mergeCell ref="F2029:G2029"/>
    <mergeCell ref="H2023:I2023"/>
    <mergeCell ref="H2024:I2024"/>
    <mergeCell ref="F2022:G2022"/>
    <mergeCell ref="F2026:G2026"/>
    <mergeCell ref="H2058:I2058"/>
    <mergeCell ref="H2074:I2074"/>
    <mergeCell ref="H2054:I2054"/>
    <mergeCell ref="H2032:I2032"/>
    <mergeCell ref="F2059:G2059"/>
    <mergeCell ref="F2070:G2070"/>
    <mergeCell ref="H2045:I2045"/>
    <mergeCell ref="H2047:I2047"/>
    <mergeCell ref="H2049:I2049"/>
    <mergeCell ref="H2044:I2044"/>
    <mergeCell ref="F2039:G2039"/>
    <mergeCell ref="F2033:G2033"/>
    <mergeCell ref="F2027:G2027"/>
    <mergeCell ref="F2042:G2042"/>
    <mergeCell ref="F2031:G2031"/>
    <mergeCell ref="H2198:I2198"/>
    <mergeCell ref="F2194:G2194"/>
    <mergeCell ref="F2190:G2190"/>
    <mergeCell ref="H2179:I2179"/>
    <mergeCell ref="F2182:G2182"/>
    <mergeCell ref="H2180:I2180"/>
    <mergeCell ref="H2181:I2181"/>
    <mergeCell ref="F2186:G2186"/>
    <mergeCell ref="F2189:G2189"/>
    <mergeCell ref="F2187:G2187"/>
    <mergeCell ref="H2186:I2186"/>
    <mergeCell ref="F2185:G2185"/>
    <mergeCell ref="H2185:I2185"/>
    <mergeCell ref="F2155:G2155"/>
    <mergeCell ref="F2146:G2146"/>
    <mergeCell ref="F2156:G2156"/>
    <mergeCell ref="F2150:G2150"/>
    <mergeCell ref="H2192:I2192"/>
    <mergeCell ref="H2166:I2166"/>
    <mergeCell ref="H2167:I2167"/>
    <mergeCell ref="H2169:I2169"/>
    <mergeCell ref="H2176:I2176"/>
    <mergeCell ref="H2174:I2174"/>
    <mergeCell ref="F2147:G2147"/>
    <mergeCell ref="H2152:I2152"/>
    <mergeCell ref="F2178:G2178"/>
    <mergeCell ref="F2154:G2154"/>
    <mergeCell ref="F2158:G2158"/>
    <mergeCell ref="F2160:G2160"/>
    <mergeCell ref="F2174:G2174"/>
    <mergeCell ref="F2193:G2193"/>
    <mergeCell ref="F2195:G2195"/>
    <mergeCell ref="H2236:I2236"/>
    <mergeCell ref="H2233:I2233"/>
    <mergeCell ref="H2240:I2240"/>
    <mergeCell ref="H2237:I2237"/>
    <mergeCell ref="H2238:I2238"/>
    <mergeCell ref="F2240:G2240"/>
    <mergeCell ref="F2237:G2237"/>
    <mergeCell ref="H2235:I2235"/>
    <mergeCell ref="H2229:I2229"/>
    <mergeCell ref="H2234:I2234"/>
    <mergeCell ref="H2230:I2230"/>
    <mergeCell ref="H2232:I2232"/>
    <mergeCell ref="F2233:G2233"/>
    <mergeCell ref="F2234:G2234"/>
    <mergeCell ref="F2247:G2247"/>
    <mergeCell ref="F2235:G2235"/>
    <mergeCell ref="F2207:G2207"/>
    <mergeCell ref="F2210:G2210"/>
    <mergeCell ref="F2219:G2219"/>
    <mergeCell ref="F2230:G2230"/>
    <mergeCell ref="F2232:G2232"/>
    <mergeCell ref="F2231:G2231"/>
    <mergeCell ref="F2213:G2213"/>
    <mergeCell ref="H2226:I2226"/>
    <mergeCell ref="F2222:G2222"/>
    <mergeCell ref="H2220:I2220"/>
    <mergeCell ref="H2231:I2231"/>
    <mergeCell ref="H2228:I2228"/>
    <mergeCell ref="H2225:I2225"/>
    <mergeCell ref="H2221:I2221"/>
    <mergeCell ref="H2227:I2227"/>
    <mergeCell ref="F2217:G2217"/>
    <mergeCell ref="H2273:I2273"/>
    <mergeCell ref="H2276:I2276"/>
    <mergeCell ref="H2256:I2256"/>
    <mergeCell ref="H2263:I2263"/>
    <mergeCell ref="H2262:I2262"/>
    <mergeCell ref="H2269:I2269"/>
    <mergeCell ref="H2264:I2264"/>
    <mergeCell ref="H2265:I2265"/>
    <mergeCell ref="H2261:I2261"/>
    <mergeCell ref="H2249:I2249"/>
    <mergeCell ref="H2243:I2243"/>
    <mergeCell ref="H2251:I2251"/>
    <mergeCell ref="H2252:I2252"/>
    <mergeCell ref="H2246:I2246"/>
    <mergeCell ref="H2241:I2241"/>
    <mergeCell ref="H2248:I2248"/>
    <mergeCell ref="H2247:I2247"/>
    <mergeCell ref="H2245:I2245"/>
    <mergeCell ref="H2270:I2270"/>
    <mergeCell ref="H2267:I2267"/>
    <mergeCell ref="H2341:I2341"/>
    <mergeCell ref="H2339:I2339"/>
    <mergeCell ref="H2338:I2338"/>
    <mergeCell ref="H2317:I2317"/>
    <mergeCell ref="H2328:I2328"/>
    <mergeCell ref="H2345:I2345"/>
    <mergeCell ref="H2322:I2322"/>
    <mergeCell ref="H2332:I2332"/>
    <mergeCell ref="H2326:I2326"/>
    <mergeCell ref="H2320:I2320"/>
    <mergeCell ref="H2323:I2323"/>
    <mergeCell ref="H2319:I2319"/>
    <mergeCell ref="H2325:I2325"/>
    <mergeCell ref="H2282:I2282"/>
    <mergeCell ref="H2284:I2284"/>
    <mergeCell ref="H2274:I2274"/>
    <mergeCell ref="H2331:I2331"/>
    <mergeCell ref="H2321:I2321"/>
    <mergeCell ref="H2315:I2315"/>
    <mergeCell ref="H2313:I2313"/>
    <mergeCell ref="H2279:I2279"/>
    <mergeCell ref="H2283:I2283"/>
    <mergeCell ref="H2280:I2280"/>
    <mergeCell ref="H2277:I2277"/>
    <mergeCell ref="H2303:I2303"/>
    <mergeCell ref="H2286:I2286"/>
    <mergeCell ref="H2275:I2275"/>
    <mergeCell ref="H2285:I2285"/>
    <mergeCell ref="H2305:I2305"/>
    <mergeCell ref="H2302:I2302"/>
    <mergeCell ref="H2290:I2290"/>
    <mergeCell ref="H2311:I2311"/>
    <mergeCell ref="H2378:I2378"/>
    <mergeCell ref="F2365:G2365"/>
    <mergeCell ref="F2389:G2389"/>
    <mergeCell ref="H2384:I2384"/>
    <mergeCell ref="F2379:G2379"/>
    <mergeCell ref="H2382:I2382"/>
    <mergeCell ref="H2374:I2374"/>
    <mergeCell ref="H2362:I2362"/>
    <mergeCell ref="H2363:I2363"/>
    <mergeCell ref="H2368:I2368"/>
    <mergeCell ref="F2363:G2363"/>
    <mergeCell ref="H2366:I2366"/>
    <mergeCell ref="H2380:I2380"/>
    <mergeCell ref="F2373:G2373"/>
    <mergeCell ref="H2357:I2357"/>
    <mergeCell ref="H2352:I2352"/>
    <mergeCell ref="F2354:G2354"/>
    <mergeCell ref="F2352:G2352"/>
    <mergeCell ref="F2356:G2356"/>
    <mergeCell ref="H2361:I2361"/>
    <mergeCell ref="H2359:I2359"/>
    <mergeCell ref="H2360:I2360"/>
    <mergeCell ref="F2355:G2355"/>
    <mergeCell ref="H2369:I2369"/>
    <mergeCell ref="H2376:I2376"/>
    <mergeCell ref="H2372:I2372"/>
    <mergeCell ref="H2354:I2354"/>
    <mergeCell ref="H2358:I2358"/>
    <mergeCell ref="H2375:I2375"/>
    <mergeCell ref="H2365:I2365"/>
    <mergeCell ref="F2372:G2372"/>
    <mergeCell ref="F2388:G2388"/>
    <mergeCell ref="F2400:G2400"/>
    <mergeCell ref="F2396:G2396"/>
    <mergeCell ref="F2393:G2393"/>
    <mergeCell ref="F2392:G2392"/>
    <mergeCell ref="H2400:I2400"/>
    <mergeCell ref="H2394:I2394"/>
    <mergeCell ref="H2402:I2402"/>
    <mergeCell ref="H2399:I2399"/>
    <mergeCell ref="F2404:G2404"/>
    <mergeCell ref="F2401:G2401"/>
    <mergeCell ref="H2410:I2410"/>
    <mergeCell ref="F2405:G2405"/>
    <mergeCell ref="H2415:I2415"/>
    <mergeCell ref="H2385:I2385"/>
    <mergeCell ref="H2386:I2386"/>
    <mergeCell ref="F2385:G2385"/>
    <mergeCell ref="F2387:G2387"/>
    <mergeCell ref="F2391:G2391"/>
    <mergeCell ref="H2395:I2395"/>
    <mergeCell ref="H2401:I2401"/>
    <mergeCell ref="H2404:I2404"/>
    <mergeCell ref="H2407:I2407"/>
    <mergeCell ref="H2387:I2387"/>
    <mergeCell ref="F2390:G2390"/>
    <mergeCell ref="H2390:I2390"/>
    <mergeCell ref="F2386:G2386"/>
    <mergeCell ref="F2403:G2403"/>
    <mergeCell ref="F2399:G2399"/>
    <mergeCell ref="F2395:G2395"/>
    <mergeCell ref="F2397:G2397"/>
    <mergeCell ref="F2412:G2412"/>
    <mergeCell ref="F2407:G2407"/>
    <mergeCell ref="H2427:I2427"/>
    <mergeCell ref="F2442:G2442"/>
    <mergeCell ref="F2468:G2468"/>
    <mergeCell ref="F2445:G2445"/>
    <mergeCell ref="F2462:G2462"/>
    <mergeCell ref="F2466:G2466"/>
    <mergeCell ref="H2439:I2439"/>
    <mergeCell ref="H2438:I2438"/>
    <mergeCell ref="H2457:I2457"/>
    <mergeCell ref="F2402:G2402"/>
    <mergeCell ref="H2425:I2425"/>
    <mergeCell ref="F2415:G2415"/>
    <mergeCell ref="F2413:G2413"/>
    <mergeCell ref="F2457:G2457"/>
    <mergeCell ref="F2449:G2449"/>
    <mergeCell ref="F2444:G2444"/>
    <mergeCell ref="F2454:G2454"/>
    <mergeCell ref="F2456:G2456"/>
    <mergeCell ref="F2455:G2455"/>
    <mergeCell ref="F2439:G2439"/>
    <mergeCell ref="F2446:G2446"/>
    <mergeCell ref="F2443:G2443"/>
    <mergeCell ref="F2447:G2447"/>
    <mergeCell ref="H2416:I2416"/>
    <mergeCell ref="H2458:I2458"/>
    <mergeCell ref="H2406:I2406"/>
    <mergeCell ref="H2451:I2451"/>
    <mergeCell ref="F2406:G2406"/>
    <mergeCell ref="F2409:G2409"/>
    <mergeCell ref="F2411:G2411"/>
    <mergeCell ref="F2410:G2410"/>
    <mergeCell ref="F2408:G2408"/>
    <mergeCell ref="H2529:I2529"/>
    <mergeCell ref="F2528:G2528"/>
    <mergeCell ref="F2540:G2540"/>
    <mergeCell ref="F2541:G2541"/>
    <mergeCell ref="H2534:I2534"/>
    <mergeCell ref="H2516:I2516"/>
    <mergeCell ref="H2502:I2502"/>
    <mergeCell ref="H2450:I2450"/>
    <mergeCell ref="H2512:I2512"/>
    <mergeCell ref="H2519:I2519"/>
    <mergeCell ref="H2440:I2440"/>
    <mergeCell ref="H2503:I2503"/>
    <mergeCell ref="H2513:I2513"/>
    <mergeCell ref="H2446:I2446"/>
    <mergeCell ref="H2491:I2491"/>
    <mergeCell ref="F2479:G2479"/>
    <mergeCell ref="H2488:I2488"/>
    <mergeCell ref="H2483:I2483"/>
    <mergeCell ref="H2468:I2468"/>
    <mergeCell ref="F2464:G2464"/>
    <mergeCell ref="F2480:G2480"/>
    <mergeCell ref="H2471:I2471"/>
    <mergeCell ref="H2472:I2472"/>
    <mergeCell ref="H2475:I2475"/>
    <mergeCell ref="H2473:I2473"/>
    <mergeCell ref="F2478:G2478"/>
    <mergeCell ref="F2452:G2452"/>
    <mergeCell ref="F2451:G2451"/>
    <mergeCell ref="F2487:G2487"/>
    <mergeCell ref="H2448:I2448"/>
    <mergeCell ref="H2441:I2441"/>
    <mergeCell ref="F2458:G2458"/>
    <mergeCell ref="H2612:I2612"/>
    <mergeCell ref="F2620:G2620"/>
    <mergeCell ref="H2568:I2568"/>
    <mergeCell ref="H2562:I2562"/>
    <mergeCell ref="F2564:G2564"/>
    <mergeCell ref="H2569:I2569"/>
    <mergeCell ref="F2566:G2566"/>
    <mergeCell ref="F2568:G2568"/>
    <mergeCell ref="H2563:I2563"/>
    <mergeCell ref="H2564:I2564"/>
    <mergeCell ref="H2566:I2566"/>
    <mergeCell ref="F2563:G2563"/>
    <mergeCell ref="H2567:I2567"/>
    <mergeCell ref="F2752:G2752"/>
    <mergeCell ref="F2756:G2756"/>
    <mergeCell ref="H2753:I2753"/>
    <mergeCell ref="H2759:I2759"/>
    <mergeCell ref="H2756:I2756"/>
    <mergeCell ref="H2754:I2754"/>
    <mergeCell ref="H2755:I2755"/>
    <mergeCell ref="F2747:G2747"/>
    <mergeCell ref="H2740:I2740"/>
    <mergeCell ref="F2743:G2743"/>
    <mergeCell ref="H2745:I2745"/>
    <mergeCell ref="H2742:I2742"/>
    <mergeCell ref="F2749:G2749"/>
    <mergeCell ref="F2746:G2746"/>
    <mergeCell ref="H2744:I2744"/>
    <mergeCell ref="H2749:I2749"/>
    <mergeCell ref="H2748:I2748"/>
    <mergeCell ref="H2743:I2743"/>
    <mergeCell ref="H2741:I2741"/>
    <mergeCell ref="F2742:G2742"/>
    <mergeCell ref="F2740:G2740"/>
    <mergeCell ref="H2776:I2776"/>
    <mergeCell ref="H2775:I2775"/>
    <mergeCell ref="H2773:I2773"/>
    <mergeCell ref="H2774:I2774"/>
    <mergeCell ref="H2770:I2770"/>
    <mergeCell ref="F2767:G2767"/>
    <mergeCell ref="H2771:I2771"/>
    <mergeCell ref="F2775:G2775"/>
    <mergeCell ref="F2772:G2772"/>
    <mergeCell ref="H2768:I2768"/>
    <mergeCell ref="F2766:G2766"/>
    <mergeCell ref="F2768:G2768"/>
    <mergeCell ref="F2770:G2770"/>
    <mergeCell ref="H2758:I2758"/>
    <mergeCell ref="H2757:I2757"/>
    <mergeCell ref="F2758:G2758"/>
    <mergeCell ref="H2764:I2764"/>
    <mergeCell ref="F2757:G2757"/>
    <mergeCell ref="F2761:G2761"/>
    <mergeCell ref="F2759:G2759"/>
    <mergeCell ref="F2760:G2760"/>
    <mergeCell ref="F2764:G2764"/>
    <mergeCell ref="F2762:G2762"/>
    <mergeCell ref="H2763:I2763"/>
    <mergeCell ref="F2739:G2739"/>
    <mergeCell ref="F2735:G2735"/>
    <mergeCell ref="F2721:G2721"/>
    <mergeCell ref="F2730:G2730"/>
    <mergeCell ref="H2736:I2736"/>
    <mergeCell ref="H2723:I2723"/>
    <mergeCell ref="H2735:I2735"/>
    <mergeCell ref="H2726:I2726"/>
    <mergeCell ref="H2709:I2709"/>
    <mergeCell ref="H2724:I2724"/>
    <mergeCell ref="H2719:I2719"/>
    <mergeCell ref="H2732:I2732"/>
    <mergeCell ref="H2730:I2730"/>
    <mergeCell ref="H2716:I2716"/>
    <mergeCell ref="H2720:I2720"/>
    <mergeCell ref="H2722:I2722"/>
    <mergeCell ref="H2729:I2729"/>
    <mergeCell ref="H2725:I2725"/>
    <mergeCell ref="F2727:G2727"/>
    <mergeCell ref="F2734:G2734"/>
    <mergeCell ref="F2726:G2726"/>
    <mergeCell ref="H2727:I2727"/>
    <mergeCell ref="H2737:I2737"/>
    <mergeCell ref="H2734:I2734"/>
    <mergeCell ref="H2728:I2728"/>
    <mergeCell ref="H2731:I2731"/>
    <mergeCell ref="H2733:I2733"/>
    <mergeCell ref="H2721:I2721"/>
    <mergeCell ref="H2738:I2738"/>
    <mergeCell ref="F2731:G2731"/>
    <mergeCell ref="F2732:G2732"/>
    <mergeCell ref="F2714:G2714"/>
    <mergeCell ref="H2618:I2618"/>
    <mergeCell ref="H2674:I2674"/>
    <mergeCell ref="H2702:I2702"/>
    <mergeCell ref="H2705:I2705"/>
    <mergeCell ref="H2704:I2704"/>
    <mergeCell ref="H2707:I2707"/>
    <mergeCell ref="H2700:I2700"/>
    <mergeCell ref="H2699:I2699"/>
    <mergeCell ref="H2686:I2686"/>
    <mergeCell ref="H2701:I2701"/>
    <mergeCell ref="H2706:I2706"/>
    <mergeCell ref="H2711:I2711"/>
    <mergeCell ref="F2724:G2724"/>
    <mergeCell ref="F2710:G2710"/>
    <mergeCell ref="H2718:I2718"/>
    <mergeCell ref="H2712:I2712"/>
    <mergeCell ref="H2710:I2710"/>
    <mergeCell ref="H2717:I2717"/>
    <mergeCell ref="F2715:G2715"/>
    <mergeCell ref="H2714:I2714"/>
    <mergeCell ref="F2661:G2661"/>
    <mergeCell ref="F2665:G2665"/>
    <mergeCell ref="F2664:G2664"/>
    <mergeCell ref="F2681:G2681"/>
    <mergeCell ref="F2651:G2651"/>
    <mergeCell ref="F2652:G2652"/>
    <mergeCell ref="F2676:G2676"/>
    <mergeCell ref="F2653:G2653"/>
    <mergeCell ref="F2663:G2663"/>
    <mergeCell ref="F2636:G2636"/>
    <mergeCell ref="F2655:G2655"/>
    <mergeCell ref="F2640:G2640"/>
    <mergeCell ref="H2587:I2587"/>
    <mergeCell ref="H2586:I2586"/>
    <mergeCell ref="H2580:I2580"/>
    <mergeCell ref="H2555:I2555"/>
    <mergeCell ref="H2540:I2540"/>
    <mergeCell ref="H2552:I2552"/>
    <mergeCell ref="H2543:I2543"/>
    <mergeCell ref="H2561:I2561"/>
    <mergeCell ref="H2550:I2550"/>
    <mergeCell ref="H2545:I2545"/>
    <mergeCell ref="H2584:I2584"/>
    <mergeCell ref="H2574:I2574"/>
    <mergeCell ref="H2576:I2576"/>
    <mergeCell ref="H2591:I2591"/>
    <mergeCell ref="H2609:I2609"/>
    <mergeCell ref="H2597:I2597"/>
    <mergeCell ref="H2605:I2605"/>
    <mergeCell ref="H2592:I2592"/>
    <mergeCell ref="H2588:I2588"/>
    <mergeCell ref="H2585:I2585"/>
    <mergeCell ref="H2590:I2590"/>
    <mergeCell ref="H2557:I2557"/>
    <mergeCell ref="H2558:I2558"/>
    <mergeCell ref="H2560:I2560"/>
    <mergeCell ref="H2559:I2559"/>
    <mergeCell ref="H2556:I2556"/>
    <mergeCell ref="H2604:I2604"/>
    <mergeCell ref="H2573:I2573"/>
    <mergeCell ref="H2577:I2577"/>
    <mergeCell ref="H2582:I2582"/>
    <mergeCell ref="H2541:I2541"/>
    <mergeCell ref="H2547:I2547"/>
    <mergeCell ref="H2356:I2356"/>
    <mergeCell ref="H2412:I2412"/>
    <mergeCell ref="H2443:I2443"/>
    <mergeCell ref="H2420:I2420"/>
    <mergeCell ref="H2447:I2447"/>
    <mergeCell ref="H2312:I2312"/>
    <mergeCell ref="H2310:I2310"/>
    <mergeCell ref="H2307:I2307"/>
    <mergeCell ref="H2414:I2414"/>
    <mergeCell ref="H2413:I2413"/>
    <mergeCell ref="H2411:I2411"/>
    <mergeCell ref="H2398:I2398"/>
    <mergeCell ref="H2393:I2393"/>
    <mergeCell ref="H2377:I2377"/>
    <mergeCell ref="H2391:I2391"/>
    <mergeCell ref="H2316:I2316"/>
    <mergeCell ref="H2347:I2347"/>
    <mergeCell ref="H2355:I2355"/>
    <mergeCell ref="H2422:I2422"/>
    <mergeCell ref="H2419:I2419"/>
    <mergeCell ref="H2430:I2430"/>
    <mergeCell ref="H2397:I2397"/>
    <mergeCell ref="H2392:I2392"/>
    <mergeCell ref="H2403:I2403"/>
    <mergeCell ref="H2409:I2409"/>
    <mergeCell ref="H2364:I2364"/>
    <mergeCell ref="H2367:I2367"/>
    <mergeCell ref="H2370:I2370"/>
    <mergeCell ref="H2373:I2373"/>
    <mergeCell ref="H2353:I2353"/>
    <mergeCell ref="H2314:I2314"/>
    <mergeCell ref="H2309:I2309"/>
    <mergeCell ref="H2346:I2346"/>
    <mergeCell ref="H2344:I2344"/>
    <mergeCell ref="H2343:I2343"/>
    <mergeCell ref="H2351:I2351"/>
    <mergeCell ref="H2334:I2334"/>
    <mergeCell ref="H2348:I2348"/>
    <mergeCell ref="H2350:I2350"/>
    <mergeCell ref="H2337:I2337"/>
    <mergeCell ref="H2340:I2340"/>
    <mergeCell ref="H2342:I2342"/>
    <mergeCell ref="H2349:I2349"/>
    <mergeCell ref="H2182:I2182"/>
    <mergeCell ref="H2177:I2177"/>
    <mergeCell ref="H2178:I2178"/>
    <mergeCell ref="F2163:G2163"/>
    <mergeCell ref="F2161:G2161"/>
    <mergeCell ref="H2175:I2175"/>
    <mergeCell ref="H2173:I2173"/>
    <mergeCell ref="H2164:I2164"/>
    <mergeCell ref="F2171:G2171"/>
    <mergeCell ref="F2164:G2164"/>
    <mergeCell ref="H2223:I2223"/>
    <mergeCell ref="H2224:I2224"/>
    <mergeCell ref="H2183:I2183"/>
    <mergeCell ref="F2183:G2183"/>
    <mergeCell ref="F2176:G2176"/>
    <mergeCell ref="F2181:G2181"/>
    <mergeCell ref="F2223:G2223"/>
    <mergeCell ref="H2200:I2200"/>
    <mergeCell ref="H2202:I2202"/>
    <mergeCell ref="H2197:I2197"/>
    <mergeCell ref="H2201:I2201"/>
    <mergeCell ref="H2205:I2205"/>
    <mergeCell ref="H2203:I2203"/>
    <mergeCell ref="H2199:I2199"/>
    <mergeCell ref="H2204:I2204"/>
    <mergeCell ref="F2204:G2204"/>
    <mergeCell ref="H2190:I2190"/>
    <mergeCell ref="H2191:I2191"/>
    <mergeCell ref="F2198:G2198"/>
    <mergeCell ref="F2191:G2191"/>
    <mergeCell ref="H2196:I2196"/>
    <mergeCell ref="H2100:I2100"/>
    <mergeCell ref="F2101:G2101"/>
    <mergeCell ref="F2100:G2100"/>
    <mergeCell ref="F2092:G2092"/>
    <mergeCell ref="H2163:I2163"/>
    <mergeCell ref="H2171:I2171"/>
    <mergeCell ref="H2168:I2168"/>
    <mergeCell ref="H2141:I2141"/>
    <mergeCell ref="H2148:I2148"/>
    <mergeCell ref="H2170:I2170"/>
    <mergeCell ref="H2165:I2165"/>
    <mergeCell ref="H2155:I2155"/>
    <mergeCell ref="H2154:I2154"/>
    <mergeCell ref="H2156:I2156"/>
    <mergeCell ref="H2161:I2161"/>
    <mergeCell ref="F2165:G2165"/>
    <mergeCell ref="H2159:I2159"/>
    <mergeCell ref="F2120:G2120"/>
    <mergeCell ref="F2122:G2122"/>
    <mergeCell ref="F2143:G2143"/>
    <mergeCell ref="H2103:I2103"/>
    <mergeCell ref="H2092:I2092"/>
    <mergeCell ref="H2096:I2096"/>
    <mergeCell ref="F2095:G2095"/>
    <mergeCell ref="H2102:I2102"/>
    <mergeCell ref="H2093:I2093"/>
    <mergeCell ref="F2145:G2145"/>
    <mergeCell ref="H2079:I2079"/>
    <mergeCell ref="H2083:I2083"/>
    <mergeCell ref="H2056:I2056"/>
    <mergeCell ref="H2046:I2046"/>
    <mergeCell ref="H2055:I2055"/>
    <mergeCell ref="H2053:I2053"/>
    <mergeCell ref="H2064:I2064"/>
    <mergeCell ref="H2050:I2050"/>
    <mergeCell ref="H2078:I2078"/>
    <mergeCell ref="H2084:I2084"/>
    <mergeCell ref="F2083:G2083"/>
    <mergeCell ref="H2070:I2070"/>
    <mergeCell ref="H2080:I2080"/>
    <mergeCell ref="H2089:I2089"/>
    <mergeCell ref="H2082:I2082"/>
    <mergeCell ref="H2081:I2081"/>
    <mergeCell ref="H2077:I2077"/>
    <mergeCell ref="H2071:I2071"/>
    <mergeCell ref="H2073:I2073"/>
    <mergeCell ref="H2087:I2087"/>
    <mergeCell ref="H2067:I2067"/>
    <mergeCell ref="H2061:I2061"/>
    <mergeCell ref="H2063:I2063"/>
    <mergeCell ref="H2068:I2068"/>
    <mergeCell ref="H2059:I2059"/>
    <mergeCell ref="H2048:I2048"/>
    <mergeCell ref="H2057:I2057"/>
    <mergeCell ref="H2038:I2038"/>
    <mergeCell ref="H2030:I2030"/>
    <mergeCell ref="H2041:I2041"/>
    <mergeCell ref="H2027:I2027"/>
    <mergeCell ref="H2025:I2025"/>
    <mergeCell ref="H2029:I2029"/>
    <mergeCell ref="H2034:I2034"/>
    <mergeCell ref="H2031:I2031"/>
    <mergeCell ref="H2035:I2035"/>
    <mergeCell ref="H2036:I2036"/>
    <mergeCell ref="F2041:G2041"/>
    <mergeCell ref="H2037:I2037"/>
    <mergeCell ref="H2040:I2040"/>
    <mergeCell ref="H2039:I2039"/>
    <mergeCell ref="F2017:G2017"/>
    <mergeCell ref="F2001:G2001"/>
    <mergeCell ref="F2009:G2009"/>
    <mergeCell ref="F2012:G2012"/>
    <mergeCell ref="F2008:G2008"/>
    <mergeCell ref="F2007:G2007"/>
    <mergeCell ref="F2018:G2018"/>
    <mergeCell ref="F2016:G2016"/>
    <mergeCell ref="F2003:G2003"/>
    <mergeCell ref="H2002:I2002"/>
    <mergeCell ref="F2019:G2019"/>
    <mergeCell ref="F2020:G2020"/>
    <mergeCell ref="F2036:G2036"/>
    <mergeCell ref="F2034:G2034"/>
    <mergeCell ref="F2038:G2038"/>
    <mergeCell ref="F2021:G2021"/>
    <mergeCell ref="H2008:I2008"/>
    <mergeCell ref="H2007:I2007"/>
    <mergeCell ref="F2002:G2002"/>
    <mergeCell ref="H1984:I1984"/>
    <mergeCell ref="H1970:I1970"/>
    <mergeCell ref="H1976:I1976"/>
    <mergeCell ref="H1982:I1982"/>
    <mergeCell ref="F1975:G1975"/>
    <mergeCell ref="F1979:G1979"/>
    <mergeCell ref="H1980:I1980"/>
    <mergeCell ref="H1960:I1960"/>
    <mergeCell ref="H1978:I1978"/>
    <mergeCell ref="H1967:I1967"/>
    <mergeCell ref="H1971:I1971"/>
    <mergeCell ref="H1942:I1942"/>
    <mergeCell ref="H1947:I1947"/>
    <mergeCell ref="H1997:I1997"/>
    <mergeCell ref="H1990:I1990"/>
    <mergeCell ref="H1985:I1985"/>
    <mergeCell ref="H1998:I1998"/>
    <mergeCell ref="F1998:G1998"/>
    <mergeCell ref="F1994:G1994"/>
    <mergeCell ref="F1983:G1983"/>
    <mergeCell ref="H2000:I2000"/>
    <mergeCell ref="F1993:G1993"/>
    <mergeCell ref="H1987:I1987"/>
    <mergeCell ref="H1994:I1994"/>
    <mergeCell ref="H1993:I1993"/>
    <mergeCell ref="H1986:I1986"/>
    <mergeCell ref="H1988:I1988"/>
    <mergeCell ref="H1991:I1991"/>
    <mergeCell ref="H1972:I1972"/>
    <mergeCell ref="F1969:G1969"/>
    <mergeCell ref="H1966:I1966"/>
    <mergeCell ref="H1902:I1902"/>
    <mergeCell ref="H1901:I1901"/>
    <mergeCell ref="H1888:I1888"/>
    <mergeCell ref="H1884:I1884"/>
    <mergeCell ref="H1876:I1876"/>
    <mergeCell ref="H1871:I1871"/>
    <mergeCell ref="H1872:I1872"/>
    <mergeCell ref="H1892:I1892"/>
    <mergeCell ref="F1984:G1984"/>
    <mergeCell ref="F1990:G1990"/>
    <mergeCell ref="F1988:G1988"/>
    <mergeCell ref="F1987:G1987"/>
    <mergeCell ref="F1989:G1989"/>
    <mergeCell ref="F1991:G1991"/>
    <mergeCell ref="H1949:I1949"/>
    <mergeCell ref="H1943:I1943"/>
    <mergeCell ref="H1946:I1946"/>
    <mergeCell ref="H1950:I1950"/>
    <mergeCell ref="H1935:I1935"/>
    <mergeCell ref="H1937:I1937"/>
    <mergeCell ref="H1936:I1936"/>
    <mergeCell ref="H1944:I1944"/>
    <mergeCell ref="H1939:I1939"/>
    <mergeCell ref="H1940:I1940"/>
    <mergeCell ref="F1964:G1964"/>
    <mergeCell ref="F1966:G1966"/>
    <mergeCell ref="H1958:I1958"/>
    <mergeCell ref="H1964:I1964"/>
    <mergeCell ref="F1957:G1957"/>
    <mergeCell ref="H1957:I1957"/>
    <mergeCell ref="F1965:G1965"/>
    <mergeCell ref="F1960:G1960"/>
    <mergeCell ref="H1736:I1736"/>
    <mergeCell ref="F1747:G1747"/>
    <mergeCell ref="F1745:G1745"/>
    <mergeCell ref="F1742:G1742"/>
    <mergeCell ref="F1833:G1833"/>
    <mergeCell ref="F1832:G1832"/>
    <mergeCell ref="H1817:I1817"/>
    <mergeCell ref="H1822:I1822"/>
    <mergeCell ref="F1807:G1807"/>
    <mergeCell ref="F1797:G1797"/>
    <mergeCell ref="F1805:G1805"/>
    <mergeCell ref="H1789:I1789"/>
    <mergeCell ref="H1934:I1934"/>
    <mergeCell ref="H1908:I1908"/>
    <mergeCell ref="H1917:I1917"/>
    <mergeCell ref="H1781:I1781"/>
    <mergeCell ref="H1878:I1878"/>
    <mergeCell ref="H1870:I1870"/>
    <mergeCell ref="H1903:I1903"/>
    <mergeCell ref="H1898:I1898"/>
    <mergeCell ref="H1895:I1895"/>
    <mergeCell ref="H1932:I1932"/>
    <mergeCell ref="H1928:I1928"/>
    <mergeCell ref="H1926:I1926"/>
    <mergeCell ref="H1921:I1921"/>
    <mergeCell ref="H1887:I1887"/>
    <mergeCell ref="H1933:I1933"/>
    <mergeCell ref="H1912:I1912"/>
    <mergeCell ref="H1918:I1918"/>
    <mergeCell ref="H1907:I1907"/>
    <mergeCell ref="H1922:I1922"/>
    <mergeCell ref="H1894:I1894"/>
    <mergeCell ref="H1746:I1746"/>
    <mergeCell ref="H1768:I1768"/>
    <mergeCell ref="H1774:I1774"/>
    <mergeCell ref="H1776:I1776"/>
    <mergeCell ref="H1771:I1771"/>
    <mergeCell ref="F1834:G1834"/>
    <mergeCell ref="F1779:G1779"/>
    <mergeCell ref="F1778:G1778"/>
    <mergeCell ref="F1775:G1775"/>
    <mergeCell ref="H1769:I1769"/>
    <mergeCell ref="H1775:I1775"/>
    <mergeCell ref="F1820:G1820"/>
    <mergeCell ref="F1781:G1781"/>
    <mergeCell ref="H1793:I1793"/>
    <mergeCell ref="F1819:G1819"/>
    <mergeCell ref="F1830:G1830"/>
    <mergeCell ref="H1778:I1778"/>
    <mergeCell ref="H1777:I1777"/>
    <mergeCell ref="H1797:I1797"/>
    <mergeCell ref="H1798:I1798"/>
    <mergeCell ref="H1800:I1800"/>
    <mergeCell ref="H1803:I1803"/>
    <mergeCell ref="F1789:G1789"/>
    <mergeCell ref="F1770:G1770"/>
    <mergeCell ref="F1808:G1808"/>
    <mergeCell ref="F1798:G1798"/>
    <mergeCell ref="F1800:G1800"/>
    <mergeCell ref="H1785:I1785"/>
    <mergeCell ref="F1787:G1787"/>
    <mergeCell ref="F1790:G1790"/>
    <mergeCell ref="F1767:G1767"/>
    <mergeCell ref="F1784:G1784"/>
    <mergeCell ref="H1735:I1735"/>
    <mergeCell ref="H1732:I1732"/>
    <mergeCell ref="H1706:I1706"/>
    <mergeCell ref="F1673:G1673"/>
    <mergeCell ref="F1698:G1698"/>
    <mergeCell ref="H1743:I1743"/>
    <mergeCell ref="F1730:G1730"/>
    <mergeCell ref="F1740:G1740"/>
    <mergeCell ref="F1741:G1741"/>
    <mergeCell ref="F1737:G1737"/>
    <mergeCell ref="H1730:I1730"/>
    <mergeCell ref="F1750:G1750"/>
    <mergeCell ref="F1766:G1766"/>
    <mergeCell ref="F1760:G1760"/>
    <mergeCell ref="F1776:G1776"/>
    <mergeCell ref="F1777:G1777"/>
    <mergeCell ref="F1754:G1754"/>
    <mergeCell ref="F1752:G1752"/>
    <mergeCell ref="F1774:G1774"/>
    <mergeCell ref="F1751:G1751"/>
    <mergeCell ref="F1757:G1757"/>
    <mergeCell ref="H1740:I1740"/>
    <mergeCell ref="H1696:I1696"/>
    <mergeCell ref="F1727:G1727"/>
    <mergeCell ref="H1744:I1744"/>
    <mergeCell ref="H1759:I1759"/>
    <mergeCell ref="H1758:I1758"/>
    <mergeCell ref="H1751:I1751"/>
    <mergeCell ref="H1764:I1764"/>
    <mergeCell ref="H1754:I1754"/>
    <mergeCell ref="H1752:I1752"/>
    <mergeCell ref="H1749:I1749"/>
    <mergeCell ref="H1700:I1700"/>
    <mergeCell ref="H1690:I1690"/>
    <mergeCell ref="H1699:I1699"/>
    <mergeCell ref="F1801:G1801"/>
    <mergeCell ref="H1795:I1795"/>
    <mergeCell ref="F1799:G1799"/>
    <mergeCell ref="H1673:I1673"/>
    <mergeCell ref="H1705:I1705"/>
    <mergeCell ref="H1701:I1701"/>
    <mergeCell ref="H1698:I1698"/>
    <mergeCell ref="H1695:I1695"/>
    <mergeCell ref="F1699:G1699"/>
    <mergeCell ref="H1688:I1688"/>
    <mergeCell ref="H1702:I1702"/>
    <mergeCell ref="H1691:I1691"/>
    <mergeCell ref="F1743:G1743"/>
    <mergeCell ref="H1697:I1697"/>
    <mergeCell ref="F1697:G1697"/>
    <mergeCell ref="F1721:G1721"/>
    <mergeCell ref="F1718:G1718"/>
    <mergeCell ref="H1714:I1714"/>
    <mergeCell ref="H1727:I1727"/>
    <mergeCell ref="H1708:I1708"/>
    <mergeCell ref="F1716:G1716"/>
    <mergeCell ref="H1726:I1726"/>
    <mergeCell ref="F1733:G1733"/>
    <mergeCell ref="H1734:I1734"/>
    <mergeCell ref="F1731:G1731"/>
    <mergeCell ref="F1739:G1739"/>
    <mergeCell ref="H1741:I1741"/>
    <mergeCell ref="H1739:I1739"/>
    <mergeCell ref="H1733:I1733"/>
    <mergeCell ref="F1666:G1666"/>
    <mergeCell ref="F1671:G1671"/>
    <mergeCell ref="H1668:I1668"/>
    <mergeCell ref="H1663:I1663"/>
    <mergeCell ref="H1669:I1669"/>
    <mergeCell ref="H1661:I1661"/>
    <mergeCell ref="F1668:G1668"/>
    <mergeCell ref="F1696:G1696"/>
    <mergeCell ref="F1691:G1691"/>
    <mergeCell ref="H1693:I1693"/>
    <mergeCell ref="F1670:G1670"/>
    <mergeCell ref="H1671:I1671"/>
    <mergeCell ref="F1677:G1677"/>
    <mergeCell ref="H1672:I1672"/>
    <mergeCell ref="F1812:G1812"/>
    <mergeCell ref="F1728:G1728"/>
    <mergeCell ref="H1722:I1722"/>
    <mergeCell ref="H1742:I1742"/>
    <mergeCell ref="F1734:G1734"/>
    <mergeCell ref="F1725:G1725"/>
    <mergeCell ref="F1802:G1802"/>
    <mergeCell ref="F1735:G1735"/>
    <mergeCell ref="F1732:G1732"/>
    <mergeCell ref="H1687:I1687"/>
    <mergeCell ref="F1689:G1689"/>
    <mergeCell ref="F1686:G1686"/>
    <mergeCell ref="H1689:I1689"/>
    <mergeCell ref="H1682:I1682"/>
    <mergeCell ref="F1678:G1678"/>
    <mergeCell ref="H1678:I1678"/>
    <mergeCell ref="H1685:I1685"/>
    <mergeCell ref="F1702:G1702"/>
    <mergeCell ref="F1613:G1613"/>
    <mergeCell ref="F1609:G1609"/>
    <mergeCell ref="F1616:G1616"/>
    <mergeCell ref="F1580:G1580"/>
    <mergeCell ref="F1657:G1657"/>
    <mergeCell ref="F1656:G1656"/>
    <mergeCell ref="F1648:G1648"/>
    <mergeCell ref="F1628:G1628"/>
    <mergeCell ref="F1644:G1644"/>
    <mergeCell ref="H1631:I1631"/>
    <mergeCell ref="H1637:I1637"/>
    <mergeCell ref="F1622:G1622"/>
    <mergeCell ref="F1582:G1582"/>
    <mergeCell ref="F1611:G1611"/>
    <mergeCell ref="F1615:G1615"/>
    <mergeCell ref="F1623:G1623"/>
    <mergeCell ref="F1626:G1626"/>
    <mergeCell ref="F1618:G1618"/>
    <mergeCell ref="F1620:G1620"/>
    <mergeCell ref="F1624:G1624"/>
    <mergeCell ref="F1625:G1625"/>
    <mergeCell ref="F1633:G1633"/>
    <mergeCell ref="H1632:I1632"/>
    <mergeCell ref="F1636:G1636"/>
    <mergeCell ref="H1634:I1634"/>
    <mergeCell ref="H1635:I1635"/>
    <mergeCell ref="H1633:I1633"/>
    <mergeCell ref="F1632:G1632"/>
    <mergeCell ref="F1635:G1635"/>
    <mergeCell ref="F1652:G1652"/>
    <mergeCell ref="F1638:G1638"/>
    <mergeCell ref="H1657:I1657"/>
    <mergeCell ref="C1551:E1551"/>
    <mergeCell ref="C1549:E1549"/>
    <mergeCell ref="F1542:G1542"/>
    <mergeCell ref="F1550:G1550"/>
    <mergeCell ref="F1551:G1551"/>
    <mergeCell ref="F1546:G1546"/>
    <mergeCell ref="C1550:E1550"/>
    <mergeCell ref="C1558:E1558"/>
    <mergeCell ref="F1559:G1559"/>
    <mergeCell ref="C1566:E1566"/>
    <mergeCell ref="F1573:G1573"/>
    <mergeCell ref="F1565:G1565"/>
    <mergeCell ref="F1568:G1568"/>
    <mergeCell ref="C1569:E1569"/>
    <mergeCell ref="F1569:G1569"/>
    <mergeCell ref="F1566:G1566"/>
    <mergeCell ref="F1562:G1562"/>
    <mergeCell ref="C1545:E1545"/>
    <mergeCell ref="F1543:G1543"/>
    <mergeCell ref="F1547:G1547"/>
    <mergeCell ref="C1552:E1552"/>
    <mergeCell ref="C1547:E1547"/>
    <mergeCell ref="C1548:E1548"/>
    <mergeCell ref="F1420:G1420"/>
    <mergeCell ref="F1423:G1423"/>
    <mergeCell ref="F1399:G1399"/>
    <mergeCell ref="F1415:G1415"/>
    <mergeCell ref="F1417:G1417"/>
    <mergeCell ref="F1396:G1396"/>
    <mergeCell ref="F1393:G1393"/>
    <mergeCell ref="F1488:G1488"/>
    <mergeCell ref="F1491:G1491"/>
    <mergeCell ref="F1490:G1490"/>
    <mergeCell ref="F1493:G1493"/>
    <mergeCell ref="F1489:G1489"/>
    <mergeCell ref="F1495:G1495"/>
    <mergeCell ref="F1492:G1492"/>
    <mergeCell ref="F1530:G1530"/>
    <mergeCell ref="F1534:G1534"/>
    <mergeCell ref="F1527:G1527"/>
    <mergeCell ref="F1501:G1501"/>
    <mergeCell ref="F1503:G1503"/>
    <mergeCell ref="F1499:G1499"/>
    <mergeCell ref="F1513:G1513"/>
    <mergeCell ref="F1515:G1515"/>
    <mergeCell ref="F1522:G1522"/>
    <mergeCell ref="F1520:G1520"/>
    <mergeCell ref="F1506:G1506"/>
    <mergeCell ref="F1521:G1521"/>
    <mergeCell ref="F1524:G1524"/>
    <mergeCell ref="F1509:G1509"/>
    <mergeCell ref="F1507:G1507"/>
    <mergeCell ref="F1512:G1512"/>
    <mergeCell ref="F1510:G1510"/>
    <mergeCell ref="F1395:G1395"/>
    <mergeCell ref="F1354:G1354"/>
    <mergeCell ref="F1343:G1343"/>
    <mergeCell ref="C1345:E1345"/>
    <mergeCell ref="C1346:E1346"/>
    <mergeCell ref="F1379:G1379"/>
    <mergeCell ref="F1375:G1375"/>
    <mergeCell ref="F1361:G1361"/>
    <mergeCell ref="F1376:G1376"/>
    <mergeCell ref="F1374:G1374"/>
    <mergeCell ref="F1372:G1372"/>
    <mergeCell ref="F1370:G1370"/>
    <mergeCell ref="F1285:G1285"/>
    <mergeCell ref="C1279:E1279"/>
    <mergeCell ref="C1338:E1338"/>
    <mergeCell ref="C1339:E1339"/>
    <mergeCell ref="F1289:G1289"/>
    <mergeCell ref="C1286:E1286"/>
    <mergeCell ref="F1340:G1340"/>
    <mergeCell ref="F1365:G1365"/>
    <mergeCell ref="C1336:E1336"/>
    <mergeCell ref="C1365:E1365"/>
    <mergeCell ref="C1368:E1368"/>
    <mergeCell ref="C1370:E1370"/>
    <mergeCell ref="C1371:E1371"/>
    <mergeCell ref="C1373:E1373"/>
    <mergeCell ref="C1333:E1333"/>
    <mergeCell ref="F1314:G1314"/>
    <mergeCell ref="F1352:G1352"/>
    <mergeCell ref="F1344:G1344"/>
    <mergeCell ref="F1345:G1345"/>
    <mergeCell ref="F1324:G1324"/>
    <mergeCell ref="F1311:G1311"/>
    <mergeCell ref="C710:E710"/>
    <mergeCell ref="C699:E699"/>
    <mergeCell ref="C698:E698"/>
    <mergeCell ref="C711:E711"/>
    <mergeCell ref="C715:E715"/>
    <mergeCell ref="C713:E713"/>
    <mergeCell ref="C1004:E1004"/>
    <mergeCell ref="C971:E971"/>
    <mergeCell ref="C776:E776"/>
    <mergeCell ref="C825:E825"/>
    <mergeCell ref="C779:E779"/>
    <mergeCell ref="C838:E838"/>
    <mergeCell ref="C837:E837"/>
    <mergeCell ref="C808:E808"/>
    <mergeCell ref="C806:E806"/>
    <mergeCell ref="C782:E782"/>
    <mergeCell ref="C818:E818"/>
    <mergeCell ref="C724:E724"/>
    <mergeCell ref="C739:E739"/>
    <mergeCell ref="C709:E709"/>
    <mergeCell ref="C754:E754"/>
    <mergeCell ref="C748:E748"/>
    <mergeCell ref="C765:E765"/>
    <mergeCell ref="C832:E832"/>
    <mergeCell ref="C835:E835"/>
    <mergeCell ref="C810:E810"/>
    <mergeCell ref="C775:E775"/>
    <mergeCell ref="C774:E774"/>
    <mergeCell ref="C797:E797"/>
    <mergeCell ref="C813:E813"/>
    <mergeCell ref="C836:E836"/>
    <mergeCell ref="C831:E831"/>
    <mergeCell ref="C661:E661"/>
    <mergeCell ref="C706:E706"/>
    <mergeCell ref="C697:E697"/>
    <mergeCell ref="C680:E680"/>
    <mergeCell ref="C669:E669"/>
    <mergeCell ref="C666:E666"/>
    <mergeCell ref="C676:E676"/>
    <mergeCell ref="C705:E705"/>
    <mergeCell ref="C701:E701"/>
    <mergeCell ref="C653:E653"/>
    <mergeCell ref="C703:E703"/>
    <mergeCell ref="C704:E704"/>
    <mergeCell ref="C708:E708"/>
    <mergeCell ref="C707:E707"/>
    <mergeCell ref="C700:E700"/>
    <mergeCell ref="C693:E693"/>
    <mergeCell ref="C654:E654"/>
    <mergeCell ref="C656:E656"/>
    <mergeCell ref="C663:E663"/>
    <mergeCell ref="C694:E694"/>
    <mergeCell ref="C695:E695"/>
    <mergeCell ref="C696:E696"/>
    <mergeCell ref="C664:E664"/>
    <mergeCell ref="C657:E657"/>
    <mergeCell ref="C667:E667"/>
    <mergeCell ref="C677:E677"/>
    <mergeCell ref="C660:E660"/>
    <mergeCell ref="C674:E674"/>
    <mergeCell ref="C659:E659"/>
    <mergeCell ref="C528:E528"/>
    <mergeCell ref="C538:E538"/>
    <mergeCell ref="C550:E550"/>
    <mergeCell ref="C557:E557"/>
    <mergeCell ref="C644:E644"/>
    <mergeCell ref="C609:E609"/>
    <mergeCell ref="C649:E649"/>
    <mergeCell ref="C643:E643"/>
    <mergeCell ref="C559:E559"/>
    <mergeCell ref="C617:E617"/>
    <mergeCell ref="C603:E603"/>
    <mergeCell ref="C611:E611"/>
    <mergeCell ref="C610:E610"/>
    <mergeCell ref="C605:E605"/>
    <mergeCell ref="C606:E606"/>
    <mergeCell ref="C575:E575"/>
    <mergeCell ref="C572:E572"/>
    <mergeCell ref="C569:E569"/>
    <mergeCell ref="C591:E591"/>
    <mergeCell ref="C579:E579"/>
    <mergeCell ref="C595:E595"/>
    <mergeCell ref="C592:E592"/>
    <mergeCell ref="C597:E597"/>
    <mergeCell ref="C582:E582"/>
    <mergeCell ref="C586:E586"/>
    <mergeCell ref="C594:E594"/>
    <mergeCell ref="C590:E590"/>
    <mergeCell ref="C546:E546"/>
    <mergeCell ref="C562:E562"/>
    <mergeCell ref="C543:E543"/>
    <mergeCell ref="C547:E547"/>
    <mergeCell ref="C545:E545"/>
    <mergeCell ref="C488:E488"/>
    <mergeCell ref="C481:E481"/>
    <mergeCell ref="C469:E469"/>
    <mergeCell ref="C448:E448"/>
    <mergeCell ref="C400:E400"/>
    <mergeCell ref="C393:E393"/>
    <mergeCell ref="C315:E315"/>
    <mergeCell ref="C421:E421"/>
    <mergeCell ref="C450:E450"/>
    <mergeCell ref="C391:E391"/>
    <mergeCell ref="C346:E346"/>
    <mergeCell ref="C397:E397"/>
    <mergeCell ref="C445:E445"/>
    <mergeCell ref="C460:E460"/>
    <mergeCell ref="C457:E457"/>
    <mergeCell ref="C455:E455"/>
    <mergeCell ref="C441:E441"/>
    <mergeCell ref="C424:E424"/>
    <mergeCell ref="C433:E433"/>
    <mergeCell ref="C427:E427"/>
    <mergeCell ref="C430:E430"/>
    <mergeCell ref="C437:E437"/>
    <mergeCell ref="C432:E432"/>
    <mergeCell ref="C440:E440"/>
    <mergeCell ref="C439:E439"/>
    <mergeCell ref="C429:E429"/>
    <mergeCell ref="C444:E444"/>
    <mergeCell ref="C456:E456"/>
    <mergeCell ref="C426:E426"/>
    <mergeCell ref="C375:E375"/>
    <mergeCell ref="C382:E382"/>
    <mergeCell ref="C379:E379"/>
    <mergeCell ref="C494:E494"/>
    <mergeCell ref="C436:E436"/>
    <mergeCell ref="C484:E484"/>
    <mergeCell ref="C475:E475"/>
    <mergeCell ref="C472:E472"/>
    <mergeCell ref="C452:E452"/>
    <mergeCell ref="C453:E453"/>
    <mergeCell ref="C491:E491"/>
    <mergeCell ref="C438:E438"/>
    <mergeCell ref="C287:E287"/>
    <mergeCell ref="C301:E301"/>
    <mergeCell ref="C304:E304"/>
    <mergeCell ref="C297:E297"/>
    <mergeCell ref="C307:E307"/>
    <mergeCell ref="C302:E302"/>
    <mergeCell ref="C303:E303"/>
    <mergeCell ref="C300:E300"/>
    <mergeCell ref="C292:E292"/>
    <mergeCell ref="C306:E306"/>
    <mergeCell ref="C298:E298"/>
    <mergeCell ref="C362:E362"/>
    <mergeCell ref="C351:E351"/>
    <mergeCell ref="C311:E311"/>
    <mergeCell ref="C314:E314"/>
    <mergeCell ref="C343:E343"/>
    <mergeCell ref="C349:E349"/>
    <mergeCell ref="C305:E305"/>
    <mergeCell ref="C344:E344"/>
    <mergeCell ref="C342:E342"/>
    <mergeCell ref="C492:E492"/>
    <mergeCell ref="C487:E487"/>
    <mergeCell ref="C405:E405"/>
    <mergeCell ref="C507:E507"/>
    <mergeCell ref="C714:E714"/>
    <mergeCell ref="C512:E512"/>
    <mergeCell ref="C521:E521"/>
    <mergeCell ref="C712:E712"/>
    <mergeCell ref="C770:E770"/>
    <mergeCell ref="C762:E762"/>
    <mergeCell ref="C750:E750"/>
    <mergeCell ref="C763:E763"/>
    <mergeCell ref="C751:E751"/>
    <mergeCell ref="C524:E524"/>
    <mergeCell ref="C513:E513"/>
    <mergeCell ref="C718:E718"/>
    <mergeCell ref="C745:E745"/>
    <mergeCell ref="C768:E768"/>
    <mergeCell ref="C764:E764"/>
    <mergeCell ref="C761:E761"/>
    <mergeCell ref="C752:E752"/>
    <mergeCell ref="C755:E755"/>
    <mergeCell ref="C758:E758"/>
    <mergeCell ref="C655:E655"/>
    <mergeCell ref="C639:E639"/>
    <mergeCell ref="C652:E652"/>
    <mergeCell ref="C729:E729"/>
    <mergeCell ref="C738:E738"/>
    <mergeCell ref="C733:E733"/>
    <mergeCell ref="C747:E747"/>
    <mergeCell ref="C731:E731"/>
    <mergeCell ref="C735:E735"/>
    <mergeCell ref="C740:E740"/>
    <mergeCell ref="C743:E743"/>
    <mergeCell ref="C536:E536"/>
    <mergeCell ref="C846:E846"/>
    <mergeCell ref="C844:E844"/>
    <mergeCell ref="C842:E842"/>
    <mergeCell ref="C845:E845"/>
    <mergeCell ref="C760:E760"/>
    <mergeCell ref="C843:E843"/>
    <mergeCell ref="C772:E772"/>
    <mergeCell ref="C794:E794"/>
    <mergeCell ref="C812:E812"/>
    <mergeCell ref="C809:E809"/>
    <mergeCell ref="C766:E766"/>
    <mergeCell ref="C918:E918"/>
    <mergeCell ref="C914:E914"/>
    <mergeCell ref="C915:E915"/>
    <mergeCell ref="C864:E864"/>
    <mergeCell ref="C866:E866"/>
    <mergeCell ref="C834:E834"/>
    <mergeCell ref="C849:E849"/>
    <mergeCell ref="C860:E860"/>
    <mergeCell ref="C855:E855"/>
    <mergeCell ref="C870:E870"/>
    <mergeCell ref="C773:E773"/>
    <mergeCell ref="C815:E815"/>
    <mergeCell ref="C850:E850"/>
    <mergeCell ref="C817:E817"/>
    <mergeCell ref="C830:E830"/>
    <mergeCell ref="C828:E828"/>
    <mergeCell ref="C820:E820"/>
    <mergeCell ref="C814:E814"/>
    <mergeCell ref="C829:E829"/>
    <mergeCell ref="C826:E826"/>
    <mergeCell ref="C902:E902"/>
    <mergeCell ref="C872:E872"/>
    <mergeCell ref="C881:E881"/>
    <mergeCell ref="C887:E887"/>
    <mergeCell ref="C877:E877"/>
    <mergeCell ref="C884:E884"/>
    <mergeCell ref="C878:E878"/>
    <mergeCell ref="C886:E886"/>
    <mergeCell ref="C882:E882"/>
    <mergeCell ref="C875:E875"/>
    <mergeCell ref="C883:E883"/>
    <mergeCell ref="C916:E916"/>
    <mergeCell ref="C890:E890"/>
    <mergeCell ref="C873:E873"/>
    <mergeCell ref="C880:E880"/>
    <mergeCell ref="C879:E879"/>
    <mergeCell ref="C859:E859"/>
    <mergeCell ref="C862:E862"/>
    <mergeCell ref="C865:E865"/>
    <mergeCell ref="C1003:E1003"/>
    <mergeCell ref="C973:E973"/>
    <mergeCell ref="C977:E977"/>
    <mergeCell ref="C976:E976"/>
    <mergeCell ref="C990:E990"/>
    <mergeCell ref="C1000:E1000"/>
    <mergeCell ref="C989:E989"/>
    <mergeCell ref="C980:E980"/>
    <mergeCell ref="C996:E996"/>
    <mergeCell ref="C936:E936"/>
    <mergeCell ref="C935:E935"/>
    <mergeCell ref="C953:E953"/>
    <mergeCell ref="C948:E948"/>
    <mergeCell ref="C942:E942"/>
    <mergeCell ref="C939:E939"/>
    <mergeCell ref="C943:E943"/>
    <mergeCell ref="C937:E937"/>
    <mergeCell ref="C964:E964"/>
    <mergeCell ref="C998:E998"/>
    <mergeCell ref="C985:E985"/>
    <mergeCell ref="C987:E987"/>
    <mergeCell ref="C1077:E1077"/>
    <mergeCell ref="C1070:E1070"/>
    <mergeCell ref="C1071:E1071"/>
    <mergeCell ref="C1078:E1078"/>
    <mergeCell ref="C1082:E1082"/>
    <mergeCell ref="C1047:E1047"/>
    <mergeCell ref="C1036:E1036"/>
    <mergeCell ref="C1037:E1037"/>
    <mergeCell ref="C1043:E1043"/>
    <mergeCell ref="C1051:E1051"/>
    <mergeCell ref="C1038:E1038"/>
    <mergeCell ref="C1081:E1081"/>
    <mergeCell ref="C1041:E1041"/>
    <mergeCell ref="C1058:E1058"/>
    <mergeCell ref="C1017:E1017"/>
    <mergeCell ref="C1011:E1011"/>
    <mergeCell ref="C1018:E1018"/>
    <mergeCell ref="C1076:E1076"/>
    <mergeCell ref="C1073:E1073"/>
    <mergeCell ref="C1052:E1052"/>
    <mergeCell ref="C1054:E1054"/>
    <mergeCell ref="C1062:E1062"/>
    <mergeCell ref="C1046:E1046"/>
    <mergeCell ref="C1053:E1053"/>
    <mergeCell ref="C1061:E1061"/>
    <mergeCell ref="C1059:E1059"/>
    <mergeCell ref="C1044:E1044"/>
    <mergeCell ref="C1068:E1068"/>
    <mergeCell ref="C1072:E1072"/>
    <mergeCell ref="C1074:E1074"/>
    <mergeCell ref="C1045:E1045"/>
    <mergeCell ref="C1028:E1028"/>
    <mergeCell ref="C1129:E1129"/>
    <mergeCell ref="C1143:E1143"/>
    <mergeCell ref="C1102:E1102"/>
    <mergeCell ref="C1198:E1198"/>
    <mergeCell ref="C1176:E1176"/>
    <mergeCell ref="C1164:E1164"/>
    <mergeCell ref="C1193:E1193"/>
    <mergeCell ref="C1184:E1184"/>
    <mergeCell ref="C1191:E1191"/>
    <mergeCell ref="C1183:E1183"/>
    <mergeCell ref="C1085:E1085"/>
    <mergeCell ref="C1124:E1124"/>
    <mergeCell ref="C1105:E1105"/>
    <mergeCell ref="C1285:E1285"/>
    <mergeCell ref="F1327:G1327"/>
    <mergeCell ref="C1163:E1163"/>
    <mergeCell ref="C1161:E1161"/>
    <mergeCell ref="C1159:E1159"/>
    <mergeCell ref="C1091:E1091"/>
    <mergeCell ref="C1131:E1131"/>
    <mergeCell ref="C1141:E1141"/>
    <mergeCell ref="F1170:G1170"/>
    <mergeCell ref="C1089:E1089"/>
    <mergeCell ref="C1088:E1088"/>
    <mergeCell ref="C1108:E1108"/>
    <mergeCell ref="C1100:E1100"/>
    <mergeCell ref="C1087:E1087"/>
    <mergeCell ref="C1096:E1096"/>
    <mergeCell ref="C1092:E1092"/>
    <mergeCell ref="C1110:E1110"/>
    <mergeCell ref="C1204:E1204"/>
    <mergeCell ref="F1207:G1207"/>
    <mergeCell ref="F1408:G1408"/>
    <mergeCell ref="F1419:G1419"/>
    <mergeCell ref="F1397:G1397"/>
    <mergeCell ref="F1380:G1380"/>
    <mergeCell ref="F1384:G1384"/>
    <mergeCell ref="F1406:G1406"/>
    <mergeCell ref="F1401:G1401"/>
    <mergeCell ref="F1402:G1402"/>
    <mergeCell ref="F1386:G1386"/>
    <mergeCell ref="F1385:G1385"/>
    <mergeCell ref="C1180:E1180"/>
    <mergeCell ref="C1185:E1185"/>
    <mergeCell ref="C1167:E1167"/>
    <mergeCell ref="F1342:G1342"/>
    <mergeCell ref="C1155:E1155"/>
    <mergeCell ref="C1188:E1188"/>
    <mergeCell ref="C1199:E1199"/>
    <mergeCell ref="F1331:G1331"/>
    <mergeCell ref="F1336:G1336"/>
    <mergeCell ref="F1165:G1165"/>
    <mergeCell ref="C1200:E1200"/>
    <mergeCell ref="C1207:E1207"/>
    <mergeCell ref="F1188:G1188"/>
    <mergeCell ref="C1203:E1203"/>
    <mergeCell ref="C1201:E1201"/>
    <mergeCell ref="F1192:G1192"/>
    <mergeCell ref="C1205:E1205"/>
    <mergeCell ref="F1201:G1201"/>
    <mergeCell ref="C1344:E1344"/>
    <mergeCell ref="F1271:G1271"/>
    <mergeCell ref="F1350:G1350"/>
    <mergeCell ref="F1346:G1346"/>
    <mergeCell ref="H1378:I1378"/>
    <mergeCell ref="H1381:I1381"/>
    <mergeCell ref="F1389:G1389"/>
    <mergeCell ref="F1378:G1378"/>
    <mergeCell ref="H1362:I1362"/>
    <mergeCell ref="H1361:I1361"/>
    <mergeCell ref="H1364:I1364"/>
    <mergeCell ref="H1376:I1376"/>
    <mergeCell ref="H1365:I1365"/>
    <mergeCell ref="H1367:I1367"/>
    <mergeCell ref="H1372:I1372"/>
    <mergeCell ref="H1368:I1368"/>
    <mergeCell ref="H1370:I1370"/>
    <mergeCell ref="H1369:I1369"/>
    <mergeCell ref="H1377:I1377"/>
    <mergeCell ref="F1363:G1363"/>
    <mergeCell ref="F1369:G1369"/>
    <mergeCell ref="F1362:G1362"/>
    <mergeCell ref="H1363:I1363"/>
    <mergeCell ref="F1366:G1366"/>
    <mergeCell ref="F1377:G1377"/>
    <mergeCell ref="F1368:G1368"/>
    <mergeCell ref="H1387:I1387"/>
    <mergeCell ref="H1386:I1386"/>
    <mergeCell ref="H1384:I1384"/>
    <mergeCell ref="H1383:I1383"/>
    <mergeCell ref="F1400:G1400"/>
    <mergeCell ref="F1388:G1388"/>
    <mergeCell ref="F1390:G1390"/>
    <mergeCell ref="F1392:G1392"/>
    <mergeCell ref="F1414:G1414"/>
    <mergeCell ref="F1383:G1383"/>
    <mergeCell ref="F1382:G1382"/>
    <mergeCell ref="H1385:I1385"/>
    <mergeCell ref="H1389:I1389"/>
    <mergeCell ref="C1471:E1471"/>
    <mergeCell ref="C1482:E1482"/>
    <mergeCell ref="F1451:G1451"/>
    <mergeCell ref="F1459:G1459"/>
    <mergeCell ref="F1457:G1457"/>
    <mergeCell ref="F1453:G1453"/>
    <mergeCell ref="F1475:G1475"/>
    <mergeCell ref="F1461:G1461"/>
    <mergeCell ref="C1476:E1476"/>
    <mergeCell ref="C1466:E1466"/>
    <mergeCell ref="F1424:G1424"/>
    <mergeCell ref="F1447:G1447"/>
    <mergeCell ref="F1481:G1481"/>
    <mergeCell ref="C1385:E1385"/>
    <mergeCell ref="C1382:E1382"/>
    <mergeCell ref="C1397:E1397"/>
    <mergeCell ref="C1402:E1402"/>
    <mergeCell ref="C1401:E1401"/>
    <mergeCell ref="C1392:E1392"/>
    <mergeCell ref="C1395:E1395"/>
    <mergeCell ref="C1384:E1384"/>
    <mergeCell ref="C1383:E1383"/>
    <mergeCell ref="C1393:E1393"/>
    <mergeCell ref="F1484:G1484"/>
    <mergeCell ref="C1485:E1485"/>
    <mergeCell ref="F1482:G1482"/>
    <mergeCell ref="F1483:G1483"/>
    <mergeCell ref="C1468:E1468"/>
    <mergeCell ref="F1478:G1478"/>
    <mergeCell ref="F1474:G1474"/>
    <mergeCell ref="F1467:G1467"/>
    <mergeCell ref="F1466:G1466"/>
    <mergeCell ref="F1464:G1464"/>
    <mergeCell ref="F1432:G1432"/>
    <mergeCell ref="F1439:G1439"/>
    <mergeCell ref="F1442:G1442"/>
    <mergeCell ref="F1443:G1443"/>
    <mergeCell ref="F1429:G1429"/>
    <mergeCell ref="C1497:E1497"/>
    <mergeCell ref="F1511:G1511"/>
    <mergeCell ref="C1510:E1510"/>
    <mergeCell ref="C1498:E1498"/>
    <mergeCell ref="C1501:E1501"/>
    <mergeCell ref="F1504:G1504"/>
    <mergeCell ref="C1477:E1477"/>
    <mergeCell ref="C1496:E1496"/>
    <mergeCell ref="C1479:E1479"/>
    <mergeCell ref="C1474:E1474"/>
    <mergeCell ref="C1475:E1475"/>
    <mergeCell ref="C1484:E1484"/>
    <mergeCell ref="C1481:E1481"/>
    <mergeCell ref="C1486:E1486"/>
    <mergeCell ref="C1483:E1483"/>
    <mergeCell ref="C1511:E1511"/>
    <mergeCell ref="C1513:E1513"/>
    <mergeCell ref="C1488:E1488"/>
    <mergeCell ref="C1495:E1495"/>
    <mergeCell ref="C1492:E1492"/>
    <mergeCell ref="C1493:E1493"/>
    <mergeCell ref="F1497:G1497"/>
    <mergeCell ref="C1516:E1516"/>
    <mergeCell ref="C1517:E1517"/>
    <mergeCell ref="F1529:G1529"/>
    <mergeCell ref="C1586:E1586"/>
    <mergeCell ref="C1588:E1588"/>
    <mergeCell ref="C1522:E1522"/>
    <mergeCell ref="C1512:E1512"/>
    <mergeCell ref="C1535:E1535"/>
    <mergeCell ref="C1526:E1526"/>
    <mergeCell ref="C1567:E1567"/>
    <mergeCell ref="C1532:E1532"/>
    <mergeCell ref="C1587:E1587"/>
    <mergeCell ref="C1520:E1520"/>
    <mergeCell ref="C1585:E1585"/>
    <mergeCell ref="C1531:E1531"/>
    <mergeCell ref="C1536:E1536"/>
    <mergeCell ref="C1534:E1534"/>
    <mergeCell ref="C1543:E1543"/>
    <mergeCell ref="C1529:E1529"/>
    <mergeCell ref="C1583:E1583"/>
    <mergeCell ref="C1546:E1546"/>
    <mergeCell ref="C1519:E1519"/>
    <mergeCell ref="F1518:G1518"/>
    <mergeCell ref="C1553:E1553"/>
    <mergeCell ref="C1541:E1541"/>
    <mergeCell ref="C1542:E1542"/>
    <mergeCell ref="C1596:E1596"/>
    <mergeCell ref="F1646:G1646"/>
    <mergeCell ref="F1645:G1645"/>
    <mergeCell ref="F1630:G1630"/>
    <mergeCell ref="C1622:E1622"/>
    <mergeCell ref="F1621:G1621"/>
    <mergeCell ref="C1603:E1603"/>
    <mergeCell ref="C1612:E1612"/>
    <mergeCell ref="C1615:E1615"/>
    <mergeCell ref="C1557:E1557"/>
    <mergeCell ref="C1591:E1591"/>
    <mergeCell ref="C1554:E1554"/>
    <mergeCell ref="C1555:E1555"/>
    <mergeCell ref="C1556:E1556"/>
    <mergeCell ref="C1560:E1560"/>
    <mergeCell ref="C1559:E1559"/>
    <mergeCell ref="C1563:E1563"/>
    <mergeCell ref="C1564:E1564"/>
    <mergeCell ref="C1561:E1561"/>
    <mergeCell ref="F1557:G1557"/>
    <mergeCell ref="F1556:G1556"/>
    <mergeCell ref="F1561:G1561"/>
    <mergeCell ref="F1578:G1578"/>
    <mergeCell ref="F1610:G1610"/>
    <mergeCell ref="F1608:G1608"/>
    <mergeCell ref="F1612:G1612"/>
    <mergeCell ref="F1600:G1600"/>
    <mergeCell ref="F1588:G1588"/>
    <mergeCell ref="F1586:G1586"/>
    <mergeCell ref="F1597:G1597"/>
    <mergeCell ref="F1593:G1593"/>
    <mergeCell ref="F1640:G1640"/>
    <mergeCell ref="C1624:E1624"/>
    <mergeCell ref="F1803:G1803"/>
    <mergeCell ref="F1736:G1736"/>
    <mergeCell ref="F1649:G1649"/>
    <mergeCell ref="F1665:G1665"/>
    <mergeCell ref="F1669:G1669"/>
    <mergeCell ref="F1744:G1744"/>
    <mergeCell ref="F1614:G1614"/>
    <mergeCell ref="F1631:G1631"/>
    <mergeCell ref="F1639:G1639"/>
    <mergeCell ref="C1642:E1642"/>
    <mergeCell ref="C1623:E1623"/>
    <mergeCell ref="C1621:E1621"/>
    <mergeCell ref="C1617:E1617"/>
    <mergeCell ref="C1618:E1618"/>
    <mergeCell ref="C1616:E1616"/>
    <mergeCell ref="F1641:G1641"/>
    <mergeCell ref="F1647:G1647"/>
    <mergeCell ref="F1651:G1651"/>
    <mergeCell ref="F1642:G1642"/>
    <mergeCell ref="F1643:G1643"/>
    <mergeCell ref="F1660:G1660"/>
    <mergeCell ref="F1655:G1655"/>
    <mergeCell ref="F1650:G1650"/>
    <mergeCell ref="F1653:G1653"/>
    <mergeCell ref="F1654:G1654"/>
    <mergeCell ref="F1694:G1694"/>
    <mergeCell ref="F1796:G1796"/>
    <mergeCell ref="F1795:G1795"/>
    <mergeCell ref="F1617:G1617"/>
    <mergeCell ref="F1664:G1664"/>
    <mergeCell ref="F1658:G1658"/>
    <mergeCell ref="F1629:G1629"/>
    <mergeCell ref="F1627:G1627"/>
    <mergeCell ref="F1634:G1634"/>
    <mergeCell ref="H1653:I1653"/>
    <mergeCell ref="H1654:I1654"/>
    <mergeCell ref="H1641:I1641"/>
    <mergeCell ref="H1652:I1652"/>
    <mergeCell ref="H1649:I1649"/>
    <mergeCell ref="H1636:I1636"/>
    <mergeCell ref="H1659:I1659"/>
    <mergeCell ref="H1650:I1650"/>
    <mergeCell ref="H1639:I1639"/>
    <mergeCell ref="H1642:I1642"/>
    <mergeCell ref="H1656:I1656"/>
    <mergeCell ref="F1837:G1837"/>
    <mergeCell ref="F1814:G1814"/>
    <mergeCell ref="C1626:E1626"/>
    <mergeCell ref="H1655:I1655"/>
    <mergeCell ref="F1659:G1659"/>
    <mergeCell ref="H1660:I1660"/>
    <mergeCell ref="H1658:I1658"/>
    <mergeCell ref="H1665:I1665"/>
    <mergeCell ref="F1662:G1662"/>
    <mergeCell ref="H1664:I1664"/>
    <mergeCell ref="F1667:G1667"/>
    <mergeCell ref="F1661:G1661"/>
    <mergeCell ref="H1666:I1666"/>
    <mergeCell ref="H1667:I1667"/>
    <mergeCell ref="H1662:I1662"/>
    <mergeCell ref="F1663:G1663"/>
    <mergeCell ref="F1672:G1672"/>
    <mergeCell ref="H1670:I1670"/>
    <mergeCell ref="H2111:I2111"/>
    <mergeCell ref="H2195:I2195"/>
    <mergeCell ref="H2090:I2090"/>
    <mergeCell ref="H2162:I2162"/>
    <mergeCell ref="H2109:I2109"/>
    <mergeCell ref="H2138:I2138"/>
    <mergeCell ref="H2142:I2142"/>
    <mergeCell ref="H2123:I2123"/>
    <mergeCell ref="H2137:I2137"/>
    <mergeCell ref="H2136:I2136"/>
    <mergeCell ref="H2088:I2088"/>
    <mergeCell ref="H2150:I2150"/>
    <mergeCell ref="H2095:I2095"/>
    <mergeCell ref="H2094:I2094"/>
    <mergeCell ref="H2091:I2091"/>
    <mergeCell ref="H2144:I2144"/>
    <mergeCell ref="H2147:I2147"/>
    <mergeCell ref="H2126:I2126"/>
    <mergeCell ref="H2128:I2128"/>
    <mergeCell ref="H2119:I2119"/>
    <mergeCell ref="H2151:I2151"/>
    <mergeCell ref="H2194:I2194"/>
    <mergeCell ref="H2112:I2112"/>
    <mergeCell ref="H2193:I2193"/>
    <mergeCell ref="H2157:I2157"/>
    <mergeCell ref="H2184:I2184"/>
    <mergeCell ref="H2118:I2118"/>
    <mergeCell ref="H2149:I2149"/>
    <mergeCell ref="H2120:I2120"/>
    <mergeCell ref="H2172:I2172"/>
    <mergeCell ref="H2098:I2098"/>
    <mergeCell ref="H2099:I2099"/>
    <mergeCell ref="H2297:I2297"/>
    <mergeCell ref="H2272:I2272"/>
    <mergeCell ref="H2287:I2287"/>
    <mergeCell ref="H2293:I2293"/>
    <mergeCell ref="H2292:I2292"/>
    <mergeCell ref="H2278:I2278"/>
    <mergeCell ref="H2254:I2254"/>
    <mergeCell ref="H2250:I2250"/>
    <mergeCell ref="H2244:I2244"/>
    <mergeCell ref="H2259:I2259"/>
    <mergeCell ref="H2268:I2268"/>
    <mergeCell ref="H2271:I2271"/>
    <mergeCell ref="H2253:I2253"/>
    <mergeCell ref="H2260:I2260"/>
    <mergeCell ref="H2257:I2257"/>
    <mergeCell ref="H2206:I2206"/>
    <mergeCell ref="H2211:I2211"/>
    <mergeCell ref="H2212:I2212"/>
    <mergeCell ref="H2214:I2214"/>
    <mergeCell ref="H2216:I2216"/>
    <mergeCell ref="H2213:I2213"/>
    <mergeCell ref="H2207:I2207"/>
    <mergeCell ref="H2208:I2208"/>
    <mergeCell ref="H2209:I2209"/>
    <mergeCell ref="H2222:I2222"/>
    <mergeCell ref="H2217:I2217"/>
    <mergeCell ref="H2219:I2219"/>
    <mergeCell ref="H2218:I2218"/>
    <mergeCell ref="H2210:I2210"/>
    <mergeCell ref="H2215:I2215"/>
    <mergeCell ref="H2255:I2255"/>
    <mergeCell ref="H2258:I2258"/>
    <mergeCell ref="H1366:I1366"/>
    <mergeCell ref="H1353:I1353"/>
    <mergeCell ref="H1359:I1359"/>
    <mergeCell ref="H1350:I1350"/>
    <mergeCell ref="H1351:I1351"/>
    <mergeCell ref="H1355:I1355"/>
    <mergeCell ref="H1354:I1354"/>
    <mergeCell ref="H1622:I1622"/>
    <mergeCell ref="H1614:I1614"/>
    <mergeCell ref="H1568:I1568"/>
    <mergeCell ref="H1570:I1570"/>
    <mergeCell ref="H1585:I1585"/>
    <mergeCell ref="H1444:I1444"/>
    <mergeCell ref="H1486:I1486"/>
    <mergeCell ref="H1371:I1371"/>
    <mergeCell ref="H1395:I1395"/>
    <mergeCell ref="H1375:I1375"/>
    <mergeCell ref="H1373:I1373"/>
    <mergeCell ref="H1374:I1374"/>
    <mergeCell ref="H1388:I1388"/>
    <mergeCell ref="H1382:I1382"/>
    <mergeCell ref="H1461:I1461"/>
    <mergeCell ref="H1431:I1431"/>
    <mergeCell ref="H1511:I1511"/>
    <mergeCell ref="H1582:I1582"/>
    <mergeCell ref="H1612:I1612"/>
    <mergeCell ref="H1556:I1556"/>
    <mergeCell ref="H1565:I1565"/>
    <mergeCell ref="H1572:I1572"/>
    <mergeCell ref="H1578:I1578"/>
    <mergeCell ref="H1380:I1380"/>
    <mergeCell ref="H1379:I1379"/>
    <mergeCell ref="H1345:I1345"/>
    <mergeCell ref="H1347:I1347"/>
    <mergeCell ref="H1344:I1344"/>
    <mergeCell ref="H1315:I1315"/>
    <mergeCell ref="H1325:I1325"/>
    <mergeCell ref="H1323:I1323"/>
    <mergeCell ref="H1340:I1340"/>
    <mergeCell ref="H1339:I1339"/>
    <mergeCell ref="H1318:I1318"/>
    <mergeCell ref="H1336:I1336"/>
    <mergeCell ref="H1342:I1342"/>
    <mergeCell ref="H1331:I1331"/>
    <mergeCell ref="H1346:I1346"/>
    <mergeCell ref="H1341:I1341"/>
    <mergeCell ref="H1343:I1343"/>
    <mergeCell ref="H1357:I1357"/>
    <mergeCell ref="H1360:I1360"/>
    <mergeCell ref="H1349:I1349"/>
    <mergeCell ref="H1348:I1348"/>
    <mergeCell ref="H1317:I1317"/>
    <mergeCell ref="H1330:I1330"/>
    <mergeCell ref="H1328:I1328"/>
    <mergeCell ref="H1337:I1337"/>
    <mergeCell ref="H1338:I1338"/>
    <mergeCell ref="H1352:I1352"/>
    <mergeCell ref="H1358:I1358"/>
    <mergeCell ref="H1356:I1356"/>
    <mergeCell ref="H1296:I1296"/>
    <mergeCell ref="H1308:I1308"/>
    <mergeCell ref="H1309:I1309"/>
    <mergeCell ref="H1306:I1306"/>
    <mergeCell ref="H1332:I1332"/>
    <mergeCell ref="H1305:I1305"/>
    <mergeCell ref="H1292:I1292"/>
    <mergeCell ref="H1290:I1290"/>
    <mergeCell ref="H1300:I1300"/>
    <mergeCell ref="H1299:I1299"/>
    <mergeCell ref="H1321:I1321"/>
    <mergeCell ref="H1312:I1312"/>
    <mergeCell ref="H1307:I1307"/>
    <mergeCell ref="H1314:I1314"/>
    <mergeCell ref="H1334:I1334"/>
    <mergeCell ref="H1335:I1335"/>
    <mergeCell ref="H1316:I1316"/>
    <mergeCell ref="H1320:I1320"/>
    <mergeCell ref="H1319:I1319"/>
    <mergeCell ref="H1333:I1333"/>
    <mergeCell ref="H1329:I1329"/>
    <mergeCell ref="H1324:I1324"/>
    <mergeCell ref="H1327:I1327"/>
    <mergeCell ref="H1322:I1322"/>
    <mergeCell ref="H1032:I1032"/>
    <mergeCell ref="H878:I878"/>
    <mergeCell ref="H884:I884"/>
    <mergeCell ref="H931:I931"/>
    <mergeCell ref="H991:I991"/>
    <mergeCell ref="H1031:I1031"/>
    <mergeCell ref="H933:I933"/>
    <mergeCell ref="H883:I883"/>
    <mergeCell ref="H882:I882"/>
    <mergeCell ref="H911:I911"/>
    <mergeCell ref="H1116:I1116"/>
    <mergeCell ref="H1129:I1129"/>
    <mergeCell ref="H1137:I1137"/>
    <mergeCell ref="H1130:I1130"/>
    <mergeCell ref="H1134:I1134"/>
    <mergeCell ref="H1066:I1066"/>
    <mergeCell ref="H1075:I1075"/>
    <mergeCell ref="H1071:I1071"/>
    <mergeCell ref="H1037:I1037"/>
    <mergeCell ref="H1040:I1040"/>
    <mergeCell ref="H1055:I1055"/>
    <mergeCell ref="H1059:I1059"/>
    <mergeCell ref="H914:I914"/>
    <mergeCell ref="H892:I892"/>
    <mergeCell ref="H894:I894"/>
    <mergeCell ref="H889:I889"/>
    <mergeCell ref="H887:I887"/>
    <mergeCell ref="H990:I990"/>
    <mergeCell ref="H1030:I1030"/>
    <mergeCell ref="H992:I992"/>
    <mergeCell ref="H996:I996"/>
    <mergeCell ref="H993:I993"/>
    <mergeCell ref="F1325:G1325"/>
    <mergeCell ref="F1321:G1321"/>
    <mergeCell ref="F1332:G1332"/>
    <mergeCell ref="H1122:I1122"/>
    <mergeCell ref="H1145:I1145"/>
    <mergeCell ref="H1142:I1142"/>
    <mergeCell ref="H1123:I1123"/>
    <mergeCell ref="H1140:I1140"/>
    <mergeCell ref="H1136:I1136"/>
    <mergeCell ref="H1131:I1131"/>
    <mergeCell ref="H1126:I1126"/>
    <mergeCell ref="H1174:I1174"/>
    <mergeCell ref="H1135:I1135"/>
    <mergeCell ref="F1163:G1163"/>
    <mergeCell ref="H1150:I1150"/>
    <mergeCell ref="H1169:I1169"/>
    <mergeCell ref="H1139:I1139"/>
    <mergeCell ref="F1156:G1156"/>
    <mergeCell ref="F1159:G1159"/>
    <mergeCell ref="H1171:I1171"/>
    <mergeCell ref="H1179:I1179"/>
    <mergeCell ref="H1173:I1173"/>
    <mergeCell ref="H1172:I1172"/>
    <mergeCell ref="H1304:I1304"/>
    <mergeCell ref="H1313:I1313"/>
    <mergeCell ref="H1166:I1166"/>
    <mergeCell ref="H1132:I1132"/>
    <mergeCell ref="H1303:I1303"/>
    <mergeCell ref="H1302:I1302"/>
    <mergeCell ref="H1293:I1293"/>
    <mergeCell ref="H1286:I1286"/>
    <mergeCell ref="H1294:I1294"/>
    <mergeCell ref="F1348:G1348"/>
    <mergeCell ref="C1358:E1358"/>
    <mergeCell ref="F1358:G1358"/>
    <mergeCell ref="F1357:G1357"/>
    <mergeCell ref="C1356:E1356"/>
    <mergeCell ref="F1347:G1347"/>
    <mergeCell ref="F1349:G1349"/>
    <mergeCell ref="F1355:G1355"/>
    <mergeCell ref="F1283:G1283"/>
    <mergeCell ref="F1312:G1312"/>
    <mergeCell ref="F1373:G1373"/>
    <mergeCell ref="F1339:G1339"/>
    <mergeCell ref="F1330:G1330"/>
    <mergeCell ref="F1320:G1320"/>
    <mergeCell ref="F1326:G1326"/>
    <mergeCell ref="F1337:G1337"/>
    <mergeCell ref="F1333:G1333"/>
    <mergeCell ref="F1364:G1364"/>
    <mergeCell ref="F1360:G1360"/>
    <mergeCell ref="F1351:G1351"/>
    <mergeCell ref="F1359:G1359"/>
    <mergeCell ref="F1353:G1353"/>
    <mergeCell ref="F1335:G1335"/>
    <mergeCell ref="F1341:G1341"/>
    <mergeCell ref="F1338:G1338"/>
    <mergeCell ref="F1292:G1292"/>
    <mergeCell ref="F1293:G1293"/>
    <mergeCell ref="F1295:G1295"/>
    <mergeCell ref="F1334:G1334"/>
    <mergeCell ref="C1352:E1352"/>
    <mergeCell ref="F1356:G1356"/>
    <mergeCell ref="F1367:G1367"/>
    <mergeCell ref="C1376:E1376"/>
    <mergeCell ref="F1391:G1391"/>
    <mergeCell ref="F1387:G1387"/>
    <mergeCell ref="F1381:G1381"/>
    <mergeCell ref="C1435:E1435"/>
    <mergeCell ref="H1435:I1435"/>
    <mergeCell ref="H1422:I1422"/>
    <mergeCell ref="H1424:I1424"/>
    <mergeCell ref="H1430:I1430"/>
    <mergeCell ref="H1426:I1426"/>
    <mergeCell ref="F1434:G1434"/>
    <mergeCell ref="F1435:G1435"/>
    <mergeCell ref="F1430:G1430"/>
    <mergeCell ref="F1431:G1431"/>
    <mergeCell ref="C1413:E1413"/>
    <mergeCell ref="C1388:E1388"/>
    <mergeCell ref="F1433:G1433"/>
    <mergeCell ref="H1433:I1433"/>
    <mergeCell ref="C1427:E1427"/>
    <mergeCell ref="C1419:E1419"/>
    <mergeCell ref="F1428:G1428"/>
    <mergeCell ref="F1425:G1425"/>
    <mergeCell ref="C1416:E1416"/>
    <mergeCell ref="F1426:G1426"/>
    <mergeCell ref="C1410:E1410"/>
    <mergeCell ref="C1407:E1407"/>
    <mergeCell ref="C1405:E1405"/>
    <mergeCell ref="C1400:E1400"/>
    <mergeCell ref="C1398:E1398"/>
    <mergeCell ref="C1408:E1408"/>
    <mergeCell ref="C1403:E1403"/>
    <mergeCell ref="C1406:E1406"/>
    <mergeCell ref="H1904:I1904"/>
    <mergeCell ref="C1399:E1399"/>
    <mergeCell ref="F1416:G1416"/>
    <mergeCell ref="F1405:G1405"/>
    <mergeCell ref="F1413:G1413"/>
    <mergeCell ref="F1437:G1437"/>
    <mergeCell ref="F1456:G1456"/>
    <mergeCell ref="C1453:E1453"/>
    <mergeCell ref="F1450:G1450"/>
    <mergeCell ref="C1454:E1454"/>
    <mergeCell ref="F1455:G1455"/>
    <mergeCell ref="F1449:G1449"/>
    <mergeCell ref="C1455:E1455"/>
    <mergeCell ref="C1439:E1439"/>
    <mergeCell ref="F1446:G1446"/>
    <mergeCell ref="C1443:E1443"/>
    <mergeCell ref="C1444:E1444"/>
    <mergeCell ref="F1444:G1444"/>
    <mergeCell ref="C1446:E1446"/>
    <mergeCell ref="F1445:G1445"/>
    <mergeCell ref="C1436:E1436"/>
    <mergeCell ref="F1440:G1440"/>
    <mergeCell ref="F1441:G1441"/>
    <mergeCell ref="C1440:E1440"/>
    <mergeCell ref="F1438:G1438"/>
    <mergeCell ref="F1436:G1436"/>
    <mergeCell ref="C1437:E1437"/>
    <mergeCell ref="C1625:E1625"/>
    <mergeCell ref="F1619:G1619"/>
    <mergeCell ref="C1638:E1638"/>
    <mergeCell ref="C1633:E1633"/>
    <mergeCell ref="F1637:G1637"/>
    <mergeCell ref="H2581:I2581"/>
    <mergeCell ref="H1453:I1453"/>
    <mergeCell ref="C1456:E1456"/>
    <mergeCell ref="H1623:I1623"/>
    <mergeCell ref="H1571:I1571"/>
    <mergeCell ref="H1891:I1891"/>
    <mergeCell ref="H1879:I1879"/>
    <mergeCell ref="H1905:I1905"/>
    <mergeCell ref="F1746:G1746"/>
    <mergeCell ref="C1460:E1460"/>
    <mergeCell ref="C1464:E1464"/>
    <mergeCell ref="C1465:E1465"/>
    <mergeCell ref="C1452:E1452"/>
    <mergeCell ref="C1462:E1462"/>
    <mergeCell ref="H1897:I1897"/>
    <mergeCell ref="H1893:I1893"/>
    <mergeCell ref="F1749:G1749"/>
    <mergeCell ref="F1738:G1738"/>
    <mergeCell ref="F1748:G1748"/>
    <mergeCell ref="H1737:I1737"/>
    <mergeCell ref="H1889:I1889"/>
    <mergeCell ref="H1882:I1882"/>
    <mergeCell ref="H1877:I1877"/>
    <mergeCell ref="H1651:I1651"/>
    <mergeCell ref="H1874:I1874"/>
    <mergeCell ref="H1731:I1731"/>
    <mergeCell ref="H1763:I1763"/>
    <mergeCell ref="H1765:I1765"/>
    <mergeCell ref="H1900:I1900"/>
    <mergeCell ref="H1886:I1886"/>
    <mergeCell ref="H1890:I1890"/>
    <mergeCell ref="H1896:I1896"/>
    <mergeCell ref="F2900:G2900"/>
    <mergeCell ref="H2542:I2542"/>
    <mergeCell ref="H2671:I2671"/>
    <mergeCell ref="H2669:I2669"/>
    <mergeCell ref="H1909:I1909"/>
    <mergeCell ref="H1925:I1925"/>
    <mergeCell ref="H1906:I1906"/>
    <mergeCell ref="H2121:I2121"/>
    <mergeCell ref="H2097:I2097"/>
    <mergeCell ref="H2110:I2110"/>
    <mergeCell ref="H2101:I2101"/>
    <mergeCell ref="H2108:I2108"/>
    <mergeCell ref="H1919:I1919"/>
    <mergeCell ref="H1916:I1916"/>
    <mergeCell ref="H2115:I2115"/>
    <mergeCell ref="H2104:I2104"/>
    <mergeCell ref="H2114:I2114"/>
    <mergeCell ref="H2113:I2113"/>
    <mergeCell ref="H2116:I2116"/>
    <mergeCell ref="H2107:I2107"/>
    <mergeCell ref="H2106:I2106"/>
    <mergeCell ref="H2105:I2105"/>
    <mergeCell ref="H2129:I2129"/>
    <mergeCell ref="H2122:I2122"/>
    <mergeCell ref="H2134:I2134"/>
    <mergeCell ref="H2131:I2131"/>
    <mergeCell ref="H2130:I2130"/>
    <mergeCell ref="H2583:I2583"/>
    <mergeCell ref="H2575:I2575"/>
    <mergeCell ref="H2565:I2565"/>
    <mergeCell ref="H2571:I2571"/>
    <mergeCell ref="H2579:I2579"/>
    <mergeCell ref="F2851:G2851"/>
    <mergeCell ref="F2838:G2838"/>
    <mergeCell ref="F2840:G2840"/>
    <mergeCell ref="F2832:G2832"/>
    <mergeCell ref="F2829:G2829"/>
    <mergeCell ref="F2852:G2852"/>
    <mergeCell ref="F2841:G2841"/>
    <mergeCell ref="F2834:G2834"/>
    <mergeCell ref="F2845:G2845"/>
    <mergeCell ref="F2892:G2892"/>
    <mergeCell ref="F2886:G2886"/>
    <mergeCell ref="F2885:G2885"/>
    <mergeCell ref="F2889:G2889"/>
    <mergeCell ref="F2887:G2887"/>
    <mergeCell ref="F2890:G2890"/>
    <mergeCell ref="F2891:G2891"/>
    <mergeCell ref="H2893:I2893"/>
    <mergeCell ref="F2853:G2853"/>
    <mergeCell ref="H2864:I2864"/>
    <mergeCell ref="H2847:I2847"/>
    <mergeCell ref="H2861:I2861"/>
    <mergeCell ref="H2865:I2865"/>
    <mergeCell ref="H2860:I2860"/>
    <mergeCell ref="H2849:I2849"/>
    <mergeCell ref="H2866:I2866"/>
    <mergeCell ref="H2867:I2867"/>
    <mergeCell ref="H2875:I2875"/>
    <mergeCell ref="F2880:G2880"/>
    <mergeCell ref="F2839:G2839"/>
    <mergeCell ref="F2854:G2854"/>
    <mergeCell ref="F2859:G2859"/>
    <mergeCell ref="F2865:G2865"/>
    <mergeCell ref="H2942:I2942"/>
    <mergeCell ref="F2912:G2912"/>
    <mergeCell ref="F2911:G2911"/>
    <mergeCell ref="F2913:G2913"/>
    <mergeCell ref="F2939:G2939"/>
    <mergeCell ref="F2919:G2919"/>
    <mergeCell ref="F2920:G2920"/>
    <mergeCell ref="F2917:G2917"/>
    <mergeCell ref="H2923:I2923"/>
    <mergeCell ref="H2917:I2917"/>
    <mergeCell ref="H2928:I2928"/>
    <mergeCell ref="H2936:I2936"/>
    <mergeCell ref="H2935:I2935"/>
    <mergeCell ref="F2925:G2925"/>
    <mergeCell ref="F2916:G2916"/>
    <mergeCell ref="F2914:G2914"/>
    <mergeCell ref="H2924:I2924"/>
    <mergeCell ref="H2918:I2918"/>
    <mergeCell ref="H2922:I2922"/>
    <mergeCell ref="H2926:I2926"/>
    <mergeCell ref="H2932:I2932"/>
    <mergeCell ref="F2934:G2934"/>
    <mergeCell ref="F2915:G2915"/>
    <mergeCell ref="H2925:I2925"/>
    <mergeCell ref="H2933:I2933"/>
    <mergeCell ref="H2920:I2920"/>
    <mergeCell ref="C2911:E2911"/>
    <mergeCell ref="C2920:E2920"/>
    <mergeCell ref="C2917:E2917"/>
    <mergeCell ref="C2914:E2914"/>
    <mergeCell ref="C2913:E2913"/>
    <mergeCell ref="H2941:I2941"/>
    <mergeCell ref="H2921:I2921"/>
    <mergeCell ref="H2940:I2940"/>
    <mergeCell ref="H2939:I2939"/>
    <mergeCell ref="H2927:I2927"/>
    <mergeCell ref="H2929:I2929"/>
    <mergeCell ref="H2938:I2938"/>
    <mergeCell ref="H2937:I2937"/>
    <mergeCell ref="H2931:I2931"/>
    <mergeCell ref="C2912:E2912"/>
    <mergeCell ref="C2906:E2906"/>
    <mergeCell ref="C2910:E2910"/>
    <mergeCell ref="C2907:E2907"/>
    <mergeCell ref="F2909:G2909"/>
    <mergeCell ref="C2908:E2908"/>
    <mergeCell ref="F2907:G2907"/>
    <mergeCell ref="F2906:G2906"/>
    <mergeCell ref="H2906:I2906"/>
    <mergeCell ref="C2924:E2924"/>
    <mergeCell ref="C2941:E2941"/>
    <mergeCell ref="F2941:G2941"/>
    <mergeCell ref="F2926:G2926"/>
    <mergeCell ref="F2938:G2938"/>
    <mergeCell ref="F2935:G2935"/>
    <mergeCell ref="F2918:G2918"/>
    <mergeCell ref="C2916:E2916"/>
    <mergeCell ref="C2919:E2919"/>
    <mergeCell ref="C2925:E2925"/>
    <mergeCell ref="C2927:E2927"/>
    <mergeCell ref="F2933:G2933"/>
    <mergeCell ref="F2936:G2936"/>
    <mergeCell ref="C2943:E2943"/>
    <mergeCell ref="F2942:G2942"/>
    <mergeCell ref="C2939:E2939"/>
    <mergeCell ref="C2945:E2945"/>
    <mergeCell ref="F2922:G2922"/>
    <mergeCell ref="C2936:E2936"/>
    <mergeCell ref="F2940:G2940"/>
    <mergeCell ref="C2935:E2935"/>
    <mergeCell ref="C2942:E2942"/>
    <mergeCell ref="C2938:E2938"/>
    <mergeCell ref="F2945:G2945"/>
    <mergeCell ref="C2929:E2929"/>
    <mergeCell ref="F2931:G2931"/>
    <mergeCell ref="C2937:E2937"/>
    <mergeCell ref="C2934:E2934"/>
    <mergeCell ref="C2931:E2931"/>
    <mergeCell ref="C2923:E2923"/>
    <mergeCell ref="C2930:E2930"/>
    <mergeCell ref="C2933:E2933"/>
    <mergeCell ref="F2932:G2932"/>
    <mergeCell ref="F2927:G2927"/>
    <mergeCell ref="C2926:E2926"/>
    <mergeCell ref="C2932:E2932"/>
    <mergeCell ref="F2924:G2924"/>
    <mergeCell ref="F2929:G2929"/>
    <mergeCell ref="C2866:E2866"/>
    <mergeCell ref="F2883:G2883"/>
    <mergeCell ref="F2877:G2877"/>
    <mergeCell ref="C2882:E2882"/>
    <mergeCell ref="F2882:G2882"/>
    <mergeCell ref="F2878:G2878"/>
    <mergeCell ref="C2887:E2887"/>
    <mergeCell ref="C2888:E2888"/>
    <mergeCell ref="F2888:G2888"/>
    <mergeCell ref="C2879:E2879"/>
    <mergeCell ref="C2878:E2878"/>
    <mergeCell ref="C2890:E2890"/>
    <mergeCell ref="C2885:E2885"/>
    <mergeCell ref="C2884:E2884"/>
    <mergeCell ref="F2879:G2879"/>
    <mergeCell ref="C2895:E2895"/>
    <mergeCell ref="C2873:E2873"/>
    <mergeCell ref="F2871:G2871"/>
    <mergeCell ref="F2738:G2738"/>
    <mergeCell ref="H2685:I2685"/>
    <mergeCell ref="H2675:I2675"/>
    <mergeCell ref="H2662:I2662"/>
    <mergeCell ref="H2661:I2661"/>
    <mergeCell ref="H2663:I2663"/>
    <mergeCell ref="H2683:I2683"/>
    <mergeCell ref="H2672:I2672"/>
    <mergeCell ref="H2665:I2665"/>
    <mergeCell ref="H2679:I2679"/>
    <mergeCell ref="C2852:E2852"/>
    <mergeCell ref="F2737:G2737"/>
    <mergeCell ref="F2774:G2774"/>
    <mergeCell ref="F2773:G2773"/>
    <mergeCell ref="H2769:I2769"/>
    <mergeCell ref="H2772:I2772"/>
    <mergeCell ref="H2760:I2760"/>
    <mergeCell ref="F2765:G2765"/>
    <mergeCell ref="F2771:G2771"/>
    <mergeCell ref="H2750:I2750"/>
    <mergeCell ref="C2840:E2840"/>
    <mergeCell ref="C2841:E2841"/>
    <mergeCell ref="C2842:E2842"/>
    <mergeCell ref="C2851:E2851"/>
    <mergeCell ref="F2843:G2843"/>
    <mergeCell ref="H2762:I2762"/>
    <mergeCell ref="H2751:I2751"/>
    <mergeCell ref="H2739:I2739"/>
    <mergeCell ref="H2766:I2766"/>
    <mergeCell ref="H2694:I2694"/>
    <mergeCell ref="H2697:I2697"/>
    <mergeCell ref="H2708:I2708"/>
    <mergeCell ref="H2570:I2570"/>
    <mergeCell ref="H2578:I2578"/>
    <mergeCell ref="H2693:I2693"/>
    <mergeCell ref="F2718:G2718"/>
    <mergeCell ref="F2736:G2736"/>
    <mergeCell ref="H2659:I2659"/>
    <mergeCell ref="F2712:G2712"/>
    <mergeCell ref="F2711:G2711"/>
    <mergeCell ref="H2682:I2682"/>
    <mergeCell ref="H2667:I2667"/>
    <mergeCell ref="F2722:G2722"/>
    <mergeCell ref="H2684:I2684"/>
    <mergeCell ref="H2698:I2698"/>
    <mergeCell ref="H2703:I2703"/>
    <mergeCell ref="H2666:I2666"/>
    <mergeCell ref="H2610:I2610"/>
    <mergeCell ref="H2695:I2695"/>
    <mergeCell ref="H2687:I2687"/>
    <mergeCell ref="H2621:I2621"/>
    <mergeCell ref="H2696:I2696"/>
    <mergeCell ref="H2691:I2691"/>
    <mergeCell ref="H2689:I2689"/>
    <mergeCell ref="H2664:I2664"/>
    <mergeCell ref="H2692:I2692"/>
    <mergeCell ref="H2631:I2631"/>
    <mergeCell ref="H2608:I2608"/>
    <mergeCell ref="H2606:I2606"/>
    <mergeCell ref="H2589:I2589"/>
    <mergeCell ref="H2627:I2627"/>
    <mergeCell ref="H2596:I2596"/>
    <mergeCell ref="H2617:I2617"/>
    <mergeCell ref="H2614:I2614"/>
    <mergeCell ref="H2524:I2524"/>
    <mergeCell ref="H2523:I2523"/>
    <mergeCell ref="H2505:I2505"/>
    <mergeCell ref="H2504:I2504"/>
    <mergeCell ref="H2510:I2510"/>
    <mergeCell ref="H2506:I2506"/>
    <mergeCell ref="H2507:I2507"/>
    <mergeCell ref="H2517:I2517"/>
    <mergeCell ref="H2521:I2521"/>
    <mergeCell ref="H2520:I2520"/>
    <mergeCell ref="H2554:I2554"/>
    <mergeCell ref="H2551:I2551"/>
    <mergeCell ref="H2536:I2536"/>
    <mergeCell ref="H2522:I2522"/>
    <mergeCell ref="H2514:I2514"/>
    <mergeCell ref="H2518:I2518"/>
    <mergeCell ref="H2548:I2548"/>
    <mergeCell ref="H2553:I2553"/>
    <mergeCell ref="H2515:I2515"/>
    <mergeCell ref="H2533:I2533"/>
    <mergeCell ref="H2544:I2544"/>
    <mergeCell ref="H2549:I2549"/>
    <mergeCell ref="H2528:I2528"/>
    <mergeCell ref="H2532:I2532"/>
    <mergeCell ref="H2530:I2530"/>
    <mergeCell ref="H2539:I2539"/>
    <mergeCell ref="H2535:I2535"/>
    <mergeCell ref="H2531:I2531"/>
    <mergeCell ref="H2537:I2537"/>
    <mergeCell ref="H2538:I2538"/>
    <mergeCell ref="H2527:I2527"/>
    <mergeCell ref="H2525:I2525"/>
    <mergeCell ref="H2492:I2492"/>
    <mergeCell ref="H2481:I2481"/>
    <mergeCell ref="H2477:I2477"/>
    <mergeCell ref="H2480:I2480"/>
    <mergeCell ref="H2493:I2493"/>
    <mergeCell ref="H2490:I2490"/>
    <mergeCell ref="H2478:I2478"/>
    <mergeCell ref="H2487:I2487"/>
    <mergeCell ref="H2485:I2485"/>
    <mergeCell ref="H2495:I2495"/>
    <mergeCell ref="H2498:I2498"/>
    <mergeCell ref="H2509:I2509"/>
    <mergeCell ref="H2508:I2508"/>
    <mergeCell ref="H2499:I2499"/>
    <mergeCell ref="H2500:I2500"/>
    <mergeCell ref="H2496:I2496"/>
    <mergeCell ref="H2501:I2501"/>
    <mergeCell ref="H2497:I2497"/>
    <mergeCell ref="H2117:I2117"/>
    <mergeCell ref="F2113:G2113"/>
    <mergeCell ref="H2327:I2327"/>
    <mergeCell ref="H2330:I2330"/>
    <mergeCell ref="H2335:I2335"/>
    <mergeCell ref="H2333:I2333"/>
    <mergeCell ref="H2396:I2396"/>
    <mergeCell ref="H2389:I2389"/>
    <mergeCell ref="H2388:I2388"/>
    <mergeCell ref="H2383:I2383"/>
    <mergeCell ref="H2381:I2381"/>
    <mergeCell ref="H2379:I2379"/>
    <mergeCell ref="H2418:I2418"/>
    <mergeCell ref="H2421:I2421"/>
    <mergeCell ref="H2434:I2434"/>
    <mergeCell ref="H2436:I2436"/>
    <mergeCell ref="H2437:I2437"/>
    <mergeCell ref="H2423:I2423"/>
    <mergeCell ref="H2429:I2429"/>
    <mergeCell ref="H2433:I2433"/>
    <mergeCell ref="H2428:I2428"/>
    <mergeCell ref="H2426:I2426"/>
    <mergeCell ref="H2125:I2125"/>
    <mergeCell ref="H2124:I2124"/>
    <mergeCell ref="H2132:I2132"/>
    <mergeCell ref="H2127:I2127"/>
    <mergeCell ref="H2133:I2133"/>
    <mergeCell ref="H2135:I2135"/>
    <mergeCell ref="H2145:I2145"/>
    <mergeCell ref="H2139:I2139"/>
    <mergeCell ref="H2308:I2308"/>
    <mergeCell ref="H2153:I2153"/>
    <mergeCell ref="F202:G202"/>
    <mergeCell ref="F200:G200"/>
    <mergeCell ref="F199:G199"/>
    <mergeCell ref="H193:I193"/>
    <mergeCell ref="F175:G175"/>
    <mergeCell ref="H181:I181"/>
    <mergeCell ref="H176:I176"/>
    <mergeCell ref="H180:I180"/>
    <mergeCell ref="H190:I190"/>
    <mergeCell ref="F183:G183"/>
    <mergeCell ref="F181:G181"/>
    <mergeCell ref="F182:G182"/>
    <mergeCell ref="H184:I184"/>
    <mergeCell ref="F2136:G2136"/>
    <mergeCell ref="F2126:G2126"/>
    <mergeCell ref="F2127:G2127"/>
    <mergeCell ref="F1821:G1821"/>
    <mergeCell ref="F1804:G1804"/>
    <mergeCell ref="F1817:G1817"/>
    <mergeCell ref="F2135:G2135"/>
    <mergeCell ref="F2116:G2116"/>
    <mergeCell ref="F2114:G2114"/>
    <mergeCell ref="F2117:G2117"/>
    <mergeCell ref="H1923:I1923"/>
    <mergeCell ref="F2112:G2112"/>
    <mergeCell ref="H1915:I1915"/>
    <mergeCell ref="H1913:I1913"/>
    <mergeCell ref="F2125:G2125"/>
    <mergeCell ref="F2121:G2121"/>
    <mergeCell ref="H2085:I2085"/>
    <mergeCell ref="H1930:I1930"/>
    <mergeCell ref="F297:G297"/>
    <mergeCell ref="H241:I241"/>
    <mergeCell ref="F249:G249"/>
    <mergeCell ref="F231:G231"/>
    <mergeCell ref="F233:G233"/>
    <mergeCell ref="F304:G304"/>
    <mergeCell ref="F282:G282"/>
    <mergeCell ref="F277:G277"/>
    <mergeCell ref="F229:G229"/>
    <mergeCell ref="F236:G236"/>
    <mergeCell ref="F243:G243"/>
    <mergeCell ref="F232:G232"/>
    <mergeCell ref="F235:G235"/>
    <mergeCell ref="F285:G285"/>
    <mergeCell ref="F302:G302"/>
    <mergeCell ref="F300:G300"/>
    <mergeCell ref="F280:G280"/>
    <mergeCell ref="F286:G286"/>
    <mergeCell ref="F290:G290"/>
    <mergeCell ref="F250:G250"/>
    <mergeCell ref="F255:G255"/>
    <mergeCell ref="F276:G276"/>
    <mergeCell ref="F273:G273"/>
    <mergeCell ref="H254:I254"/>
    <mergeCell ref="H260:I260"/>
    <mergeCell ref="H257:I257"/>
    <mergeCell ref="H261:I261"/>
    <mergeCell ref="F259:G259"/>
    <mergeCell ref="H292:I292"/>
    <mergeCell ref="F294:G294"/>
    <mergeCell ref="H255:I255"/>
    <mergeCell ref="F271:G271"/>
    <mergeCell ref="F258:G258"/>
    <mergeCell ref="F309:G309"/>
    <mergeCell ref="F298:G298"/>
    <mergeCell ref="H357:I357"/>
    <mergeCell ref="F330:G330"/>
    <mergeCell ref="H352:I352"/>
    <mergeCell ref="H327:I327"/>
    <mergeCell ref="H333:I333"/>
    <mergeCell ref="F303:G303"/>
    <mergeCell ref="F324:G324"/>
    <mergeCell ref="F306:G306"/>
    <mergeCell ref="F323:G323"/>
    <mergeCell ref="F321:G321"/>
    <mergeCell ref="F320:G320"/>
    <mergeCell ref="F301:G301"/>
    <mergeCell ref="F312:G312"/>
    <mergeCell ref="F352:G352"/>
    <mergeCell ref="H332:I332"/>
    <mergeCell ref="H342:I342"/>
    <mergeCell ref="H328:I328"/>
    <mergeCell ref="H322:I322"/>
    <mergeCell ref="H324:I324"/>
    <mergeCell ref="H317:I317"/>
    <mergeCell ref="H319:I319"/>
    <mergeCell ref="H345:I345"/>
    <mergeCell ref="H349:I349"/>
    <mergeCell ref="H344:I344"/>
    <mergeCell ref="H347:I347"/>
    <mergeCell ref="H334:I334"/>
    <mergeCell ref="H338:I338"/>
    <mergeCell ref="H313:I313"/>
    <mergeCell ref="H326:I326"/>
    <mergeCell ref="H325:I325"/>
    <mergeCell ref="C926:E926"/>
    <mergeCell ref="C919:E919"/>
    <mergeCell ref="C917:E917"/>
    <mergeCell ref="H512:I512"/>
    <mergeCell ref="H519:I519"/>
    <mergeCell ref="H518:I518"/>
    <mergeCell ref="H513:I513"/>
    <mergeCell ref="F407:G407"/>
    <mergeCell ref="F331:G331"/>
    <mergeCell ref="F355:G355"/>
    <mergeCell ref="H497:I497"/>
    <mergeCell ref="H499:I499"/>
    <mergeCell ref="F343:G343"/>
    <mergeCell ref="H343:I343"/>
    <mergeCell ref="F332:G332"/>
    <mergeCell ref="F394:G394"/>
    <mergeCell ref="F385:G385"/>
    <mergeCell ref="C920:E920"/>
    <mergeCell ref="C923:E923"/>
    <mergeCell ref="C921:E921"/>
    <mergeCell ref="C896:E896"/>
    <mergeCell ref="C874:E874"/>
    <mergeCell ref="C885:E885"/>
    <mergeCell ref="C888:E888"/>
    <mergeCell ref="C895:E895"/>
    <mergeCell ref="C892:E892"/>
    <mergeCell ref="C911:E911"/>
    <mergeCell ref="C909:E909"/>
    <mergeCell ref="C889:E889"/>
    <mergeCell ref="C871:E871"/>
    <mergeCell ref="C906:E906"/>
    <mergeCell ref="C893:E893"/>
    <mergeCell ref="H820:I820"/>
    <mergeCell ref="H844:I844"/>
    <mergeCell ref="H879:I879"/>
    <mergeCell ref="H862:I862"/>
    <mergeCell ref="H843:I843"/>
    <mergeCell ref="H823:I823"/>
    <mergeCell ref="H825:I825"/>
    <mergeCell ref="H826:I826"/>
    <mergeCell ref="H845:I845"/>
    <mergeCell ref="F543:G543"/>
    <mergeCell ref="F559:G559"/>
    <mergeCell ref="H636:I636"/>
    <mergeCell ref="H586:I586"/>
    <mergeCell ref="H624:I624"/>
    <mergeCell ref="F691:G691"/>
    <mergeCell ref="H659:I659"/>
    <mergeCell ref="H686:I686"/>
    <mergeCell ref="H681:I681"/>
    <mergeCell ref="H690:I690"/>
    <mergeCell ref="F612:G612"/>
    <mergeCell ref="F659:G659"/>
    <mergeCell ref="F608:G608"/>
    <mergeCell ref="F607:G607"/>
    <mergeCell ref="F563:G563"/>
    <mergeCell ref="H849:I849"/>
    <mergeCell ref="F867:G867"/>
    <mergeCell ref="H866:I866"/>
    <mergeCell ref="H858:I858"/>
    <mergeCell ref="F819:G819"/>
    <mergeCell ref="F831:G831"/>
    <mergeCell ref="H831:I831"/>
    <mergeCell ref="H817:I817"/>
    <mergeCell ref="C1127:E1127"/>
    <mergeCell ref="C1114:E1114"/>
    <mergeCell ref="C1138:E1138"/>
    <mergeCell ref="C1255:E1255"/>
    <mergeCell ref="C1271:E1271"/>
    <mergeCell ref="C1260:E1260"/>
    <mergeCell ref="C1230:E1230"/>
    <mergeCell ref="C1213:E1213"/>
    <mergeCell ref="C1221:E1221"/>
    <mergeCell ref="C1225:E1225"/>
    <mergeCell ref="F711:G711"/>
    <mergeCell ref="C1117:E1117"/>
    <mergeCell ref="C1125:E1125"/>
    <mergeCell ref="C1137:E1137"/>
    <mergeCell ref="C1139:E1139"/>
    <mergeCell ref="C1123:E1123"/>
    <mergeCell ref="C1135:E1135"/>
    <mergeCell ref="C1128:E1128"/>
    <mergeCell ref="C1122:E1122"/>
    <mergeCell ref="C1118:E1118"/>
    <mergeCell ref="C1130:E1130"/>
    <mergeCell ref="C1133:E1133"/>
    <mergeCell ref="C925:E925"/>
    <mergeCell ref="C913:E913"/>
    <mergeCell ref="F820:G820"/>
    <mergeCell ref="C1079:E1079"/>
    <mergeCell ref="C1031:E1031"/>
    <mergeCell ref="C1090:E1090"/>
    <mergeCell ref="C1075:E1075"/>
    <mergeCell ref="C1086:E1086"/>
    <mergeCell ref="C947:E947"/>
    <mergeCell ref="C931:E931"/>
    <mergeCell ref="C1209:E1209"/>
    <mergeCell ref="C1220:E1220"/>
    <mergeCell ref="C1235:E1235"/>
    <mergeCell ref="C1227:E1227"/>
    <mergeCell ref="C1210:E1210"/>
    <mergeCell ref="C1262:E1262"/>
    <mergeCell ref="C1274:E1274"/>
    <mergeCell ref="C1226:E1226"/>
    <mergeCell ref="C1247:E1247"/>
    <mergeCell ref="C1219:E1219"/>
    <mergeCell ref="C1224:E1224"/>
    <mergeCell ref="C1223:E1223"/>
    <mergeCell ref="C1216:E1216"/>
    <mergeCell ref="C1236:E1236"/>
    <mergeCell ref="C1275:E1275"/>
    <mergeCell ref="C1267:E1267"/>
    <mergeCell ref="C1231:E1231"/>
    <mergeCell ref="C1240:E1240"/>
    <mergeCell ref="C1238:E1238"/>
    <mergeCell ref="C1233:E1233"/>
    <mergeCell ref="C1242:E1242"/>
    <mergeCell ref="C1243:E1243"/>
    <mergeCell ref="C1234:E1234"/>
    <mergeCell ref="C1232:E1232"/>
    <mergeCell ref="C1229:E1229"/>
    <mergeCell ref="C1237:E1237"/>
    <mergeCell ref="C1211:E1211"/>
    <mergeCell ref="C1212:E1212"/>
    <mergeCell ref="C1214:E1214"/>
    <mergeCell ref="C1215:E1215"/>
    <mergeCell ref="C1217:E1217"/>
    <mergeCell ref="C1218:E1218"/>
    <mergeCell ref="C1289:E1289"/>
    <mergeCell ref="C1292:E1292"/>
    <mergeCell ref="C1291:E1291"/>
    <mergeCell ref="C944:E944"/>
    <mergeCell ref="C934:E934"/>
    <mergeCell ref="C945:E945"/>
    <mergeCell ref="C1032:E1032"/>
    <mergeCell ref="C1099:E1099"/>
    <mergeCell ref="C1009:E1009"/>
    <mergeCell ref="C1002:E1002"/>
    <mergeCell ref="C1069:E1069"/>
    <mergeCell ref="C961:E961"/>
    <mergeCell ref="C974:E974"/>
    <mergeCell ref="C972:E972"/>
    <mergeCell ref="C1064:E1064"/>
    <mergeCell ref="C1026:E1026"/>
    <mergeCell ref="C1033:E1033"/>
    <mergeCell ref="C1040:E1040"/>
    <mergeCell ref="C1048:E1048"/>
    <mergeCell ref="C941:E941"/>
    <mergeCell ref="C1010:E1010"/>
    <mergeCell ref="C1027:E1027"/>
    <mergeCell ref="C1024:E1024"/>
    <mergeCell ref="C950:E950"/>
    <mergeCell ref="C1035:E1035"/>
    <mergeCell ref="C1023:E1023"/>
    <mergeCell ref="C1057:E1057"/>
    <mergeCell ref="C1049:E1049"/>
    <mergeCell ref="C1030:E1030"/>
    <mergeCell ref="C1042:E1042"/>
    <mergeCell ref="C1050:E1050"/>
    <mergeCell ref="C1039:E1039"/>
    <mergeCell ref="C1065:E1065"/>
    <mergeCell ref="C1055:E1055"/>
    <mergeCell ref="H821:I821"/>
    <mergeCell ref="H830:I830"/>
    <mergeCell ref="H829:I829"/>
    <mergeCell ref="H822:I822"/>
    <mergeCell ref="H819:I819"/>
    <mergeCell ref="C901:E901"/>
    <mergeCell ref="C847:E847"/>
    <mergeCell ref="H796:I796"/>
    <mergeCell ref="H798:I798"/>
    <mergeCell ref="H794:I794"/>
    <mergeCell ref="H795:I795"/>
    <mergeCell ref="H790:I790"/>
    <mergeCell ref="H801:I801"/>
    <mergeCell ref="H803:I803"/>
    <mergeCell ref="H816:I816"/>
    <mergeCell ref="H815:I815"/>
    <mergeCell ref="F857:G857"/>
    <mergeCell ref="C852:E852"/>
    <mergeCell ref="F887:G887"/>
    <mergeCell ref="F882:G882"/>
    <mergeCell ref="C894:E894"/>
    <mergeCell ref="C876:E876"/>
    <mergeCell ref="C854:E854"/>
    <mergeCell ref="C897:E897"/>
    <mergeCell ref="C853:E853"/>
    <mergeCell ref="C857:E857"/>
    <mergeCell ref="H809:I809"/>
    <mergeCell ref="C867:E867"/>
    <mergeCell ref="C868:E868"/>
    <mergeCell ref="C869:E869"/>
    <mergeCell ref="H782:I782"/>
    <mergeCell ref="H788:I788"/>
    <mergeCell ref="H786:I786"/>
    <mergeCell ref="H748:I748"/>
    <mergeCell ref="H755:I755"/>
    <mergeCell ref="H765:I765"/>
    <mergeCell ref="H780:I780"/>
    <mergeCell ref="H779:I779"/>
    <mergeCell ref="H778:I778"/>
    <mergeCell ref="H818:I818"/>
    <mergeCell ref="H800:I800"/>
    <mergeCell ref="H810:I810"/>
    <mergeCell ref="H787:I787"/>
    <mergeCell ref="H791:I791"/>
    <mergeCell ref="H793:I793"/>
    <mergeCell ref="H806:I806"/>
    <mergeCell ref="H808:I808"/>
    <mergeCell ref="H802:I802"/>
    <mergeCell ref="H811:I811"/>
    <mergeCell ref="H812:I812"/>
    <mergeCell ref="H783:I783"/>
    <mergeCell ref="H792:I792"/>
    <mergeCell ref="H781:I781"/>
    <mergeCell ref="H752:I752"/>
    <mergeCell ref="H768:I768"/>
    <mergeCell ref="H654:I654"/>
    <mergeCell ref="H648:I648"/>
    <mergeCell ref="H649:I649"/>
    <mergeCell ref="H632:I632"/>
    <mergeCell ref="H646:I646"/>
    <mergeCell ref="H643:I643"/>
    <mergeCell ref="H682:I682"/>
    <mergeCell ref="H685:I685"/>
    <mergeCell ref="H662:I662"/>
    <mergeCell ref="H593:I593"/>
    <mergeCell ref="H620:I620"/>
    <mergeCell ref="H616:I616"/>
    <mergeCell ref="H619:I619"/>
    <mergeCell ref="H612:I612"/>
    <mergeCell ref="H639:I639"/>
    <mergeCell ref="H637:I637"/>
    <mergeCell ref="H733:I733"/>
    <mergeCell ref="H717:I717"/>
    <mergeCell ref="H732:I732"/>
    <mergeCell ref="H730:I730"/>
    <mergeCell ref="H720:I720"/>
    <mergeCell ref="H731:I731"/>
    <mergeCell ref="H724:I724"/>
    <mergeCell ref="H725:I725"/>
    <mergeCell ref="H729:I729"/>
    <mergeCell ref="H667:I667"/>
    <mergeCell ref="H702:I702"/>
    <mergeCell ref="H728:I728"/>
    <mergeCell ref="H696:I696"/>
    <mergeCell ref="H709:I709"/>
    <mergeCell ref="H726:I726"/>
    <mergeCell ref="H618:I618"/>
    <mergeCell ref="H2289:I2289"/>
    <mergeCell ref="H2291:I2291"/>
    <mergeCell ref="H2143:I2143"/>
    <mergeCell ref="H2324:I2324"/>
    <mergeCell ref="H2266:I2266"/>
    <mergeCell ref="H2288:I2288"/>
    <mergeCell ref="H2239:I2239"/>
    <mergeCell ref="H2242:I2242"/>
    <mergeCell ref="H2306:I2306"/>
    <mergeCell ref="H2281:I2281"/>
    <mergeCell ref="H719:I719"/>
    <mergeCell ref="H716:I716"/>
    <mergeCell ref="H705:I705"/>
    <mergeCell ref="H718:I718"/>
    <mergeCell ref="H706:I706"/>
    <mergeCell ref="H710:I710"/>
    <mergeCell ref="H714:I714"/>
    <mergeCell ref="H713:I713"/>
    <mergeCell ref="H707:I707"/>
    <mergeCell ref="H708:I708"/>
    <mergeCell ref="H742:I742"/>
    <mergeCell ref="H737:I737"/>
    <mergeCell ref="H735:I735"/>
    <mergeCell ref="H734:I734"/>
    <mergeCell ref="H746:I746"/>
    <mergeCell ref="H777:I777"/>
    <mergeCell ref="H749:I749"/>
    <mergeCell ref="H754:I754"/>
    <mergeCell ref="H745:I745"/>
    <mergeCell ref="H772:I772"/>
    <mergeCell ref="H736:I736"/>
    <mergeCell ref="H747:I747"/>
    <mergeCell ref="H2371:I2371"/>
    <mergeCell ref="H2572:I2572"/>
    <mergeCell ref="H2431:I2431"/>
    <mergeCell ref="H2432:I2432"/>
    <mergeCell ref="H2435:I2435"/>
    <mergeCell ref="H2424:I2424"/>
    <mergeCell ref="H2405:I2405"/>
    <mergeCell ref="H2442:I2442"/>
    <mergeCell ref="H2336:I2336"/>
    <mergeCell ref="H2304:I2304"/>
    <mergeCell ref="H2294:I2294"/>
    <mergeCell ref="H2296:I2296"/>
    <mergeCell ref="H2300:I2300"/>
    <mergeCell ref="H2295:I2295"/>
    <mergeCell ref="H2301:I2301"/>
    <mergeCell ref="H2298:I2298"/>
    <mergeCell ref="H2299:I2299"/>
    <mergeCell ref="H2329:I2329"/>
    <mergeCell ref="H2464:I2464"/>
    <mergeCell ref="H2455:I2455"/>
    <mergeCell ref="H2444:I2444"/>
    <mergeCell ref="H2449:I2449"/>
    <mergeCell ref="H2453:I2453"/>
    <mergeCell ref="H2452:I2452"/>
    <mergeCell ref="H2445:I2445"/>
    <mergeCell ref="H2470:I2470"/>
    <mergeCell ref="H2454:I2454"/>
    <mergeCell ref="H2461:I2461"/>
    <mergeCell ref="H2456:I2456"/>
    <mergeCell ref="H2466:I2466"/>
    <mergeCell ref="H2479:I2479"/>
    <mergeCell ref="H2482:I2482"/>
    <mergeCell ref="H2594:I2594"/>
    <mergeCell ref="H2611:I2611"/>
    <mergeCell ref="H2637:I2637"/>
    <mergeCell ref="H2641:I2641"/>
    <mergeCell ref="H2607:I2607"/>
    <mergeCell ref="H2638:I2638"/>
    <mergeCell ref="H2619:I2619"/>
    <mergeCell ref="H2625:I2625"/>
    <mergeCell ref="H2615:I2615"/>
    <mergeCell ref="H2408:I2408"/>
    <mergeCell ref="H2598:I2598"/>
    <mergeCell ref="H2593:I2593"/>
    <mergeCell ref="H2599:I2599"/>
    <mergeCell ref="H2603:I2603"/>
    <mergeCell ref="H2602:I2602"/>
    <mergeCell ref="H2417:I2417"/>
    <mergeCell ref="H2600:I2600"/>
    <mergeCell ref="H2595:I2595"/>
    <mergeCell ref="H2601:I2601"/>
    <mergeCell ref="H2462:I2462"/>
    <mergeCell ref="H2460:I2460"/>
    <mergeCell ref="H2467:I2467"/>
    <mergeCell ref="H2469:I2469"/>
    <mergeCell ref="H2465:I2465"/>
    <mergeCell ref="H2476:I2476"/>
    <mergeCell ref="H2489:I2489"/>
    <mergeCell ref="H2484:I2484"/>
    <mergeCell ref="H2486:I2486"/>
    <mergeCell ref="H2474:I2474"/>
    <mergeCell ref="H2459:I2459"/>
    <mergeCell ref="H2463:I2463"/>
    <mergeCell ref="H2494:I2494"/>
    <mergeCell ref="H2643:I2643"/>
    <mergeCell ref="H2647:I2647"/>
    <mergeCell ref="H2652:I2652"/>
    <mergeCell ref="H2657:I2657"/>
    <mergeCell ref="H2651:I2651"/>
    <mergeCell ref="H2654:I2654"/>
    <mergeCell ref="H2653:I2653"/>
    <mergeCell ref="H2677:I2677"/>
    <mergeCell ref="H2650:I2650"/>
    <mergeCell ref="H2649:I2649"/>
    <mergeCell ref="H2639:I2639"/>
    <mergeCell ref="H2622:I2622"/>
    <mergeCell ref="H2642:I2642"/>
    <mergeCell ref="H2645:I2645"/>
    <mergeCell ref="H2656:I2656"/>
    <mergeCell ref="H2660:I2660"/>
    <mergeCell ref="H2648:I2648"/>
    <mergeCell ref="H2676:I2676"/>
    <mergeCell ref="H2633:I2633"/>
    <mergeCell ref="H2673:I2673"/>
    <mergeCell ref="H2640:I2640"/>
    <mergeCell ref="H2635:I2635"/>
    <mergeCell ref="H2634:I2634"/>
    <mergeCell ref="H2636:I2636"/>
    <mergeCell ref="H2632:I2632"/>
    <mergeCell ref="H2628:I2628"/>
    <mergeCell ref="H2623:I2623"/>
    <mergeCell ref="H2624:I2624"/>
    <mergeCell ref="H2630:I2630"/>
    <mergeCell ref="H2629:I2629"/>
    <mergeCell ref="H2626:I2626"/>
    <mergeCell ref="F2705:G2705"/>
    <mergeCell ref="F2696:G2696"/>
    <mergeCell ref="F2703:G2703"/>
    <mergeCell ref="F2704:G2704"/>
    <mergeCell ref="F2695:G2695"/>
    <mergeCell ref="F2694:G2694"/>
    <mergeCell ref="F2720:G2720"/>
    <mergeCell ref="H2668:I2668"/>
    <mergeCell ref="H2644:I2644"/>
    <mergeCell ref="F2702:G2702"/>
    <mergeCell ref="F2648:G2648"/>
    <mergeCell ref="F2699:G2699"/>
    <mergeCell ref="F2680:G2680"/>
    <mergeCell ref="F2658:G2658"/>
    <mergeCell ref="H2670:I2670"/>
    <mergeCell ref="F2692:G2692"/>
    <mergeCell ref="F2698:G2698"/>
    <mergeCell ref="F2719:G2719"/>
    <mergeCell ref="F2709:G2709"/>
    <mergeCell ref="F2716:G2716"/>
    <mergeCell ref="F2707:G2707"/>
    <mergeCell ref="F2701:G2701"/>
    <mergeCell ref="F2713:G2713"/>
    <mergeCell ref="F2700:G2700"/>
    <mergeCell ref="F2717:G2717"/>
    <mergeCell ref="F2706:G2706"/>
    <mergeCell ref="H2658:I2658"/>
    <mergeCell ref="H2646:I2646"/>
    <mergeCell ref="F2708:G2708"/>
    <mergeCell ref="H2688:I2688"/>
    <mergeCell ref="H2678:I2678"/>
    <mergeCell ref="H2681:I2681"/>
    <mergeCell ref="F2662:G2662"/>
    <mergeCell ref="F2647:G2647"/>
    <mergeCell ref="F2594:G2594"/>
    <mergeCell ref="F2589:G2589"/>
    <mergeCell ref="F2591:G2591"/>
    <mergeCell ref="F2605:G2605"/>
    <mergeCell ref="F2598:G2598"/>
    <mergeCell ref="F2616:G2616"/>
    <mergeCell ref="F2600:G2600"/>
    <mergeCell ref="F2593:G2593"/>
    <mergeCell ref="F2650:G2650"/>
    <mergeCell ref="F2697:G2697"/>
    <mergeCell ref="F2690:G2690"/>
    <mergeCell ref="F2660:G2660"/>
    <mergeCell ref="F2654:G2654"/>
    <mergeCell ref="F2668:G2668"/>
    <mergeCell ref="F2667:G2667"/>
    <mergeCell ref="F2659:G2659"/>
    <mergeCell ref="F2672:G2672"/>
    <mergeCell ref="F2656:G2656"/>
    <mergeCell ref="F2638:G2638"/>
    <mergeCell ref="F2637:G2637"/>
    <mergeCell ref="F2631:G2631"/>
    <mergeCell ref="F2621:G2621"/>
    <mergeCell ref="F2622:G2622"/>
    <mergeCell ref="F2633:G2633"/>
    <mergeCell ref="F2632:G2632"/>
    <mergeCell ref="F2630:G2630"/>
    <mergeCell ref="F2629:G2629"/>
    <mergeCell ref="F2625:G2625"/>
    <mergeCell ref="F2623:G2623"/>
    <mergeCell ref="F2624:G2624"/>
    <mergeCell ref="F2128:G2128"/>
    <mergeCell ref="F2129:G2129"/>
    <mergeCell ref="F2133:G2133"/>
    <mergeCell ref="F2216:G2216"/>
    <mergeCell ref="F2144:G2144"/>
    <mergeCell ref="F2175:G2175"/>
    <mergeCell ref="F2525:G2525"/>
    <mergeCell ref="F2529:G2529"/>
    <mergeCell ref="F2536:G2536"/>
    <mergeCell ref="F2221:G2221"/>
    <mergeCell ref="F2220:G2220"/>
    <mergeCell ref="F2453:G2453"/>
    <mergeCell ref="F2424:G2424"/>
    <mergeCell ref="F2423:G2423"/>
    <mergeCell ref="F2448:G2448"/>
    <mergeCell ref="F2383:G2383"/>
    <mergeCell ref="F2590:G2590"/>
    <mergeCell ref="F2588:G2588"/>
    <mergeCell ref="F2560:G2560"/>
    <mergeCell ref="F2533:G2533"/>
    <mergeCell ref="F2552:G2552"/>
    <mergeCell ref="F2542:G2542"/>
    <mergeCell ref="F2565:G2565"/>
    <mergeCell ref="F2572:G2572"/>
    <mergeCell ref="F2535:G2535"/>
    <mergeCell ref="F2538:G2538"/>
    <mergeCell ref="F2559:G2559"/>
    <mergeCell ref="F2555:G2555"/>
    <mergeCell ref="F2557:G2557"/>
    <mergeCell ref="F2558:G2558"/>
    <mergeCell ref="F2551:G2551"/>
    <mergeCell ref="F2556:G2556"/>
    <mergeCell ref="F2371:G2371"/>
    <mergeCell ref="F2368:G2368"/>
    <mergeCell ref="F2382:G2382"/>
    <mergeCell ref="F2177:G2177"/>
    <mergeCell ref="F2361:G2361"/>
    <mergeCell ref="F2211:G2211"/>
    <mergeCell ref="F2212:G2212"/>
    <mergeCell ref="F2224:G2224"/>
    <mergeCell ref="F2151:G2151"/>
    <mergeCell ref="F2139:G2139"/>
    <mergeCell ref="F2376:G2376"/>
    <mergeCell ref="F2180:G2180"/>
    <mergeCell ref="F2364:G2364"/>
    <mergeCell ref="F2377:G2377"/>
    <mergeCell ref="F2384:G2384"/>
    <mergeCell ref="F2197:G2197"/>
    <mergeCell ref="F2296:G2296"/>
    <mergeCell ref="F2266:G2266"/>
    <mergeCell ref="F2306:G2306"/>
    <mergeCell ref="F2281:G2281"/>
    <mergeCell ref="F2254:G2254"/>
    <mergeCell ref="F2271:G2271"/>
    <mergeCell ref="F2274:G2274"/>
    <mergeCell ref="F2273:G2273"/>
    <mergeCell ref="F2272:G2272"/>
    <mergeCell ref="F2285:G2285"/>
    <mergeCell ref="F2248:G2248"/>
    <mergeCell ref="F2269:G2269"/>
    <mergeCell ref="F2199:G2199"/>
    <mergeCell ref="F2196:G2196"/>
    <mergeCell ref="F2249:G2249"/>
    <mergeCell ref="F2201:G2201"/>
    <mergeCell ref="C1307:E1307"/>
    <mergeCell ref="C1323:E1323"/>
    <mergeCell ref="C1314:E1314"/>
    <mergeCell ref="C1328:E1328"/>
    <mergeCell ref="C1324:E1324"/>
    <mergeCell ref="F1403:G1403"/>
    <mergeCell ref="C1503:E1503"/>
    <mergeCell ref="F1398:G1398"/>
    <mergeCell ref="C1489:E1489"/>
    <mergeCell ref="F2077:G2077"/>
    <mergeCell ref="F2078:G2078"/>
    <mergeCell ref="F2075:G2075"/>
    <mergeCell ref="F2086:G2086"/>
    <mergeCell ref="F2085:G2085"/>
    <mergeCell ref="F2074:G2074"/>
    <mergeCell ref="F2080:G2080"/>
    <mergeCell ref="F2082:G2082"/>
    <mergeCell ref="F2062:G2062"/>
    <mergeCell ref="F1997:G1997"/>
    <mergeCell ref="F2052:G2052"/>
    <mergeCell ref="F2066:G2066"/>
    <mergeCell ref="F2060:G2060"/>
    <mergeCell ref="F2047:G2047"/>
    <mergeCell ref="F2065:G2065"/>
    <mergeCell ref="F2048:G2048"/>
    <mergeCell ref="F2046:G2046"/>
    <mergeCell ref="F2044:G2044"/>
    <mergeCell ref="F2043:G2043"/>
    <mergeCell ref="F2045:G2045"/>
    <mergeCell ref="F2061:G2061"/>
    <mergeCell ref="F2057:G2057"/>
    <mergeCell ref="C1467:E1467"/>
    <mergeCell ref="H580:I580"/>
    <mergeCell ref="H604:I604"/>
    <mergeCell ref="H660:I660"/>
    <mergeCell ref="H652:I652"/>
    <mergeCell ref="H641:I641"/>
    <mergeCell ref="H611:I611"/>
    <mergeCell ref="H630:I630"/>
    <mergeCell ref="H653:I653"/>
    <mergeCell ref="H628:I628"/>
    <mergeCell ref="H634:I634"/>
    <mergeCell ref="H638:I638"/>
    <mergeCell ref="H657:I657"/>
    <mergeCell ref="H668:I668"/>
    <mergeCell ref="H656:I656"/>
    <mergeCell ref="H658:I658"/>
    <mergeCell ref="H661:I661"/>
    <mergeCell ref="H692:I692"/>
    <mergeCell ref="H614:I614"/>
    <mergeCell ref="H589:I589"/>
    <mergeCell ref="H595:I595"/>
    <mergeCell ref="H608:I608"/>
    <mergeCell ref="H594:I594"/>
    <mergeCell ref="H587:I587"/>
    <mergeCell ref="H597:I597"/>
    <mergeCell ref="H601:I601"/>
    <mergeCell ref="H590:I590"/>
    <mergeCell ref="H592:I592"/>
    <mergeCell ref="H596:I596"/>
    <mergeCell ref="H599:I599"/>
    <mergeCell ref="H588:I588"/>
    <mergeCell ref="H591:I591"/>
    <mergeCell ref="H600:I600"/>
    <mergeCell ref="H606:I606"/>
    <mergeCell ref="H622:I622"/>
    <mergeCell ref="H615:I615"/>
    <mergeCell ref="H610:I610"/>
    <mergeCell ref="H607:I607"/>
    <mergeCell ref="H617:I617"/>
    <mergeCell ref="H644:I644"/>
    <mergeCell ref="H647:I647"/>
    <mergeCell ref="H645:I645"/>
    <mergeCell ref="H738:I738"/>
    <mergeCell ref="H763:I763"/>
    <mergeCell ref="H744:I744"/>
    <mergeCell ref="H743:I743"/>
    <mergeCell ref="H750:I750"/>
    <mergeCell ref="H762:I762"/>
    <mergeCell ref="H760:I760"/>
    <mergeCell ref="H740:I740"/>
    <mergeCell ref="H757:I757"/>
    <mergeCell ref="H751:I751"/>
    <mergeCell ref="H629:I629"/>
    <mergeCell ref="H613:I613"/>
    <mergeCell ref="H609:I609"/>
    <mergeCell ref="H694:I694"/>
    <mergeCell ref="H695:I695"/>
    <mergeCell ref="H642:I642"/>
    <mergeCell ref="H621:I621"/>
    <mergeCell ref="H627:I627"/>
    <mergeCell ref="H625:I625"/>
    <mergeCell ref="H626:I626"/>
    <mergeCell ref="H623:I623"/>
    <mergeCell ref="H631:I631"/>
    <mergeCell ref="H635:I635"/>
    <mergeCell ref="H544:I544"/>
    <mergeCell ref="H547:I547"/>
    <mergeCell ref="H561:I561"/>
    <mergeCell ref="H552:I552"/>
    <mergeCell ref="H557:I557"/>
    <mergeCell ref="F565:G565"/>
    <mergeCell ref="H555:I555"/>
    <mergeCell ref="F548:G548"/>
    <mergeCell ref="F552:G552"/>
    <mergeCell ref="H549:I549"/>
    <mergeCell ref="H577:I577"/>
    <mergeCell ref="H578:I578"/>
    <mergeCell ref="H603:I603"/>
    <mergeCell ref="H602:I602"/>
    <mergeCell ref="F570:G570"/>
    <mergeCell ref="F574:G574"/>
    <mergeCell ref="F561:G561"/>
    <mergeCell ref="F567:G567"/>
    <mergeCell ref="F556:G556"/>
    <mergeCell ref="H565:I565"/>
    <mergeCell ref="H558:I558"/>
    <mergeCell ref="H553:I553"/>
    <mergeCell ref="H571:I571"/>
    <mergeCell ref="H569:I569"/>
    <mergeCell ref="H567:I567"/>
    <mergeCell ref="H568:I568"/>
    <mergeCell ref="H563:I563"/>
    <mergeCell ref="H560:I560"/>
    <mergeCell ref="F581:G581"/>
    <mergeCell ref="F585:G585"/>
    <mergeCell ref="H581:I581"/>
    <mergeCell ref="H582:I582"/>
    <mergeCell ref="F546:G546"/>
    <mergeCell ref="H548:I548"/>
    <mergeCell ref="H550:I550"/>
    <mergeCell ref="H551:I551"/>
    <mergeCell ref="F560:G560"/>
    <mergeCell ref="H559:I559"/>
    <mergeCell ref="F555:G555"/>
    <mergeCell ref="F553:G553"/>
    <mergeCell ref="H554:I554"/>
    <mergeCell ref="H546:I546"/>
    <mergeCell ref="F576:G576"/>
    <mergeCell ref="F569:G569"/>
    <mergeCell ref="H579:I579"/>
    <mergeCell ref="H570:I570"/>
    <mergeCell ref="H566:I566"/>
    <mergeCell ref="H575:I575"/>
    <mergeCell ref="H691:I691"/>
    <mergeCell ref="H650:I650"/>
    <mergeCell ref="F657:G657"/>
    <mergeCell ref="F658:G658"/>
    <mergeCell ref="F645:G645"/>
    <mergeCell ref="H573:I573"/>
    <mergeCell ref="H576:I576"/>
    <mergeCell ref="H572:I572"/>
    <mergeCell ref="H574:I574"/>
    <mergeCell ref="H584:I584"/>
    <mergeCell ref="H585:I585"/>
    <mergeCell ref="H583:I583"/>
    <mergeCell ref="H655:I655"/>
    <mergeCell ref="H598:I598"/>
    <mergeCell ref="H633:I633"/>
    <mergeCell ref="H605:I605"/>
    <mergeCell ref="H697:I697"/>
    <mergeCell ref="H693:I693"/>
    <mergeCell ref="H669:I669"/>
    <mergeCell ref="H674:I674"/>
    <mergeCell ref="H676:I676"/>
    <mergeCell ref="H675:I675"/>
    <mergeCell ref="H678:I678"/>
    <mergeCell ref="H680:I680"/>
    <mergeCell ref="H673:I673"/>
    <mergeCell ref="H679:I679"/>
    <mergeCell ref="H671:I671"/>
    <mergeCell ref="H670:I670"/>
    <mergeCell ref="H664:I664"/>
    <mergeCell ref="H665:I665"/>
    <mergeCell ref="H672:I672"/>
    <mergeCell ref="F668:G668"/>
    <mergeCell ref="H703:I703"/>
    <mergeCell ref="F669:G669"/>
    <mergeCell ref="H666:I666"/>
    <mergeCell ref="F678:G678"/>
    <mergeCell ref="H688:I688"/>
    <mergeCell ref="F694:G694"/>
    <mergeCell ref="H683:I683"/>
    <mergeCell ref="H698:I698"/>
    <mergeCell ref="H684:I684"/>
    <mergeCell ref="H689:I689"/>
    <mergeCell ref="F690:G690"/>
    <mergeCell ref="F679:G679"/>
    <mergeCell ref="F686:G686"/>
    <mergeCell ref="F681:G681"/>
    <mergeCell ref="F701:G701"/>
    <mergeCell ref="F768:G768"/>
    <mergeCell ref="H712:I712"/>
    <mergeCell ref="H727:I727"/>
    <mergeCell ref="H711:I711"/>
    <mergeCell ref="F775:G775"/>
    <mergeCell ref="F770:G770"/>
    <mergeCell ref="F774:G774"/>
    <mergeCell ref="H770:I770"/>
    <mergeCell ref="F771:G771"/>
    <mergeCell ref="H774:I774"/>
    <mergeCell ref="H722:I722"/>
    <mergeCell ref="H701:I701"/>
    <mergeCell ref="H699:I699"/>
    <mergeCell ref="H700:I700"/>
    <mergeCell ref="H704:I704"/>
    <mergeCell ref="H715:I715"/>
    <mergeCell ref="H721:I721"/>
    <mergeCell ref="F773:G773"/>
    <mergeCell ref="F772:G772"/>
    <mergeCell ref="F738:G738"/>
    <mergeCell ref="F742:G742"/>
    <mergeCell ref="F749:G749"/>
    <mergeCell ref="H753:I753"/>
    <mergeCell ref="F704:G704"/>
    <mergeCell ref="F710:G710"/>
    <mergeCell ref="F709:G709"/>
    <mergeCell ref="F726:G726"/>
    <mergeCell ref="F720:G720"/>
    <mergeCell ref="F745:G745"/>
    <mergeCell ref="F729:G729"/>
    <mergeCell ref="F734:G734"/>
    <mergeCell ref="F727:G727"/>
    <mergeCell ref="F390:G390"/>
    <mergeCell ref="F333:G333"/>
    <mergeCell ref="F329:G329"/>
    <mergeCell ref="F436:G436"/>
    <mergeCell ref="F405:G405"/>
    <mergeCell ref="C728:E728"/>
    <mergeCell ref="C239:E239"/>
    <mergeCell ref="F279:G279"/>
    <mergeCell ref="F284:G284"/>
    <mergeCell ref="F281:G281"/>
    <mergeCell ref="C278:E278"/>
    <mergeCell ref="C276:E276"/>
    <mergeCell ref="C279:E279"/>
    <mergeCell ref="C274:E274"/>
    <mergeCell ref="F274:G274"/>
    <mergeCell ref="C309:E309"/>
    <mergeCell ref="C308:E308"/>
    <mergeCell ref="C299:E299"/>
    <mergeCell ref="F700:G700"/>
    <mergeCell ref="F545:G545"/>
    <mergeCell ref="F349:G349"/>
    <mergeCell ref="F310:G310"/>
    <mergeCell ref="F666:G666"/>
    <mergeCell ref="F652:G652"/>
    <mergeCell ref="F566:G566"/>
    <mergeCell ref="F665:G665"/>
    <mergeCell ref="F551:G551"/>
    <mergeCell ref="F550:G550"/>
    <mergeCell ref="F547:G547"/>
    <mergeCell ref="C723:E723"/>
    <mergeCell ref="F688:G688"/>
    <mergeCell ref="F683:G683"/>
    <mergeCell ref="C191:E191"/>
    <mergeCell ref="C193:E193"/>
    <mergeCell ref="C197:E197"/>
    <mergeCell ref="C198:E198"/>
    <mergeCell ref="C199:E199"/>
    <mergeCell ref="C201:E201"/>
    <mergeCell ref="C196:E196"/>
    <mergeCell ref="C200:E200"/>
    <mergeCell ref="C192:E192"/>
    <mergeCell ref="C194:E194"/>
    <mergeCell ref="C288:E288"/>
    <mergeCell ref="C236:E236"/>
    <mergeCell ref="C291:E291"/>
    <mergeCell ref="C204:E204"/>
    <mergeCell ref="C203:E203"/>
    <mergeCell ref="C208:E208"/>
    <mergeCell ref="C213:E213"/>
    <mergeCell ref="C210:E210"/>
    <mergeCell ref="C237:E237"/>
    <mergeCell ref="C234:E234"/>
    <mergeCell ref="C244:E244"/>
    <mergeCell ref="C251:E251"/>
    <mergeCell ref="C241:E241"/>
    <mergeCell ref="C254:E254"/>
    <mergeCell ref="C245:E245"/>
    <mergeCell ref="C253:E253"/>
    <mergeCell ref="C243:E243"/>
    <mergeCell ref="C250:E250"/>
    <mergeCell ref="C252:E252"/>
    <mergeCell ref="C228:E228"/>
    <mergeCell ref="C211:E211"/>
    <mergeCell ref="C214:E214"/>
    <mergeCell ref="F213:G213"/>
    <mergeCell ref="F214:G214"/>
    <mergeCell ref="F209:G209"/>
    <mergeCell ref="C216:E216"/>
    <mergeCell ref="H215:I215"/>
    <mergeCell ref="F212:G212"/>
    <mergeCell ref="F215:G215"/>
    <mergeCell ref="C202:E202"/>
    <mergeCell ref="C285:E285"/>
    <mergeCell ref="C284:E284"/>
    <mergeCell ref="C280:E280"/>
    <mergeCell ref="C283:E283"/>
    <mergeCell ref="C281:E281"/>
    <mergeCell ref="C229:E229"/>
    <mergeCell ref="C218:E218"/>
    <mergeCell ref="C232:E232"/>
    <mergeCell ref="C205:E205"/>
    <mergeCell ref="C207:E207"/>
    <mergeCell ref="C219:E219"/>
    <mergeCell ref="C217:E217"/>
    <mergeCell ref="C209:E209"/>
    <mergeCell ref="C206:E206"/>
    <mergeCell ref="C221:E221"/>
    <mergeCell ref="C233:E233"/>
    <mergeCell ref="C270:E270"/>
    <mergeCell ref="F226:G226"/>
    <mergeCell ref="F227:G227"/>
    <mergeCell ref="H219:I219"/>
    <mergeCell ref="H203:I203"/>
    <mergeCell ref="H202:I202"/>
    <mergeCell ref="C224:E224"/>
    <mergeCell ref="F207:G207"/>
    <mergeCell ref="F193:G193"/>
    <mergeCell ref="F190:G190"/>
    <mergeCell ref="F167:G167"/>
    <mergeCell ref="H178:I178"/>
    <mergeCell ref="H168:I168"/>
    <mergeCell ref="H216:I216"/>
    <mergeCell ref="H224:I224"/>
    <mergeCell ref="H226:I226"/>
    <mergeCell ref="H196:I196"/>
    <mergeCell ref="H195:I195"/>
    <mergeCell ref="H200:I200"/>
    <mergeCell ref="H197:I197"/>
    <mergeCell ref="H214:I214"/>
    <mergeCell ref="H213:I213"/>
    <mergeCell ref="H208:I208"/>
    <mergeCell ref="H210:I210"/>
    <mergeCell ref="H209:I209"/>
    <mergeCell ref="F197:G197"/>
    <mergeCell ref="F218:G218"/>
    <mergeCell ref="F217:G217"/>
    <mergeCell ref="F204:G204"/>
    <mergeCell ref="F211:G211"/>
    <mergeCell ref="F210:G210"/>
    <mergeCell ref="H211:I211"/>
    <mergeCell ref="F198:G198"/>
    <mergeCell ref="F203:G203"/>
    <mergeCell ref="F201:G201"/>
    <mergeCell ref="H201:I201"/>
    <mergeCell ref="F205:G205"/>
    <mergeCell ref="H199:I199"/>
    <mergeCell ref="H191:I191"/>
    <mergeCell ref="H207:I207"/>
    <mergeCell ref="H77:I77"/>
    <mergeCell ref="F79:G79"/>
    <mergeCell ref="F110:G110"/>
    <mergeCell ref="F77:G77"/>
    <mergeCell ref="C75:E75"/>
    <mergeCell ref="H76:I76"/>
    <mergeCell ref="F103:G103"/>
    <mergeCell ref="H75:I75"/>
    <mergeCell ref="H82:I82"/>
    <mergeCell ref="C81:E81"/>
    <mergeCell ref="F75:G75"/>
    <mergeCell ref="C76:E76"/>
    <mergeCell ref="C77:E77"/>
    <mergeCell ref="C78:E78"/>
    <mergeCell ref="F78:G78"/>
    <mergeCell ref="H78:I78"/>
    <mergeCell ref="H79:I79"/>
    <mergeCell ref="F76:G76"/>
    <mergeCell ref="F102:G102"/>
    <mergeCell ref="F81:G81"/>
    <mergeCell ref="F82:G82"/>
    <mergeCell ref="H89:I89"/>
    <mergeCell ref="H88:I88"/>
    <mergeCell ref="F94:G94"/>
    <mergeCell ref="F88:G88"/>
    <mergeCell ref="H102:I102"/>
    <mergeCell ref="F87:G87"/>
    <mergeCell ref="H74:I74"/>
    <mergeCell ref="H84:I84"/>
    <mergeCell ref="H155:I155"/>
    <mergeCell ref="H87:I87"/>
    <mergeCell ref="H94:I94"/>
    <mergeCell ref="H107:I107"/>
    <mergeCell ref="H91:I91"/>
    <mergeCell ref="H134:I134"/>
    <mergeCell ref="H131:I131"/>
    <mergeCell ref="H132:I132"/>
    <mergeCell ref="H137:I137"/>
    <mergeCell ref="H119:I119"/>
    <mergeCell ref="H117:I117"/>
    <mergeCell ref="H110:I110"/>
    <mergeCell ref="H111:I111"/>
    <mergeCell ref="H109:I109"/>
    <mergeCell ref="F111:G111"/>
    <mergeCell ref="F115:G115"/>
    <mergeCell ref="F112:G112"/>
    <mergeCell ref="F114:G114"/>
    <mergeCell ref="F113:G113"/>
    <mergeCell ref="H114:I114"/>
    <mergeCell ref="H152:I152"/>
    <mergeCell ref="H140:I140"/>
    <mergeCell ref="H123:I123"/>
    <mergeCell ref="H127:I127"/>
    <mergeCell ref="F131:G131"/>
    <mergeCell ref="H130:I130"/>
    <mergeCell ref="F130:G130"/>
    <mergeCell ref="F134:G134"/>
    <mergeCell ref="H142:I142"/>
    <mergeCell ref="H80:I80"/>
    <mergeCell ref="H205:I205"/>
    <mergeCell ref="F208:G208"/>
    <mergeCell ref="H206:I206"/>
    <mergeCell ref="H192:I192"/>
    <mergeCell ref="H212:I212"/>
    <mergeCell ref="H223:I223"/>
    <mergeCell ref="H164:I164"/>
    <mergeCell ref="H162:I162"/>
    <mergeCell ref="C187:E187"/>
    <mergeCell ref="H166:I166"/>
    <mergeCell ref="H185:I185"/>
    <mergeCell ref="F169:G169"/>
    <mergeCell ref="H173:I173"/>
    <mergeCell ref="H167:I167"/>
    <mergeCell ref="H163:I163"/>
    <mergeCell ref="H183:I183"/>
    <mergeCell ref="H177:I177"/>
    <mergeCell ref="H170:I170"/>
    <mergeCell ref="H174:I174"/>
    <mergeCell ref="F179:G179"/>
    <mergeCell ref="F177:G177"/>
    <mergeCell ref="H175:I175"/>
    <mergeCell ref="F178:G178"/>
    <mergeCell ref="H171:I171"/>
    <mergeCell ref="F195:G195"/>
    <mergeCell ref="F196:G196"/>
    <mergeCell ref="C212:E212"/>
    <mergeCell ref="C215:E215"/>
    <mergeCell ref="F185:G185"/>
    <mergeCell ref="F166:G166"/>
    <mergeCell ref="F187:G187"/>
    <mergeCell ref="F188:G188"/>
    <mergeCell ref="C230:E230"/>
    <mergeCell ref="C227:E227"/>
    <mergeCell ref="C248:E248"/>
    <mergeCell ref="C277:E277"/>
    <mergeCell ref="H495:I495"/>
    <mergeCell ref="C368:E368"/>
    <mergeCell ref="H368:I368"/>
    <mergeCell ref="H369:I369"/>
    <mergeCell ref="H217:I217"/>
    <mergeCell ref="C231:E231"/>
    <mergeCell ref="H231:I231"/>
    <mergeCell ref="H228:I228"/>
    <mergeCell ref="H229:I229"/>
    <mergeCell ref="F219:G219"/>
    <mergeCell ref="H227:I227"/>
    <mergeCell ref="H225:I225"/>
    <mergeCell ref="H220:I220"/>
    <mergeCell ref="H221:I221"/>
    <mergeCell ref="F305:G305"/>
    <mergeCell ref="C295:E295"/>
    <mergeCell ref="F397:G397"/>
    <mergeCell ref="F293:G293"/>
    <mergeCell ref="C293:E293"/>
    <mergeCell ref="F292:G292"/>
    <mergeCell ref="C296:E296"/>
    <mergeCell ref="F295:G295"/>
    <mergeCell ref="H362:I362"/>
    <mergeCell ref="H408:I408"/>
    <mergeCell ref="F426:G426"/>
    <mergeCell ref="H373:I373"/>
    <mergeCell ref="F288:G288"/>
    <mergeCell ref="F442:G442"/>
    <mergeCell ref="H537:I537"/>
    <mergeCell ref="H541:I541"/>
    <mergeCell ref="F368:G368"/>
    <mergeCell ref="F369:G369"/>
    <mergeCell ref="C373:E373"/>
    <mergeCell ref="F377:G377"/>
    <mergeCell ref="H534:I534"/>
    <mergeCell ref="H501:I501"/>
    <mergeCell ref="H510:I510"/>
    <mergeCell ref="H442:I442"/>
    <mergeCell ref="H525:I525"/>
    <mergeCell ref="H514:I514"/>
    <mergeCell ref="H520:I520"/>
    <mergeCell ref="H521:I521"/>
    <mergeCell ref="H535:I535"/>
    <mergeCell ref="H530:I530"/>
    <mergeCell ref="H527:I527"/>
    <mergeCell ref="H528:I528"/>
    <mergeCell ref="H522:I522"/>
    <mergeCell ref="H524:I524"/>
    <mergeCell ref="H538:I538"/>
    <mergeCell ref="F534:G534"/>
    <mergeCell ref="H532:I532"/>
    <mergeCell ref="F525:G525"/>
    <mergeCell ref="F528:G528"/>
    <mergeCell ref="F531:G531"/>
    <mergeCell ref="H509:I509"/>
    <mergeCell ref="H529:I529"/>
    <mergeCell ref="H507:I507"/>
    <mergeCell ref="H500:I500"/>
    <mergeCell ref="H504:I504"/>
    <mergeCell ref="H508:I508"/>
    <mergeCell ref="C1005:E1005"/>
    <mergeCell ref="C1008:E1008"/>
    <mergeCell ref="C979:E979"/>
    <mergeCell ref="C999:E999"/>
    <mergeCell ref="C986:E986"/>
    <mergeCell ref="C993:E993"/>
    <mergeCell ref="C992:E992"/>
    <mergeCell ref="F753:G753"/>
    <mergeCell ref="F715:G715"/>
    <mergeCell ref="F740:G740"/>
    <mergeCell ref="F783:G783"/>
    <mergeCell ref="F789:G789"/>
    <mergeCell ref="F744:G744"/>
    <mergeCell ref="F748:G748"/>
    <mergeCell ref="F747:G747"/>
    <mergeCell ref="F722:G722"/>
    <mergeCell ref="F735:G735"/>
    <mergeCell ref="F776:G776"/>
    <mergeCell ref="F777:G777"/>
    <mergeCell ref="F841:G841"/>
    <mergeCell ref="F780:G780"/>
    <mergeCell ref="F790:G790"/>
    <mergeCell ref="F782:G782"/>
    <mergeCell ref="F817:G817"/>
    <mergeCell ref="C966:E966"/>
    <mergeCell ref="C951:E951"/>
    <mergeCell ref="C955:E955"/>
    <mergeCell ref="C956:E956"/>
    <mergeCell ref="C1006:E1006"/>
    <mergeCell ref="C967:E967"/>
    <mergeCell ref="C821:E821"/>
    <mergeCell ref="C811:E811"/>
    <mergeCell ref="F809:G809"/>
    <mergeCell ref="F808:G808"/>
    <mergeCell ref="C963:E963"/>
    <mergeCell ref="C904:E904"/>
    <mergeCell ref="C938:E938"/>
    <mergeCell ref="C960:E960"/>
    <mergeCell ref="C940:E940"/>
    <mergeCell ref="C958:E958"/>
    <mergeCell ref="C962:E962"/>
    <mergeCell ref="C908:E908"/>
    <mergeCell ref="F784:G784"/>
    <mergeCell ref="F798:G798"/>
    <mergeCell ref="F799:G799"/>
    <mergeCell ref="F786:G786"/>
    <mergeCell ref="C898:E898"/>
    <mergeCell ref="C903:E903"/>
    <mergeCell ref="C899:E899"/>
    <mergeCell ref="C822:E822"/>
    <mergeCell ref="C900:E900"/>
    <mergeCell ref="C851:E851"/>
    <mergeCell ref="C839:E839"/>
    <mergeCell ref="C910:E910"/>
    <mergeCell ref="C891:E891"/>
    <mergeCell ref="C907:E907"/>
    <mergeCell ref="F807:G807"/>
    <mergeCell ref="F815:G815"/>
    <mergeCell ref="C799:E799"/>
    <mergeCell ref="C924:E924"/>
    <mergeCell ref="C949:E949"/>
    <mergeCell ref="C927:E927"/>
    <mergeCell ref="C932:E932"/>
    <mergeCell ref="C912:E912"/>
    <mergeCell ref="F781:G781"/>
    <mergeCell ref="F763:G763"/>
    <mergeCell ref="F764:G764"/>
    <mergeCell ref="C819:E819"/>
    <mergeCell ref="F779:G779"/>
    <mergeCell ref="C848:E848"/>
    <mergeCell ref="F794:G794"/>
    <mergeCell ref="F778:G778"/>
    <mergeCell ref="F1394:G1394"/>
    <mergeCell ref="C1509:E1509"/>
    <mergeCell ref="C1480:E1480"/>
    <mergeCell ref="C1459:E1459"/>
    <mergeCell ref="C1451:E1451"/>
    <mergeCell ref="C833:E833"/>
    <mergeCell ref="F1422:G1422"/>
    <mergeCell ref="F1421:G1421"/>
    <mergeCell ref="F1309:G1309"/>
    <mergeCell ref="F1310:G1310"/>
    <mergeCell ref="C1327:E1327"/>
    <mergeCell ref="F1410:G1410"/>
    <mergeCell ref="F1411:G1411"/>
    <mergeCell ref="F1300:G1300"/>
    <mergeCell ref="C1334:E1334"/>
    <mergeCell ref="F822:G822"/>
    <mergeCell ref="F842:G842"/>
    <mergeCell ref="F837:G837"/>
    <mergeCell ref="F840:G840"/>
    <mergeCell ref="F826:G826"/>
    <mergeCell ref="F825:G825"/>
    <mergeCell ref="F839:G839"/>
    <mergeCell ref="C840:E840"/>
    <mergeCell ref="C841:E841"/>
    <mergeCell ref="C1025:E1025"/>
    <mergeCell ref="C1013:E1013"/>
    <mergeCell ref="C1007:E1007"/>
    <mergeCell ref="C1012:E1012"/>
    <mergeCell ref="F2378:G2378"/>
    <mergeCell ref="F2847:G2847"/>
    <mergeCell ref="F1893:G1893"/>
    <mergeCell ref="C2893:E2893"/>
    <mergeCell ref="F2899:G2899"/>
    <mergeCell ref="C2900:E2900"/>
    <mergeCell ref="C2899:E2899"/>
    <mergeCell ref="F2109:G2109"/>
    <mergeCell ref="F2088:G2088"/>
    <mergeCell ref="F2511:G2511"/>
    <mergeCell ref="F2069:G2069"/>
    <mergeCell ref="C2836:E2836"/>
    <mergeCell ref="C1507:E1507"/>
    <mergeCell ref="F1407:G1407"/>
    <mergeCell ref="C1409:E1409"/>
    <mergeCell ref="F1409:G1409"/>
    <mergeCell ref="C1514:E1514"/>
    <mergeCell ref="F1897:G1897"/>
    <mergeCell ref="F2099:G2099"/>
    <mergeCell ref="F2087:G2087"/>
    <mergeCell ref="F2097:G2097"/>
    <mergeCell ref="F2091:G2091"/>
    <mergeCell ref="F2094:G2094"/>
    <mergeCell ref="F2098:G2098"/>
    <mergeCell ref="F2102:G2102"/>
    <mergeCell ref="F2108:G2108"/>
    <mergeCell ref="F2111:G2111"/>
    <mergeCell ref="F2103:G2103"/>
    <mergeCell ref="C2969:E2969"/>
    <mergeCell ref="H2966:I2966"/>
    <mergeCell ref="F2898:G2898"/>
    <mergeCell ref="C2898:E2898"/>
    <mergeCell ref="C2897:E2897"/>
    <mergeCell ref="C2940:E2940"/>
    <mergeCell ref="C2903:E2903"/>
    <mergeCell ref="F2903:G2903"/>
    <mergeCell ref="F2943:G2943"/>
    <mergeCell ref="H2943:I2943"/>
    <mergeCell ref="F2894:G2894"/>
    <mergeCell ref="F2897:G2897"/>
    <mergeCell ref="F2874:G2874"/>
    <mergeCell ref="C2877:E2877"/>
    <mergeCell ref="C2868:E2868"/>
    <mergeCell ref="C2872:E2872"/>
    <mergeCell ref="C2867:E2867"/>
    <mergeCell ref="C2871:E2871"/>
    <mergeCell ref="C2918:E2918"/>
    <mergeCell ref="C2915:E2915"/>
    <mergeCell ref="C2909:E2909"/>
    <mergeCell ref="F2910:G2910"/>
    <mergeCell ref="F2905:G2905"/>
    <mergeCell ref="F2908:G2908"/>
    <mergeCell ref="C2921:E2921"/>
    <mergeCell ref="F2923:G2923"/>
    <mergeCell ref="F2921:G2921"/>
    <mergeCell ref="C2928:E2928"/>
    <mergeCell ref="C2869:E2869"/>
    <mergeCell ref="F2948:G2948"/>
    <mergeCell ref="F2928:G2928"/>
    <mergeCell ref="C2922:E2922"/>
    <mergeCell ref="F2115:G2115"/>
    <mergeCell ref="F2134:G2134"/>
    <mergeCell ref="F2118:G2118"/>
    <mergeCell ref="F2138:G2138"/>
    <mergeCell ref="F2173:G2173"/>
    <mergeCell ref="F2132:G2132"/>
    <mergeCell ref="F2104:G2104"/>
    <mergeCell ref="F2105:G2105"/>
    <mergeCell ref="F2130:G2130"/>
    <mergeCell ref="F2119:G2119"/>
    <mergeCell ref="C2832:E2832"/>
    <mergeCell ref="F2776:G2776"/>
    <mergeCell ref="C2876:E2876"/>
    <mergeCell ref="C2874:E2874"/>
    <mergeCell ref="F2881:G2881"/>
    <mergeCell ref="C2776:E2776"/>
    <mergeCell ref="C2833:E2833"/>
    <mergeCell ref="C2844:E2844"/>
    <mergeCell ref="C2834:E2834"/>
    <mergeCell ref="C2863:E2863"/>
    <mergeCell ref="F2137:G2137"/>
    <mergeCell ref="F2140:G2140"/>
    <mergeCell ref="F2394:G2394"/>
    <mergeCell ref="F2381:G2381"/>
    <mergeCell ref="F2169:G2169"/>
    <mergeCell ref="F2172:G2172"/>
    <mergeCell ref="F2166:G2166"/>
    <mergeCell ref="F2184:G2184"/>
    <mergeCell ref="F2375:G2375"/>
    <mergeCell ref="F2374:G2374"/>
    <mergeCell ref="F2218:G2218"/>
    <mergeCell ref="F2202:G2202"/>
    <mergeCell ref="C1473:E1473"/>
    <mergeCell ref="C1394:E1394"/>
    <mergeCell ref="F1896:G1896"/>
    <mergeCell ref="H2851:I2851"/>
    <mergeCell ref="C1502:E1502"/>
    <mergeCell ref="C1494:E1494"/>
    <mergeCell ref="C1505:E1505"/>
    <mergeCell ref="C1472:E1472"/>
    <mergeCell ref="C2792:E2792"/>
    <mergeCell ref="C2799:E2799"/>
    <mergeCell ref="F2071:G2071"/>
    <mergeCell ref="C1487:E1487"/>
    <mergeCell ref="F2050:G2050"/>
    <mergeCell ref="H2511:I2511"/>
    <mergeCell ref="H2777:I2777"/>
    <mergeCell ref="H2187:I2187"/>
    <mergeCell ref="F2081:G2081"/>
    <mergeCell ref="F2072:G2072"/>
    <mergeCell ref="F2068:G2068"/>
    <mergeCell ref="F2777:G2777"/>
    <mergeCell ref="F2079:G2079"/>
    <mergeCell ref="F2110:G2110"/>
    <mergeCell ref="F2089:G2089"/>
    <mergeCell ref="F2084:G2084"/>
    <mergeCell ref="F2106:G2106"/>
    <mergeCell ref="F2107:G2107"/>
    <mergeCell ref="F2073:G2073"/>
    <mergeCell ref="F2064:G2064"/>
    <mergeCell ref="F2067:G2067"/>
    <mergeCell ref="F2096:G2096"/>
    <mergeCell ref="F2090:G2090"/>
    <mergeCell ref="F2123:G2123"/>
    <mergeCell ref="F1166:G1166"/>
    <mergeCell ref="C1179:E1179"/>
    <mergeCell ref="C1016:E1016"/>
    <mergeCell ref="C981:E981"/>
    <mergeCell ref="C965:E965"/>
    <mergeCell ref="C988:E988"/>
    <mergeCell ref="C975:E975"/>
    <mergeCell ref="C991:E991"/>
    <mergeCell ref="F880:G880"/>
    <mergeCell ref="F844:G844"/>
    <mergeCell ref="F939:G939"/>
    <mergeCell ref="C952:E952"/>
    <mergeCell ref="C983:E983"/>
    <mergeCell ref="C968:E968"/>
    <mergeCell ref="C969:E969"/>
    <mergeCell ref="C1015:E1015"/>
    <mergeCell ref="C984:E984"/>
    <mergeCell ref="C997:E997"/>
    <mergeCell ref="C1001:E1001"/>
    <mergeCell ref="C1014:E1014"/>
    <mergeCell ref="C995:E995"/>
    <mergeCell ref="C905:E905"/>
    <mergeCell ref="C933:E933"/>
    <mergeCell ref="C930:E930"/>
    <mergeCell ref="C959:E959"/>
    <mergeCell ref="C957:E957"/>
    <mergeCell ref="C954:E954"/>
    <mergeCell ref="C946:E946"/>
    <mergeCell ref="F881:G881"/>
    <mergeCell ref="C970:E970"/>
    <mergeCell ref="C982:E982"/>
    <mergeCell ref="C978:E978"/>
    <mergeCell ref="H37:I37"/>
    <mergeCell ref="H26:I26"/>
    <mergeCell ref="H15:I15"/>
    <mergeCell ref="F40:G40"/>
    <mergeCell ref="C22:E22"/>
    <mergeCell ref="F22:G22"/>
    <mergeCell ref="H22:I22"/>
    <mergeCell ref="C24:E24"/>
    <mergeCell ref="F24:G24"/>
    <mergeCell ref="C34:E34"/>
    <mergeCell ref="F21:G21"/>
    <mergeCell ref="H21:I21"/>
    <mergeCell ref="F23:G23"/>
    <mergeCell ref="H32:I32"/>
    <mergeCell ref="H24:I24"/>
    <mergeCell ref="F34:G34"/>
    <mergeCell ref="F1092:G1092"/>
    <mergeCell ref="F717:G717"/>
    <mergeCell ref="F925:G925"/>
    <mergeCell ref="F805:G805"/>
    <mergeCell ref="F791:G791"/>
    <mergeCell ref="F719:G719"/>
    <mergeCell ref="F751:G751"/>
    <mergeCell ref="F750:G750"/>
    <mergeCell ref="H35:I35"/>
    <mergeCell ref="H100:I100"/>
    <mergeCell ref="F109:G109"/>
    <mergeCell ref="H106:I106"/>
    <mergeCell ref="F184:G184"/>
    <mergeCell ref="F677:G677"/>
    <mergeCell ref="H677:I677"/>
    <mergeCell ref="F723:G723"/>
    <mergeCell ref="H536:I536"/>
    <mergeCell ref="C186:E186"/>
    <mergeCell ref="C124:E124"/>
    <mergeCell ref="F124:G124"/>
    <mergeCell ref="F216:G216"/>
    <mergeCell ref="F192:G192"/>
    <mergeCell ref="F191:G191"/>
    <mergeCell ref="F1884:G1884"/>
    <mergeCell ref="C1181:E1181"/>
    <mergeCell ref="H1885:I1885"/>
    <mergeCell ref="C2281:E2281"/>
    <mergeCell ref="C1190:E1190"/>
    <mergeCell ref="F1190:G1190"/>
    <mergeCell ref="C1194:E1194"/>
    <mergeCell ref="F1304:G1304"/>
    <mergeCell ref="F1202:G1202"/>
    <mergeCell ref="F1708:G1708"/>
    <mergeCell ref="F2063:G2063"/>
    <mergeCell ref="H1899:I1899"/>
    <mergeCell ref="F1885:G1885"/>
    <mergeCell ref="F1899:G1899"/>
    <mergeCell ref="C442:E442"/>
    <mergeCell ref="C502:E502"/>
    <mergeCell ref="H405:I405"/>
    <mergeCell ref="C377:E377"/>
    <mergeCell ref="C290:E290"/>
    <mergeCell ref="C517:E517"/>
    <mergeCell ref="H436:I436"/>
    <mergeCell ref="H515:I515"/>
    <mergeCell ref="F296:G296"/>
    <mergeCell ref="C1029:E1029"/>
    <mergeCell ref="C994:E994"/>
    <mergeCell ref="C2839:E2839"/>
    <mergeCell ref="F1404:G1404"/>
    <mergeCell ref="F2049:G2049"/>
    <mergeCell ref="F1302:G1302"/>
    <mergeCell ref="F1308:G1308"/>
    <mergeCell ref="F2055:G2055"/>
    <mergeCell ref="F2056:G2056"/>
    <mergeCell ref="F2053:G2053"/>
    <mergeCell ref="F2054:G2054"/>
    <mergeCell ref="F2058:G2058"/>
    <mergeCell ref="C1299:E1299"/>
    <mergeCell ref="C1192:E1192"/>
    <mergeCell ref="C1202:E1202"/>
    <mergeCell ref="F1299:G1299"/>
    <mergeCell ref="H1202:I1202"/>
    <mergeCell ref="F1301:G1301"/>
    <mergeCell ref="F1315:G1315"/>
    <mergeCell ref="F1303:G1303"/>
    <mergeCell ref="C1293:E1293"/>
    <mergeCell ref="C1197:E1197"/>
    <mergeCell ref="C1318:E1318"/>
    <mergeCell ref="F1305:G1305"/>
    <mergeCell ref="C1311:E1311"/>
    <mergeCell ref="C1315:E1315"/>
    <mergeCell ref="C1301:E1301"/>
    <mergeCell ref="F1307:G1307"/>
    <mergeCell ref="C1461:E1461"/>
    <mergeCell ref="C1316:E1316"/>
    <mergeCell ref="C1491:E1491"/>
    <mergeCell ref="F1412:G1412"/>
    <mergeCell ref="C1490:E1490"/>
    <mergeCell ref="C1463:E1463"/>
    <mergeCell ref="C1684:E1684"/>
    <mergeCell ref="C1196:E1196"/>
    <mergeCell ref="C1661:E1661"/>
    <mergeCell ref="C640:E640"/>
    <mergeCell ref="F640:G640"/>
    <mergeCell ref="H640:I640"/>
    <mergeCell ref="H766:I766"/>
    <mergeCell ref="H1677:I1677"/>
    <mergeCell ref="H1301:I1301"/>
    <mergeCell ref="C1254:E1254"/>
    <mergeCell ref="C1169:E1169"/>
    <mergeCell ref="F1194:G1194"/>
    <mergeCell ref="F796:G796"/>
    <mergeCell ref="C1177:E1177"/>
    <mergeCell ref="F573:G573"/>
    <mergeCell ref="C1121:E1121"/>
    <mergeCell ref="C683:E683"/>
    <mergeCell ref="C688:E688"/>
    <mergeCell ref="H773:I773"/>
    <mergeCell ref="C1168:E1168"/>
    <mergeCell ref="C1186:E1186"/>
    <mergeCell ref="C1187:E1187"/>
    <mergeCell ref="C1034:E1034"/>
    <mergeCell ref="C1060:E1060"/>
    <mergeCell ref="C1166:E1166"/>
    <mergeCell ref="C1113:E1113"/>
    <mergeCell ref="C1111:E1111"/>
    <mergeCell ref="F1060:G1060"/>
    <mergeCell ref="C1020:E1020"/>
    <mergeCell ref="C1022:E1022"/>
    <mergeCell ref="C1021:E1021"/>
    <mergeCell ref="C1019:E1019"/>
    <mergeCell ref="H47:I47"/>
    <mergeCell ref="C354:E354"/>
    <mergeCell ref="F354:G354"/>
    <mergeCell ref="F51:G51"/>
    <mergeCell ref="H51:I51"/>
    <mergeCell ref="C134:E134"/>
    <mergeCell ref="C86:E86"/>
    <mergeCell ref="F86:G86"/>
    <mergeCell ref="C79:E79"/>
    <mergeCell ref="F97:G97"/>
    <mergeCell ref="H60:I60"/>
    <mergeCell ref="H120:I120"/>
    <mergeCell ref="C145:E145"/>
    <mergeCell ref="F145:G145"/>
    <mergeCell ref="H145:I145"/>
    <mergeCell ref="H122:I122"/>
    <mergeCell ref="H118:I118"/>
    <mergeCell ref="H81:I81"/>
    <mergeCell ref="H159:I159"/>
    <mergeCell ref="C189:E189"/>
    <mergeCell ref="F186:G186"/>
    <mergeCell ref="H186:I186"/>
    <mergeCell ref="F165:G165"/>
    <mergeCell ref="H179:I179"/>
    <mergeCell ref="H182:I182"/>
    <mergeCell ref="F180:G180"/>
    <mergeCell ref="H165:I165"/>
    <mergeCell ref="C185:E185"/>
    <mergeCell ref="H83:I83"/>
    <mergeCell ref="H85:I85"/>
    <mergeCell ref="C142:E142"/>
    <mergeCell ref="F142:G142"/>
    <mergeCell ref="C159:E159"/>
    <mergeCell ref="F159:G159"/>
    <mergeCell ref="F1121:G1121"/>
    <mergeCell ref="H1121:I1121"/>
    <mergeCell ref="H533:I533"/>
    <mergeCell ref="H539:I539"/>
    <mergeCell ref="H540:I540"/>
    <mergeCell ref="F766:G766"/>
    <mergeCell ref="H687:I687"/>
    <mergeCell ref="H916:I916"/>
    <mergeCell ref="F687:G687"/>
    <mergeCell ref="F1034:G1034"/>
    <mergeCell ref="H723:I723"/>
    <mergeCell ref="H542:I542"/>
    <mergeCell ref="F516:G516"/>
    <mergeCell ref="H516:I516"/>
    <mergeCell ref="C687:E687"/>
    <mergeCell ref="F517:G517"/>
    <mergeCell ref="H517:I517"/>
    <mergeCell ref="H543:I543"/>
    <mergeCell ref="F278:G278"/>
    <mergeCell ref="C242:E242"/>
    <mergeCell ref="C282:E282"/>
    <mergeCell ref="C294:E294"/>
    <mergeCell ref="F308:G308"/>
    <mergeCell ref="C188:E188"/>
    <mergeCell ref="H502:I502"/>
    <mergeCell ref="F938:G938"/>
    <mergeCell ref="F536:G536"/>
    <mergeCell ref="C516:E516"/>
    <mergeCell ref="H545:I545"/>
    <mergeCell ref="H531:I531"/>
    <mergeCell ref="C154:E154"/>
    <mergeCell ref="F154:G154"/>
    <mergeCell ref="H154:I154"/>
    <mergeCell ref="C240:E240"/>
    <mergeCell ref="C249:E249"/>
    <mergeCell ref="H372:I372"/>
    <mergeCell ref="H86:I86"/>
    <mergeCell ref="C52:E52"/>
    <mergeCell ref="F52:G52"/>
    <mergeCell ref="C100:E100"/>
    <mergeCell ref="F100:G100"/>
    <mergeCell ref="C62:E62"/>
    <mergeCell ref="F62:G62"/>
    <mergeCell ref="H194:I194"/>
    <mergeCell ref="C428:E428"/>
    <mergeCell ref="H189:I189"/>
    <mergeCell ref="H188:I188"/>
    <mergeCell ref="F428:G428"/>
    <mergeCell ref="H428:I428"/>
    <mergeCell ref="F189:G189"/>
    <mergeCell ref="C238:E238"/>
    <mergeCell ref="F238:G238"/>
    <mergeCell ref="H238:I238"/>
    <mergeCell ref="H354:I354"/>
    <mergeCell ref="F194:G194"/>
    <mergeCell ref="F105:G105"/>
    <mergeCell ref="F108:G108"/>
    <mergeCell ref="F106:G106"/>
    <mergeCell ref="F107:G107"/>
    <mergeCell ref="H121:I121"/>
    <mergeCell ref="C286:E286"/>
    <mergeCell ref="C263:E263"/>
  </mergeCells>
  <phoneticPr fontId="30" type="noConversion"/>
  <hyperlinks>
    <hyperlink ref="D5" r:id="rId1" xr:uid="{00000000-0004-0000-0000-000000000000}"/>
    <hyperlink ref="D7" r:id="rId2" display="Наш сайт: https://usm.dp.ua/ua/" xr:uid="{00000000-0004-0000-0000-000001000000}"/>
  </hyperlinks>
  <pageMargins left="0.7" right="0.7" top="0.75" bottom="0.75" header="0.3" footer="0.3"/>
  <pageSetup paperSize="9" orientation="portrait" r:id="rId3"/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45"/>
  <sheetViews>
    <sheetView zoomScale="110" zoomScaleNormal="110" workbookViewId="0">
      <pane ySplit="1" topLeftCell="A2" activePane="bottomLeft" state="frozen"/>
      <selection pane="bottomLeft" activeCell="D3" sqref="D3:H3"/>
    </sheetView>
  </sheetViews>
  <sheetFormatPr defaultColWidth="9.140625" defaultRowHeight="12.75" x14ac:dyDescent="0.2"/>
  <cols>
    <col min="1" max="1" width="6" style="16" customWidth="1"/>
    <col min="2" max="2" width="3.7109375" style="59" customWidth="1"/>
    <col min="3" max="4" width="9.140625" style="16"/>
    <col min="5" max="5" width="58.7109375" style="16" customWidth="1"/>
    <col min="6" max="6" width="9.140625" style="16"/>
    <col min="7" max="7" width="7.5703125" style="16" customWidth="1"/>
    <col min="8" max="8" width="11.28515625" style="16" customWidth="1"/>
    <col min="9" max="9" width="9.85546875" style="16" hidden="1" customWidth="1"/>
    <col min="10" max="16384" width="9.140625" style="16"/>
  </cols>
  <sheetData>
    <row r="1" spans="1:9" ht="20.100000000000001" customHeight="1" x14ac:dyDescent="0.2">
      <c r="C1" s="181" t="s">
        <v>5410</v>
      </c>
      <c r="D1" s="214"/>
      <c r="E1" s="214"/>
      <c r="F1" s="214"/>
      <c r="G1" s="214"/>
      <c r="H1" s="214"/>
    </row>
    <row r="2" spans="1:9" ht="24" customHeight="1" x14ac:dyDescent="0.2">
      <c r="C2" s="184" t="s">
        <v>5411</v>
      </c>
      <c r="D2" s="214"/>
      <c r="E2" s="214"/>
      <c r="F2" s="214"/>
      <c r="G2" s="214"/>
      <c r="H2" s="214"/>
    </row>
    <row r="3" spans="1:9" ht="23.1" customHeight="1" x14ac:dyDescent="0.2">
      <c r="D3" s="185"/>
      <c r="E3" s="214"/>
      <c r="F3" s="214"/>
      <c r="G3" s="214"/>
      <c r="H3" s="214"/>
    </row>
    <row r="4" spans="1:9" ht="21.95" customHeight="1" x14ac:dyDescent="0.2">
      <c r="D4" s="185" t="s">
        <v>5412</v>
      </c>
      <c r="E4" s="214"/>
      <c r="F4" s="214"/>
      <c r="G4" s="214"/>
      <c r="H4" s="214"/>
    </row>
    <row r="5" spans="1:9" ht="23.1" customHeight="1" x14ac:dyDescent="0.2">
      <c r="D5" s="186" t="s">
        <v>5413</v>
      </c>
      <c r="E5" s="214"/>
      <c r="F5" s="214"/>
      <c r="G5" s="214"/>
      <c r="H5" s="214"/>
    </row>
    <row r="6" spans="1:9" ht="14.1" customHeight="1" x14ac:dyDescent="0.2"/>
    <row r="7" spans="1:9" ht="21.95" customHeight="1" x14ac:dyDescent="0.2">
      <c r="D7" s="186" t="s">
        <v>5418</v>
      </c>
      <c r="E7" s="214"/>
      <c r="F7" s="214"/>
      <c r="G7" s="214"/>
      <c r="H7" s="214"/>
    </row>
    <row r="8" spans="1:9" ht="12.95" customHeight="1" x14ac:dyDescent="0.2"/>
    <row r="9" spans="1:9" ht="23.25" customHeight="1" thickBot="1" x14ac:dyDescent="0.3">
      <c r="A9" s="92" t="s">
        <v>78</v>
      </c>
      <c r="B9" s="93"/>
      <c r="C9" s="205" t="s">
        <v>5417</v>
      </c>
      <c r="D9" s="206"/>
      <c r="E9" s="206"/>
      <c r="F9" s="207" t="s">
        <v>77</v>
      </c>
      <c r="G9" s="208"/>
      <c r="H9" s="204" t="s">
        <v>79</v>
      </c>
      <c r="I9" s="204"/>
    </row>
    <row r="10" spans="1:9" x14ac:dyDescent="0.2">
      <c r="A10" s="94">
        <v>1</v>
      </c>
      <c r="B10" s="78" t="s">
        <v>1624</v>
      </c>
      <c r="C10" s="157" t="s">
        <v>4024</v>
      </c>
      <c r="D10" s="157"/>
      <c r="E10" s="157"/>
      <c r="F10" s="187" t="s">
        <v>4025</v>
      </c>
      <c r="G10" s="188"/>
      <c r="H10" s="136">
        <v>12.4</v>
      </c>
      <c r="I10" s="136"/>
    </row>
    <row r="11" spans="1:9" ht="30.75" customHeight="1" x14ac:dyDescent="0.2">
      <c r="A11" s="94">
        <v>2</v>
      </c>
      <c r="B11" s="78" t="s">
        <v>1624</v>
      </c>
      <c r="C11" s="157" t="s">
        <v>2493</v>
      </c>
      <c r="D11" s="157"/>
      <c r="E11" s="157"/>
      <c r="F11" s="187" t="s">
        <v>2494</v>
      </c>
      <c r="G11" s="188"/>
      <c r="H11" s="136">
        <v>157.30000000000001</v>
      </c>
      <c r="I11" s="136"/>
    </row>
    <row r="12" spans="1:9" ht="30" customHeight="1" x14ac:dyDescent="0.2">
      <c r="A12" s="94">
        <v>3</v>
      </c>
      <c r="B12" s="78" t="s">
        <v>1624</v>
      </c>
      <c r="C12" s="157" t="s">
        <v>2495</v>
      </c>
      <c r="D12" s="157"/>
      <c r="E12" s="157"/>
      <c r="F12" s="187" t="s">
        <v>2494</v>
      </c>
      <c r="G12" s="188"/>
      <c r="H12" s="136">
        <v>62.5</v>
      </c>
      <c r="I12" s="136"/>
    </row>
    <row r="13" spans="1:9" x14ac:dyDescent="0.2">
      <c r="A13" s="94">
        <v>4</v>
      </c>
      <c r="B13" s="78" t="s">
        <v>3540</v>
      </c>
      <c r="C13" s="157" t="s">
        <v>3933</v>
      </c>
      <c r="D13" s="157"/>
      <c r="E13" s="157"/>
      <c r="F13" s="187" t="s">
        <v>2494</v>
      </c>
      <c r="G13" s="188"/>
      <c r="H13" s="136">
        <v>5.0999999999999996</v>
      </c>
      <c r="I13" s="136"/>
    </row>
    <row r="14" spans="1:9" ht="12.75" customHeight="1" x14ac:dyDescent="0.2">
      <c r="A14" s="94">
        <v>5</v>
      </c>
      <c r="B14" s="78" t="s">
        <v>1292</v>
      </c>
      <c r="C14" s="157" t="s">
        <v>1561</v>
      </c>
      <c r="D14" s="157"/>
      <c r="E14" s="157"/>
      <c r="F14" s="187" t="s">
        <v>1501</v>
      </c>
      <c r="G14" s="188"/>
      <c r="H14" s="136">
        <f>16+64+14.6+123+58.8+47+15.7+15.8+31.8+15.7-16-15.3-49.2-46.5</f>
        <v>275.39999999999998</v>
      </c>
      <c r="I14" s="136"/>
    </row>
    <row r="15" spans="1:9" ht="12.75" customHeight="1" x14ac:dyDescent="0.2">
      <c r="A15" s="94">
        <v>6</v>
      </c>
      <c r="B15" s="78" t="s">
        <v>1292</v>
      </c>
      <c r="C15" s="145" t="s">
        <v>5182</v>
      </c>
      <c r="D15" s="146"/>
      <c r="E15" s="147"/>
      <c r="F15" s="121" t="s">
        <v>1283</v>
      </c>
      <c r="G15" s="122"/>
      <c r="H15" s="155">
        <f>75-9.5</f>
        <v>65.5</v>
      </c>
      <c r="I15" s="156"/>
    </row>
    <row r="16" spans="1:9" ht="12.75" customHeight="1" x14ac:dyDescent="0.2">
      <c r="A16" s="94">
        <v>7</v>
      </c>
      <c r="B16" s="78" t="s">
        <v>1292</v>
      </c>
      <c r="C16" s="145" t="s">
        <v>4890</v>
      </c>
      <c r="D16" s="146"/>
      <c r="E16" s="147"/>
      <c r="F16" s="124" t="s">
        <v>221</v>
      </c>
      <c r="G16" s="121"/>
      <c r="H16" s="136">
        <v>14.4</v>
      </c>
      <c r="I16" s="136"/>
    </row>
    <row r="17" spans="1:9" ht="12.75" customHeight="1" x14ac:dyDescent="0.2">
      <c r="A17" s="94">
        <v>8</v>
      </c>
      <c r="B17" s="78" t="s">
        <v>1292</v>
      </c>
      <c r="C17" s="145" t="s">
        <v>4768</v>
      </c>
      <c r="D17" s="146"/>
      <c r="E17" s="147"/>
      <c r="F17" s="124" t="s">
        <v>89</v>
      </c>
      <c r="G17" s="121"/>
      <c r="H17" s="136">
        <v>5.7</v>
      </c>
      <c r="I17" s="136"/>
    </row>
    <row r="18" spans="1:9" ht="12.75" customHeight="1" x14ac:dyDescent="0.2">
      <c r="A18" s="94">
        <v>9</v>
      </c>
      <c r="B18" s="78" t="s">
        <v>1292</v>
      </c>
      <c r="C18" s="145" t="s">
        <v>4769</v>
      </c>
      <c r="D18" s="146"/>
      <c r="E18" s="147"/>
      <c r="F18" s="124" t="s">
        <v>221</v>
      </c>
      <c r="G18" s="121"/>
      <c r="H18" s="136">
        <v>8.6</v>
      </c>
      <c r="I18" s="136"/>
    </row>
    <row r="19" spans="1:9" ht="12.75" customHeight="1" x14ac:dyDescent="0.2">
      <c r="A19" s="94">
        <v>10</v>
      </c>
      <c r="B19" s="78" t="s">
        <v>1292</v>
      </c>
      <c r="C19" s="145" t="s">
        <v>5255</v>
      </c>
      <c r="D19" s="146"/>
      <c r="E19" s="147"/>
      <c r="F19" s="124" t="s">
        <v>221</v>
      </c>
      <c r="G19" s="121"/>
      <c r="H19" s="136">
        <f>4.2-2.1</f>
        <v>2.1</v>
      </c>
      <c r="I19" s="136"/>
    </row>
    <row r="20" spans="1:9" ht="12.75" customHeight="1" x14ac:dyDescent="0.2">
      <c r="A20" s="94">
        <v>11</v>
      </c>
      <c r="B20" s="78" t="s">
        <v>1292</v>
      </c>
      <c r="C20" s="145" t="s">
        <v>4770</v>
      </c>
      <c r="D20" s="146"/>
      <c r="E20" s="147"/>
      <c r="F20" s="124" t="s">
        <v>89</v>
      </c>
      <c r="G20" s="121"/>
      <c r="H20" s="136">
        <v>17</v>
      </c>
      <c r="I20" s="136"/>
    </row>
    <row r="21" spans="1:9" ht="12.75" customHeight="1" x14ac:dyDescent="0.2">
      <c r="A21" s="94">
        <v>12</v>
      </c>
      <c r="B21" s="78"/>
      <c r="C21" s="145" t="s">
        <v>2943</v>
      </c>
      <c r="D21" s="146"/>
      <c r="E21" s="147"/>
      <c r="F21" s="124" t="s">
        <v>355</v>
      </c>
      <c r="G21" s="121"/>
      <c r="H21" s="155">
        <f>32.2-3.3-1.6-3.3-3.3-1.7-1.7-3.2-3.2-3.2-1.6-3.5+0.6</f>
        <v>3.2000000000000015</v>
      </c>
      <c r="I21" s="156"/>
    </row>
    <row r="22" spans="1:9" ht="12.75" customHeight="1" x14ac:dyDescent="0.2">
      <c r="A22" s="94">
        <v>13</v>
      </c>
      <c r="B22" s="78" t="s">
        <v>1292</v>
      </c>
      <c r="C22" s="145" t="s">
        <v>4888</v>
      </c>
      <c r="D22" s="146"/>
      <c r="E22" s="147"/>
      <c r="F22" s="124" t="s">
        <v>221</v>
      </c>
      <c r="G22" s="121"/>
      <c r="H22" s="136">
        <v>42.4</v>
      </c>
      <c r="I22" s="136"/>
    </row>
    <row r="23" spans="1:9" ht="12.75" customHeight="1" x14ac:dyDescent="0.2">
      <c r="A23" s="94">
        <v>14</v>
      </c>
      <c r="B23" s="78" t="s">
        <v>1292</v>
      </c>
      <c r="C23" s="145" t="s">
        <v>4767</v>
      </c>
      <c r="D23" s="146"/>
      <c r="E23" s="147"/>
      <c r="F23" s="124" t="s">
        <v>357</v>
      </c>
      <c r="G23" s="121"/>
      <c r="H23" s="136">
        <v>60.7</v>
      </c>
      <c r="I23" s="136"/>
    </row>
    <row r="24" spans="1:9" ht="12.75" customHeight="1" x14ac:dyDescent="0.2">
      <c r="A24" s="94">
        <v>15</v>
      </c>
      <c r="B24" s="78" t="s">
        <v>1292</v>
      </c>
      <c r="C24" s="157" t="s">
        <v>4106</v>
      </c>
      <c r="D24" s="157"/>
      <c r="E24" s="157"/>
      <c r="F24" s="124" t="s">
        <v>89</v>
      </c>
      <c r="G24" s="121"/>
      <c r="H24" s="136">
        <f>59-3.7-3.7-3.8-3.7-3.7-3.8-11.3-3.8+3.8-3.7-3.7-3.7-3.7+0.6-3.7</f>
        <v>7.3999999999999959</v>
      </c>
      <c r="I24" s="136"/>
    </row>
    <row r="25" spans="1:9" ht="12.75" customHeight="1" x14ac:dyDescent="0.2">
      <c r="A25" s="94">
        <v>16</v>
      </c>
      <c r="B25" s="78" t="s">
        <v>1292</v>
      </c>
      <c r="C25" s="145" t="s">
        <v>4889</v>
      </c>
      <c r="D25" s="146"/>
      <c r="E25" s="147"/>
      <c r="F25" s="124" t="s">
        <v>221</v>
      </c>
      <c r="G25" s="121"/>
      <c r="H25" s="136">
        <v>76.2</v>
      </c>
      <c r="I25" s="136"/>
    </row>
    <row r="26" spans="1:9" ht="12.75" customHeight="1" x14ac:dyDescent="0.2">
      <c r="A26" s="94">
        <v>17</v>
      </c>
      <c r="B26" s="78" t="s">
        <v>1292</v>
      </c>
      <c r="C26" s="157" t="s">
        <v>4622</v>
      </c>
      <c r="D26" s="157"/>
      <c r="E26" s="157"/>
      <c r="F26" s="124" t="s">
        <v>89</v>
      </c>
      <c r="G26" s="121"/>
      <c r="H26" s="136">
        <f>105.1-24.5-2-22.8</f>
        <v>55.8</v>
      </c>
      <c r="I26" s="136"/>
    </row>
    <row r="27" spans="1:9" ht="31.5" customHeight="1" x14ac:dyDescent="0.2">
      <c r="A27" s="94">
        <v>18</v>
      </c>
      <c r="B27" s="78" t="s">
        <v>1292</v>
      </c>
      <c r="C27" s="157" t="s">
        <v>4747</v>
      </c>
      <c r="D27" s="157"/>
      <c r="E27" s="157"/>
      <c r="F27" s="124" t="s">
        <v>772</v>
      </c>
      <c r="G27" s="121"/>
      <c r="H27" s="136">
        <f>1510-111-66.6-333-22.2-22.2-44.5-22.2-88.8-22.2-44.4-4.5-17.5-43-22-22.2-89-22</f>
        <v>512.69999999999993</v>
      </c>
      <c r="I27" s="136"/>
    </row>
    <row r="28" spans="1:9" ht="31.5" customHeight="1" x14ac:dyDescent="0.2">
      <c r="A28" s="94">
        <v>19</v>
      </c>
      <c r="B28" s="78" t="s">
        <v>1292</v>
      </c>
      <c r="C28" s="157" t="s">
        <v>4748</v>
      </c>
      <c r="D28" s="157"/>
      <c r="E28" s="157"/>
      <c r="F28" s="124" t="s">
        <v>772</v>
      </c>
      <c r="G28" s="121"/>
      <c r="H28" s="136">
        <v>10</v>
      </c>
      <c r="I28" s="136"/>
    </row>
    <row r="29" spans="1:9" x14ac:dyDescent="0.2">
      <c r="A29" s="94">
        <v>20</v>
      </c>
      <c r="B29" s="78" t="s">
        <v>1292</v>
      </c>
      <c r="C29" s="145" t="s">
        <v>4898</v>
      </c>
      <c r="D29" s="146"/>
      <c r="E29" s="147"/>
      <c r="F29" s="121" t="s">
        <v>89</v>
      </c>
      <c r="G29" s="122"/>
      <c r="H29" s="155">
        <f>14.6-3.7+89.9-4.9+3.8-1.9-3.7-1.9+12.3-3.7-4.1+21.1-3.5-4.1-2.6-2.6-5.2-3.6-3.6-3.7-10.8-3.5-9.4-4.1-9.4-3.4-3.4-3.4-4</f>
        <v>37.500000000000007</v>
      </c>
      <c r="I29" s="156"/>
    </row>
    <row r="30" spans="1:9" ht="12.75" customHeight="1" x14ac:dyDescent="0.2">
      <c r="A30" s="94">
        <v>21</v>
      </c>
      <c r="B30" s="78"/>
      <c r="C30" s="157" t="s">
        <v>761</v>
      </c>
      <c r="D30" s="157"/>
      <c r="E30" s="157"/>
      <c r="F30" s="124" t="s">
        <v>221</v>
      </c>
      <c r="G30" s="121"/>
      <c r="H30" s="136">
        <f>99.6-33.5+99.6+100.4-33.2-32.9</f>
        <v>200.00000000000003</v>
      </c>
      <c r="I30" s="136"/>
    </row>
    <row r="31" spans="1:9" ht="12.75" customHeight="1" x14ac:dyDescent="0.2">
      <c r="A31" s="94">
        <v>22</v>
      </c>
      <c r="B31" s="78" t="s">
        <v>1292</v>
      </c>
      <c r="C31" s="145" t="s">
        <v>3714</v>
      </c>
      <c r="D31" s="146"/>
      <c r="E31" s="147"/>
      <c r="F31" s="121" t="s">
        <v>89</v>
      </c>
      <c r="G31" s="122"/>
      <c r="H31" s="155">
        <f>29-3.6+18-7.2-3.7-3.6-3.7-3.4-3.7-3.7-4.3</f>
        <v>10.099999999999994</v>
      </c>
      <c r="I31" s="156"/>
    </row>
    <row r="32" spans="1:9" ht="33.75" customHeight="1" x14ac:dyDescent="0.2">
      <c r="A32" s="94">
        <v>23</v>
      </c>
      <c r="B32" s="78" t="s">
        <v>1292</v>
      </c>
      <c r="C32" s="145" t="s">
        <v>1823</v>
      </c>
      <c r="D32" s="146"/>
      <c r="E32" s="147"/>
      <c r="F32" s="121" t="s">
        <v>89</v>
      </c>
      <c r="G32" s="122"/>
      <c r="H32" s="155">
        <f>41.1-3.3+42-6.7-4-3.8-3.5+58-3.5-3.4-21.9-10.4</f>
        <v>80.599999999999994</v>
      </c>
      <c r="I32" s="156"/>
    </row>
    <row r="33" spans="1:9" ht="34.5" customHeight="1" x14ac:dyDescent="0.2">
      <c r="A33" s="94">
        <v>24</v>
      </c>
      <c r="B33" s="78"/>
      <c r="C33" s="157" t="s">
        <v>3781</v>
      </c>
      <c r="D33" s="157"/>
      <c r="E33" s="157"/>
      <c r="F33" s="121" t="s">
        <v>348</v>
      </c>
      <c r="G33" s="122"/>
      <c r="H33" s="136">
        <f>141-8.5-5.6-9.8-18.7-6.1-5.6-2.3-49.9-19</f>
        <v>15.500000000000021</v>
      </c>
      <c r="I33" s="136"/>
    </row>
    <row r="34" spans="1:9" s="28" customFormat="1" ht="12.75" customHeight="1" x14ac:dyDescent="0.2">
      <c r="A34" s="94">
        <v>25</v>
      </c>
      <c r="B34" s="78" t="s">
        <v>2272</v>
      </c>
      <c r="C34" s="145" t="s">
        <v>3106</v>
      </c>
      <c r="D34" s="146"/>
      <c r="E34" s="147"/>
      <c r="F34" s="121" t="s">
        <v>2332</v>
      </c>
      <c r="G34" s="122"/>
      <c r="H34" s="155">
        <f>35.5-1.5</f>
        <v>34</v>
      </c>
      <c r="I34" s="156"/>
    </row>
    <row r="35" spans="1:9" ht="12.75" customHeight="1" x14ac:dyDescent="0.2">
      <c r="A35" s="94">
        <v>26</v>
      </c>
      <c r="B35" s="78">
        <v>2</v>
      </c>
      <c r="C35" s="145" t="s">
        <v>2574</v>
      </c>
      <c r="D35" s="146"/>
      <c r="E35" s="147"/>
      <c r="F35" s="124" t="s">
        <v>772</v>
      </c>
      <c r="G35" s="121"/>
      <c r="H35" s="136">
        <f>134-26</f>
        <v>108</v>
      </c>
      <c r="I35" s="136"/>
    </row>
    <row r="36" spans="1:9" ht="12.75" customHeight="1" x14ac:dyDescent="0.2">
      <c r="A36" s="94">
        <v>27</v>
      </c>
      <c r="B36" s="78" t="s">
        <v>1292</v>
      </c>
      <c r="C36" s="145" t="s">
        <v>4766</v>
      </c>
      <c r="D36" s="146"/>
      <c r="E36" s="147"/>
      <c r="F36" s="124" t="s">
        <v>490</v>
      </c>
      <c r="G36" s="121"/>
      <c r="H36" s="136">
        <v>36.799999999999997</v>
      </c>
      <c r="I36" s="136"/>
    </row>
    <row r="37" spans="1:9" ht="12.75" customHeight="1" x14ac:dyDescent="0.2">
      <c r="A37" s="94">
        <v>28</v>
      </c>
      <c r="B37" s="78" t="s">
        <v>1292</v>
      </c>
      <c r="C37" s="145" t="s">
        <v>4765</v>
      </c>
      <c r="D37" s="146"/>
      <c r="E37" s="147"/>
      <c r="F37" s="124" t="s">
        <v>89</v>
      </c>
      <c r="G37" s="121"/>
      <c r="H37" s="136">
        <v>44</v>
      </c>
      <c r="I37" s="136"/>
    </row>
    <row r="38" spans="1:9" ht="12.75" customHeight="1" x14ac:dyDescent="0.2">
      <c r="A38" s="94">
        <v>29</v>
      </c>
      <c r="B38" s="78"/>
      <c r="C38" s="145" t="s">
        <v>3012</v>
      </c>
      <c r="D38" s="146"/>
      <c r="E38" s="147"/>
      <c r="F38" s="124" t="s">
        <v>89</v>
      </c>
      <c r="G38" s="121"/>
      <c r="H38" s="136">
        <f>34-6.5</f>
        <v>27.5</v>
      </c>
      <c r="I38" s="136"/>
    </row>
    <row r="39" spans="1:9" s="28" customFormat="1" ht="12.75" customHeight="1" x14ac:dyDescent="0.2">
      <c r="A39" s="94">
        <v>30</v>
      </c>
      <c r="B39" s="78" t="s">
        <v>741</v>
      </c>
      <c r="C39" s="145" t="s">
        <v>2446</v>
      </c>
      <c r="D39" s="146"/>
      <c r="E39" s="147"/>
      <c r="F39" s="121" t="s">
        <v>2332</v>
      </c>
      <c r="G39" s="122"/>
      <c r="H39" s="155">
        <v>3.4</v>
      </c>
      <c r="I39" s="156"/>
    </row>
    <row r="40" spans="1:9" s="28" customFormat="1" ht="28.5" customHeight="1" x14ac:dyDescent="0.2">
      <c r="A40" s="94">
        <v>31</v>
      </c>
      <c r="B40" s="78" t="s">
        <v>2272</v>
      </c>
      <c r="C40" s="145" t="s">
        <v>3107</v>
      </c>
      <c r="D40" s="146"/>
      <c r="E40" s="147"/>
      <c r="F40" s="121" t="s">
        <v>2447</v>
      </c>
      <c r="G40" s="122"/>
      <c r="H40" s="155">
        <f>59.3-2.5-4</f>
        <v>52.8</v>
      </c>
      <c r="I40" s="156"/>
    </row>
    <row r="41" spans="1:9" s="28" customFormat="1" ht="12.75" customHeight="1" x14ac:dyDescent="0.2">
      <c r="A41" s="94">
        <v>32</v>
      </c>
      <c r="B41" s="78">
        <v>2</v>
      </c>
      <c r="C41" s="145" t="s">
        <v>2944</v>
      </c>
      <c r="D41" s="146"/>
      <c r="E41" s="147"/>
      <c r="F41" s="121" t="s">
        <v>1573</v>
      </c>
      <c r="G41" s="122"/>
      <c r="H41" s="155">
        <f>160-9</f>
        <v>151</v>
      </c>
      <c r="I41" s="156"/>
    </row>
    <row r="42" spans="1:9" ht="12.75" customHeight="1" x14ac:dyDescent="0.2">
      <c r="A42" s="94">
        <v>33</v>
      </c>
      <c r="B42" s="78" t="s">
        <v>1292</v>
      </c>
      <c r="C42" s="145" t="s">
        <v>1419</v>
      </c>
      <c r="D42" s="146"/>
      <c r="E42" s="147"/>
      <c r="F42" s="124" t="s">
        <v>89</v>
      </c>
      <c r="G42" s="121"/>
      <c r="H42" s="155">
        <v>39.5</v>
      </c>
      <c r="I42" s="156"/>
    </row>
    <row r="43" spans="1:9" ht="31.5" customHeight="1" x14ac:dyDescent="0.2">
      <c r="A43" s="94">
        <v>34</v>
      </c>
      <c r="B43" s="78"/>
      <c r="C43" s="157" t="s">
        <v>3735</v>
      </c>
      <c r="D43" s="157"/>
      <c r="E43" s="157"/>
      <c r="F43" s="124" t="s">
        <v>89</v>
      </c>
      <c r="G43" s="121"/>
      <c r="H43" s="136">
        <f>140.5+132+282.5-72.5-68-69.9-26.7</f>
        <v>317.90000000000003</v>
      </c>
      <c r="I43" s="136"/>
    </row>
    <row r="44" spans="1:9" ht="12.75" customHeight="1" x14ac:dyDescent="0.2">
      <c r="A44" s="94">
        <v>35</v>
      </c>
      <c r="B44" s="78"/>
      <c r="C44" s="145" t="s">
        <v>3584</v>
      </c>
      <c r="D44" s="146"/>
      <c r="E44" s="147"/>
      <c r="F44" s="124" t="s">
        <v>838</v>
      </c>
      <c r="G44" s="121"/>
      <c r="H44" s="136">
        <f>99-14</f>
        <v>85</v>
      </c>
      <c r="I44" s="136"/>
    </row>
    <row r="45" spans="1:9" ht="12.75" customHeight="1" x14ac:dyDescent="0.2">
      <c r="A45" s="94">
        <v>36</v>
      </c>
      <c r="B45" s="78"/>
      <c r="C45" s="145" t="s">
        <v>4974</v>
      </c>
      <c r="D45" s="146"/>
      <c r="E45" s="147"/>
      <c r="F45" s="124" t="s">
        <v>772</v>
      </c>
      <c r="G45" s="121"/>
      <c r="H45" s="136">
        <v>29.1</v>
      </c>
      <c r="I45" s="136"/>
    </row>
    <row r="46" spans="1:9" ht="27" customHeight="1" x14ac:dyDescent="0.2">
      <c r="A46" s="94">
        <v>37</v>
      </c>
      <c r="B46" s="78"/>
      <c r="C46" s="145" t="s">
        <v>3599</v>
      </c>
      <c r="D46" s="146"/>
      <c r="E46" s="147"/>
      <c r="F46" s="124" t="s">
        <v>89</v>
      </c>
      <c r="G46" s="121"/>
      <c r="H46" s="136">
        <f>74.7-32.9+8+24.2+97.7-8-19.1-24.3</f>
        <v>120.3</v>
      </c>
      <c r="I46" s="136"/>
    </row>
    <row r="47" spans="1:9" ht="12.75" customHeight="1" x14ac:dyDescent="0.2">
      <c r="A47" s="94">
        <v>38</v>
      </c>
      <c r="B47" s="78"/>
      <c r="C47" s="145" t="s">
        <v>1033</v>
      </c>
      <c r="D47" s="146"/>
      <c r="E47" s="147"/>
      <c r="F47" s="124" t="s">
        <v>772</v>
      </c>
      <c r="G47" s="121"/>
      <c r="H47" s="136">
        <v>9</v>
      </c>
      <c r="I47" s="136"/>
    </row>
    <row r="48" spans="1:9" ht="12.75" customHeight="1" x14ac:dyDescent="0.2">
      <c r="A48" s="94">
        <v>39</v>
      </c>
      <c r="B48" s="78" t="s">
        <v>1624</v>
      </c>
      <c r="C48" s="145" t="s">
        <v>4906</v>
      </c>
      <c r="D48" s="146"/>
      <c r="E48" s="147"/>
      <c r="F48" s="124" t="s">
        <v>1855</v>
      </c>
      <c r="G48" s="121"/>
      <c r="H48" s="136">
        <v>47.6</v>
      </c>
      <c r="I48" s="136"/>
    </row>
    <row r="49" spans="1:9" ht="12.75" customHeight="1" x14ac:dyDescent="0.2">
      <c r="A49" s="94">
        <v>40</v>
      </c>
      <c r="B49" s="78"/>
      <c r="C49" s="145" t="s">
        <v>4975</v>
      </c>
      <c r="D49" s="146"/>
      <c r="E49" s="147"/>
      <c r="F49" s="124" t="s">
        <v>772</v>
      </c>
      <c r="G49" s="121"/>
      <c r="H49" s="136">
        <v>40.4</v>
      </c>
      <c r="I49" s="136"/>
    </row>
    <row r="50" spans="1:9" ht="12.75" customHeight="1" x14ac:dyDescent="0.2">
      <c r="A50" s="94">
        <v>41</v>
      </c>
      <c r="B50" s="78"/>
      <c r="C50" s="145" t="s">
        <v>4976</v>
      </c>
      <c r="D50" s="146"/>
      <c r="E50" s="147"/>
      <c r="F50" s="124" t="s">
        <v>1855</v>
      </c>
      <c r="G50" s="121"/>
      <c r="H50" s="136">
        <v>68.5</v>
      </c>
      <c r="I50" s="136"/>
    </row>
    <row r="51" spans="1:9" ht="12.75" customHeight="1" x14ac:dyDescent="0.2">
      <c r="A51" s="94">
        <v>42</v>
      </c>
      <c r="B51" s="78" t="s">
        <v>1624</v>
      </c>
      <c r="C51" s="145" t="s">
        <v>4147</v>
      </c>
      <c r="D51" s="146"/>
      <c r="E51" s="147"/>
      <c r="F51" s="124" t="s">
        <v>1855</v>
      </c>
      <c r="G51" s="121"/>
      <c r="H51" s="136">
        <f>144+36</f>
        <v>180</v>
      </c>
      <c r="I51" s="136"/>
    </row>
    <row r="52" spans="1:9" ht="12.75" customHeight="1" x14ac:dyDescent="0.2">
      <c r="A52" s="94">
        <v>43</v>
      </c>
      <c r="B52" s="78" t="s">
        <v>1624</v>
      </c>
      <c r="C52" s="145" t="s">
        <v>3878</v>
      </c>
      <c r="D52" s="146"/>
      <c r="E52" s="147"/>
      <c r="F52" s="124" t="s">
        <v>1855</v>
      </c>
      <c r="G52" s="121"/>
      <c r="H52" s="136">
        <v>71.900000000000006</v>
      </c>
      <c r="I52" s="136"/>
    </row>
    <row r="53" spans="1:9" ht="12.75" customHeight="1" x14ac:dyDescent="0.2">
      <c r="A53" s="94">
        <v>44</v>
      </c>
      <c r="B53" s="78" t="s">
        <v>1624</v>
      </c>
      <c r="C53" s="145" t="s">
        <v>3961</v>
      </c>
      <c r="D53" s="146"/>
      <c r="E53" s="147"/>
      <c r="F53" s="124" t="s">
        <v>338</v>
      </c>
      <c r="G53" s="121"/>
      <c r="H53" s="136">
        <f>82.3-28.3</f>
        <v>54</v>
      </c>
      <c r="I53" s="136"/>
    </row>
    <row r="54" spans="1:9" ht="12.75" customHeight="1" x14ac:dyDescent="0.2">
      <c r="A54" s="94">
        <v>45</v>
      </c>
      <c r="B54" s="78" t="s">
        <v>2272</v>
      </c>
      <c r="C54" s="157" t="s">
        <v>4661</v>
      </c>
      <c r="D54" s="146"/>
      <c r="E54" s="147"/>
      <c r="F54" s="124" t="s">
        <v>526</v>
      </c>
      <c r="G54" s="121"/>
      <c r="H54" s="136">
        <f>41.2-0.1</f>
        <v>41.1</v>
      </c>
      <c r="I54" s="136"/>
    </row>
    <row r="55" spans="1:9" ht="12.75" customHeight="1" x14ac:dyDescent="0.2">
      <c r="A55" s="94">
        <v>46</v>
      </c>
      <c r="B55" s="78" t="s">
        <v>2272</v>
      </c>
      <c r="C55" s="157" t="s">
        <v>4838</v>
      </c>
      <c r="D55" s="146"/>
      <c r="E55" s="147"/>
      <c r="F55" s="124" t="s">
        <v>526</v>
      </c>
      <c r="G55" s="121"/>
      <c r="H55" s="136">
        <f>22.8-0.4-6-0.2-6.2-6.3</f>
        <v>3.7000000000000037</v>
      </c>
      <c r="I55" s="136"/>
    </row>
    <row r="56" spans="1:9" ht="12.75" customHeight="1" x14ac:dyDescent="0.2">
      <c r="A56" s="94">
        <v>47</v>
      </c>
      <c r="B56" s="78" t="s">
        <v>2272</v>
      </c>
      <c r="C56" s="157" t="s">
        <v>3846</v>
      </c>
      <c r="D56" s="146"/>
      <c r="E56" s="147"/>
      <c r="F56" s="124" t="s">
        <v>838</v>
      </c>
      <c r="G56" s="121"/>
      <c r="H56" s="136">
        <f>54.5+4.9-0.5-3</f>
        <v>55.9</v>
      </c>
      <c r="I56" s="136"/>
    </row>
    <row r="57" spans="1:9" ht="12.75" customHeight="1" x14ac:dyDescent="0.2">
      <c r="A57" s="94">
        <v>48</v>
      </c>
      <c r="B57" s="78" t="s">
        <v>741</v>
      </c>
      <c r="C57" s="157" t="s">
        <v>3210</v>
      </c>
      <c r="D57" s="146"/>
      <c r="E57" s="147"/>
      <c r="F57" s="124" t="s">
        <v>357</v>
      </c>
      <c r="G57" s="121"/>
      <c r="H57" s="136">
        <f>29-0.3-0.3</f>
        <v>28.4</v>
      </c>
      <c r="I57" s="136"/>
    </row>
    <row r="58" spans="1:9" ht="12.75" customHeight="1" x14ac:dyDescent="0.2">
      <c r="A58" s="94">
        <v>49</v>
      </c>
      <c r="B58" s="78" t="s">
        <v>741</v>
      </c>
      <c r="C58" s="157" t="s">
        <v>4352</v>
      </c>
      <c r="D58" s="146"/>
      <c r="E58" s="147"/>
      <c r="F58" s="124" t="s">
        <v>1633</v>
      </c>
      <c r="G58" s="121"/>
      <c r="H58" s="136">
        <f>3.8-0.2</f>
        <v>3.5999999999999996</v>
      </c>
      <c r="I58" s="136"/>
    </row>
    <row r="59" spans="1:9" ht="12.75" customHeight="1" x14ac:dyDescent="0.2">
      <c r="A59" s="94">
        <v>50</v>
      </c>
      <c r="B59" s="78" t="s">
        <v>741</v>
      </c>
      <c r="C59" s="157" t="s">
        <v>5342</v>
      </c>
      <c r="D59" s="146"/>
      <c r="E59" s="147"/>
      <c r="F59" s="124" t="s">
        <v>128</v>
      </c>
      <c r="G59" s="121"/>
      <c r="H59" s="136">
        <f>3.2-0.4-0.4</f>
        <v>2.4000000000000004</v>
      </c>
      <c r="I59" s="136"/>
    </row>
    <row r="60" spans="1:9" ht="12.75" customHeight="1" x14ac:dyDescent="0.2">
      <c r="A60" s="94">
        <v>51</v>
      </c>
      <c r="B60" s="78" t="s">
        <v>741</v>
      </c>
      <c r="C60" s="157" t="s">
        <v>3351</v>
      </c>
      <c r="D60" s="146"/>
      <c r="E60" s="147"/>
      <c r="F60" s="124" t="s">
        <v>1633</v>
      </c>
      <c r="G60" s="121"/>
      <c r="H60" s="136">
        <v>3.3</v>
      </c>
      <c r="I60" s="136"/>
    </row>
    <row r="61" spans="1:9" ht="12.75" customHeight="1" x14ac:dyDescent="0.2">
      <c r="A61" s="94">
        <v>52</v>
      </c>
      <c r="B61" s="78" t="s">
        <v>2272</v>
      </c>
      <c r="C61" s="157" t="s">
        <v>2319</v>
      </c>
      <c r="D61" s="146"/>
      <c r="E61" s="147"/>
      <c r="F61" s="124" t="s">
        <v>490</v>
      </c>
      <c r="G61" s="121"/>
      <c r="H61" s="136">
        <f>15.9-0.3-2.3-4.5-0.6-0.6</f>
        <v>7.6000000000000014</v>
      </c>
      <c r="I61" s="136"/>
    </row>
    <row r="62" spans="1:9" ht="12.75" customHeight="1" x14ac:dyDescent="0.2">
      <c r="A62" s="94">
        <v>53</v>
      </c>
      <c r="B62" s="78" t="s">
        <v>1624</v>
      </c>
      <c r="C62" s="157" t="s">
        <v>2201</v>
      </c>
      <c r="D62" s="146"/>
      <c r="E62" s="147"/>
      <c r="F62" s="124" t="s">
        <v>128</v>
      </c>
      <c r="G62" s="121"/>
      <c r="H62" s="136">
        <v>82.8</v>
      </c>
      <c r="I62" s="136"/>
    </row>
    <row r="63" spans="1:9" ht="12.75" customHeight="1" x14ac:dyDescent="0.2">
      <c r="A63" s="94">
        <v>54</v>
      </c>
      <c r="B63" s="78" t="s">
        <v>2272</v>
      </c>
      <c r="C63" s="157" t="s">
        <v>2317</v>
      </c>
      <c r="D63" s="146"/>
      <c r="E63" s="147"/>
      <c r="F63" s="124" t="s">
        <v>128</v>
      </c>
      <c r="G63" s="121"/>
      <c r="H63" s="136">
        <f>7.9-0.2-2.5-0.4</f>
        <v>4.8</v>
      </c>
      <c r="I63" s="136"/>
    </row>
    <row r="64" spans="1:9" ht="12.75" customHeight="1" x14ac:dyDescent="0.2">
      <c r="A64" s="94">
        <v>55</v>
      </c>
      <c r="B64" s="78" t="s">
        <v>2272</v>
      </c>
      <c r="C64" s="157" t="s">
        <v>2344</v>
      </c>
      <c r="D64" s="146"/>
      <c r="E64" s="147"/>
      <c r="F64" s="124" t="s">
        <v>357</v>
      </c>
      <c r="G64" s="121"/>
      <c r="H64" s="136">
        <v>29.8</v>
      </c>
      <c r="I64" s="136"/>
    </row>
    <row r="65" spans="1:9" ht="12.75" customHeight="1" x14ac:dyDescent="0.2">
      <c r="A65" s="94">
        <v>56</v>
      </c>
      <c r="B65" s="78"/>
      <c r="C65" s="157" t="s">
        <v>2213</v>
      </c>
      <c r="D65" s="146"/>
      <c r="E65" s="147"/>
      <c r="F65" s="124" t="s">
        <v>1866</v>
      </c>
      <c r="G65" s="121"/>
      <c r="H65" s="136">
        <f>10.5-0.4-1.6-0.4-0.6-1.6</f>
        <v>5.9</v>
      </c>
      <c r="I65" s="136"/>
    </row>
    <row r="66" spans="1:9" ht="12.75" customHeight="1" x14ac:dyDescent="0.2">
      <c r="A66" s="94">
        <v>57</v>
      </c>
      <c r="B66" s="78" t="s">
        <v>2272</v>
      </c>
      <c r="C66" s="157" t="s">
        <v>4964</v>
      </c>
      <c r="D66" s="146"/>
      <c r="E66" s="147"/>
      <c r="F66" s="124" t="s">
        <v>128</v>
      </c>
      <c r="G66" s="121"/>
      <c r="H66" s="136">
        <f>63+22-0.8-2.2-0.8-0.8-1.5</f>
        <v>78.900000000000006</v>
      </c>
      <c r="I66" s="136"/>
    </row>
    <row r="67" spans="1:9" ht="12.75" customHeight="1" x14ac:dyDescent="0.2">
      <c r="A67" s="94">
        <v>58</v>
      </c>
      <c r="B67" s="78" t="s">
        <v>2272</v>
      </c>
      <c r="C67" s="157" t="s">
        <v>2307</v>
      </c>
      <c r="D67" s="146"/>
      <c r="E67" s="147"/>
      <c r="F67" s="124" t="s">
        <v>128</v>
      </c>
      <c r="G67" s="121"/>
      <c r="H67" s="136">
        <f>43-0.4-3.8-2.6-0.8</f>
        <v>35.400000000000006</v>
      </c>
      <c r="I67" s="136"/>
    </row>
    <row r="68" spans="1:9" ht="12.75" customHeight="1" x14ac:dyDescent="0.2">
      <c r="A68" s="94">
        <v>59</v>
      </c>
      <c r="B68" s="78" t="s">
        <v>3601</v>
      </c>
      <c r="C68" s="157" t="s">
        <v>3810</v>
      </c>
      <c r="D68" s="146"/>
      <c r="E68" s="147"/>
      <c r="F68" s="124" t="s">
        <v>241</v>
      </c>
      <c r="G68" s="121"/>
      <c r="H68" s="136">
        <f>10.5-1.2-0.8-2.9</f>
        <v>5.6</v>
      </c>
      <c r="I68" s="136"/>
    </row>
    <row r="69" spans="1:9" ht="12.75" customHeight="1" x14ac:dyDescent="0.2">
      <c r="A69" s="94">
        <v>60</v>
      </c>
      <c r="B69" s="78" t="s">
        <v>2224</v>
      </c>
      <c r="C69" s="157" t="s">
        <v>4641</v>
      </c>
      <c r="D69" s="146"/>
      <c r="E69" s="147"/>
      <c r="F69" s="124" t="s">
        <v>128</v>
      </c>
      <c r="G69" s="121"/>
      <c r="H69" s="136">
        <f>112.4-0.7-20.5-19.4-2.7</f>
        <v>69.100000000000009</v>
      </c>
      <c r="I69" s="136"/>
    </row>
    <row r="70" spans="1:9" ht="12.75" customHeight="1" x14ac:dyDescent="0.2">
      <c r="A70" s="94">
        <v>61</v>
      </c>
      <c r="B70" s="78" t="s">
        <v>2224</v>
      </c>
      <c r="C70" s="157" t="s">
        <v>5068</v>
      </c>
      <c r="D70" s="146"/>
      <c r="E70" s="147"/>
      <c r="F70" s="124" t="s">
        <v>128</v>
      </c>
      <c r="G70" s="121"/>
      <c r="H70" s="136">
        <f>78.7-1.7-3.3-0.7-1.8</f>
        <v>71.2</v>
      </c>
      <c r="I70" s="136"/>
    </row>
    <row r="71" spans="1:9" ht="12.75" customHeight="1" x14ac:dyDescent="0.2">
      <c r="A71" s="94">
        <v>62</v>
      </c>
      <c r="B71" s="78" t="s">
        <v>2225</v>
      </c>
      <c r="C71" s="157" t="s">
        <v>2305</v>
      </c>
      <c r="D71" s="146"/>
      <c r="E71" s="147"/>
      <c r="F71" s="124" t="s">
        <v>2306</v>
      </c>
      <c r="G71" s="121"/>
      <c r="H71" s="136">
        <f>11.8+1-0.5-1.3-0.6-0.3</f>
        <v>10.1</v>
      </c>
      <c r="I71" s="136"/>
    </row>
    <row r="72" spans="1:9" ht="12.75" customHeight="1" x14ac:dyDescent="0.2">
      <c r="A72" s="94">
        <v>63</v>
      </c>
      <c r="B72" s="78" t="s">
        <v>2272</v>
      </c>
      <c r="C72" s="157" t="s">
        <v>2371</v>
      </c>
      <c r="D72" s="146"/>
      <c r="E72" s="147"/>
      <c r="F72" s="124" t="s">
        <v>1871</v>
      </c>
      <c r="G72" s="121"/>
      <c r="H72" s="136">
        <v>2.1</v>
      </c>
      <c r="I72" s="136"/>
    </row>
    <row r="73" spans="1:9" ht="12.75" customHeight="1" x14ac:dyDescent="0.2">
      <c r="A73" s="94">
        <v>64</v>
      </c>
      <c r="B73" s="78"/>
      <c r="C73" s="157" t="s">
        <v>2214</v>
      </c>
      <c r="D73" s="146"/>
      <c r="E73" s="147"/>
      <c r="F73" s="124" t="s">
        <v>128</v>
      </c>
      <c r="G73" s="121"/>
      <c r="H73" s="136">
        <f>20.4-5.5-8.3-1.5</f>
        <v>5.0999999999999979</v>
      </c>
      <c r="I73" s="136"/>
    </row>
    <row r="74" spans="1:9" ht="12.75" customHeight="1" x14ac:dyDescent="0.2">
      <c r="A74" s="94">
        <v>65</v>
      </c>
      <c r="B74" s="78" t="s">
        <v>1292</v>
      </c>
      <c r="C74" s="157" t="s">
        <v>2295</v>
      </c>
      <c r="D74" s="146"/>
      <c r="E74" s="147"/>
      <c r="F74" s="124" t="s">
        <v>128</v>
      </c>
      <c r="G74" s="121"/>
      <c r="H74" s="155">
        <f>38.5-1.5</f>
        <v>37</v>
      </c>
      <c r="I74" s="156"/>
    </row>
    <row r="75" spans="1:9" ht="12.75" customHeight="1" x14ac:dyDescent="0.2">
      <c r="A75" s="94">
        <v>66</v>
      </c>
      <c r="B75" s="78" t="s">
        <v>741</v>
      </c>
      <c r="C75" s="157" t="s">
        <v>2784</v>
      </c>
      <c r="D75" s="146"/>
      <c r="E75" s="147"/>
      <c r="F75" s="124" t="s">
        <v>89</v>
      </c>
      <c r="G75" s="121"/>
      <c r="H75" s="136">
        <v>0.5</v>
      </c>
      <c r="I75" s="136"/>
    </row>
    <row r="76" spans="1:9" ht="12.75" customHeight="1" x14ac:dyDescent="0.2">
      <c r="A76" s="94">
        <v>67</v>
      </c>
      <c r="B76" s="78" t="s">
        <v>741</v>
      </c>
      <c r="C76" s="157" t="s">
        <v>2287</v>
      </c>
      <c r="D76" s="146"/>
      <c r="E76" s="147"/>
      <c r="F76" s="124" t="s">
        <v>241</v>
      </c>
      <c r="G76" s="121"/>
      <c r="H76" s="136">
        <f>1.3+4.5</f>
        <v>5.8</v>
      </c>
      <c r="I76" s="136"/>
    </row>
    <row r="77" spans="1:9" ht="12.75" customHeight="1" x14ac:dyDescent="0.2">
      <c r="A77" s="94">
        <v>68</v>
      </c>
      <c r="B77" s="78" t="s">
        <v>2272</v>
      </c>
      <c r="C77" s="157" t="s">
        <v>2342</v>
      </c>
      <c r="D77" s="146"/>
      <c r="E77" s="147"/>
      <c r="F77" s="124" t="s">
        <v>2170</v>
      </c>
      <c r="G77" s="121"/>
      <c r="H77" s="136">
        <f>72.8-3.9-5-6</f>
        <v>57.899999999999991</v>
      </c>
      <c r="I77" s="136"/>
    </row>
    <row r="78" spans="1:9" ht="12.75" customHeight="1" x14ac:dyDescent="0.2">
      <c r="A78" s="94">
        <v>69</v>
      </c>
      <c r="B78" s="78" t="s">
        <v>741</v>
      </c>
      <c r="C78" s="157" t="s">
        <v>2094</v>
      </c>
      <c r="D78" s="146"/>
      <c r="E78" s="147"/>
      <c r="F78" s="124" t="s">
        <v>89</v>
      </c>
      <c r="G78" s="121"/>
      <c r="H78" s="136">
        <v>0.4</v>
      </c>
      <c r="I78" s="136"/>
    </row>
    <row r="79" spans="1:9" ht="12.75" customHeight="1" x14ac:dyDescent="0.2">
      <c r="A79" s="94">
        <v>70</v>
      </c>
      <c r="B79" s="78" t="s">
        <v>2272</v>
      </c>
      <c r="C79" s="157" t="s">
        <v>5341</v>
      </c>
      <c r="D79" s="146"/>
      <c r="E79" s="147"/>
      <c r="F79" s="124" t="s">
        <v>526</v>
      </c>
      <c r="G79" s="121"/>
      <c r="H79" s="136">
        <f>62.4+3.8-1.5-1.6</f>
        <v>63.1</v>
      </c>
      <c r="I79" s="136"/>
    </row>
    <row r="80" spans="1:9" ht="12.75" customHeight="1" x14ac:dyDescent="0.2">
      <c r="A80" s="94">
        <v>71</v>
      </c>
      <c r="B80" s="78" t="s">
        <v>2272</v>
      </c>
      <c r="C80" s="157" t="s">
        <v>5404</v>
      </c>
      <c r="D80" s="146"/>
      <c r="E80" s="147"/>
      <c r="F80" s="124" t="s">
        <v>128</v>
      </c>
      <c r="G80" s="121"/>
      <c r="H80" s="136">
        <f>119+5.3-0.8-0.3-0.9-3.2</f>
        <v>119.1</v>
      </c>
      <c r="I80" s="136"/>
    </row>
    <row r="81" spans="1:9" ht="12.75" customHeight="1" x14ac:dyDescent="0.2">
      <c r="A81" s="94">
        <v>72</v>
      </c>
      <c r="B81" s="78"/>
      <c r="C81" s="157" t="s">
        <v>2215</v>
      </c>
      <c r="D81" s="146"/>
      <c r="E81" s="147"/>
      <c r="F81" s="124" t="s">
        <v>128</v>
      </c>
      <c r="G81" s="121"/>
      <c r="H81" s="136">
        <f>64-1.8-5.1-33-1.7+1.7</f>
        <v>24.1</v>
      </c>
      <c r="I81" s="136"/>
    </row>
    <row r="82" spans="1:9" ht="30" customHeight="1" x14ac:dyDescent="0.2">
      <c r="A82" s="94">
        <v>73</v>
      </c>
      <c r="B82" s="78" t="s">
        <v>2224</v>
      </c>
      <c r="C82" s="157" t="s">
        <v>4834</v>
      </c>
      <c r="D82" s="146"/>
      <c r="E82" s="147"/>
      <c r="F82" s="124" t="s">
        <v>128</v>
      </c>
      <c r="G82" s="121"/>
      <c r="H82" s="155">
        <f>23.7+43.3-0.5-1-0.8-3</f>
        <v>61.7</v>
      </c>
      <c r="I82" s="156"/>
    </row>
    <row r="83" spans="1:9" ht="12.75" customHeight="1" x14ac:dyDescent="0.2">
      <c r="A83" s="94">
        <v>74</v>
      </c>
      <c r="B83" s="78" t="s">
        <v>1292</v>
      </c>
      <c r="C83" s="157" t="s">
        <v>2294</v>
      </c>
      <c r="D83" s="146"/>
      <c r="E83" s="147"/>
      <c r="F83" s="124" t="s">
        <v>128</v>
      </c>
      <c r="G83" s="121"/>
      <c r="H83" s="155">
        <f>157+23.8-2+7-65-3-3.3-2-6-0.8-2.1</f>
        <v>103.60000000000002</v>
      </c>
      <c r="I83" s="156"/>
    </row>
    <row r="84" spans="1:9" ht="12.75" customHeight="1" x14ac:dyDescent="0.2">
      <c r="A84" s="94">
        <v>75</v>
      </c>
      <c r="B84" s="78" t="s">
        <v>2225</v>
      </c>
      <c r="C84" s="157" t="s">
        <v>5069</v>
      </c>
      <c r="D84" s="146"/>
      <c r="E84" s="147"/>
      <c r="F84" s="124" t="s">
        <v>128</v>
      </c>
      <c r="G84" s="121"/>
      <c r="H84" s="136">
        <f>1.8+38-1.8-1-5.4-1.9-1.8-16+0.4-2.7</f>
        <v>9.6000000000000014</v>
      </c>
      <c r="I84" s="136"/>
    </row>
    <row r="85" spans="1:9" ht="12.75" customHeight="1" x14ac:dyDescent="0.2">
      <c r="A85" s="94">
        <v>76</v>
      </c>
      <c r="B85" s="78" t="s">
        <v>2272</v>
      </c>
      <c r="C85" s="157" t="s">
        <v>3375</v>
      </c>
      <c r="D85" s="146"/>
      <c r="E85" s="147"/>
      <c r="F85" s="124" t="s">
        <v>128</v>
      </c>
      <c r="G85" s="121"/>
      <c r="H85" s="136">
        <v>0.8</v>
      </c>
      <c r="I85" s="136"/>
    </row>
    <row r="86" spans="1:9" ht="12.75" customHeight="1" x14ac:dyDescent="0.2">
      <c r="A86" s="94">
        <v>77</v>
      </c>
      <c r="B86" s="78" t="s">
        <v>2225</v>
      </c>
      <c r="C86" s="157" t="s">
        <v>5403</v>
      </c>
      <c r="D86" s="146"/>
      <c r="E86" s="147"/>
      <c r="F86" s="124" t="s">
        <v>128</v>
      </c>
      <c r="G86" s="121"/>
      <c r="H86" s="155">
        <f>75.6-67-0.5-3.3-1.6</f>
        <v>3.1999999999999944</v>
      </c>
      <c r="I86" s="156"/>
    </row>
    <row r="87" spans="1:9" ht="12.75" customHeight="1" x14ac:dyDescent="0.2">
      <c r="A87" s="94">
        <v>78</v>
      </c>
      <c r="B87" s="78" t="s">
        <v>2258</v>
      </c>
      <c r="C87" s="157" t="s">
        <v>2303</v>
      </c>
      <c r="D87" s="146"/>
      <c r="E87" s="147"/>
      <c r="F87" s="124" t="s">
        <v>2304</v>
      </c>
      <c r="G87" s="121"/>
      <c r="H87" s="136">
        <f>36.3-5.5-1.4-1.4</f>
        <v>28</v>
      </c>
      <c r="I87" s="136"/>
    </row>
    <row r="88" spans="1:9" ht="12.75" customHeight="1" x14ac:dyDescent="0.2">
      <c r="A88" s="94">
        <v>79</v>
      </c>
      <c r="B88" s="78" t="s">
        <v>2224</v>
      </c>
      <c r="C88" s="145" t="s">
        <v>2252</v>
      </c>
      <c r="D88" s="146"/>
      <c r="E88" s="147"/>
      <c r="F88" s="124" t="s">
        <v>89</v>
      </c>
      <c r="G88" s="121"/>
      <c r="H88" s="155">
        <f>122.3-9-1.4-2.8-2.6</f>
        <v>106.5</v>
      </c>
      <c r="I88" s="156"/>
    </row>
    <row r="89" spans="1:9" ht="12.75" customHeight="1" x14ac:dyDescent="0.2">
      <c r="A89" s="94">
        <v>80</v>
      </c>
      <c r="B89" s="78" t="s">
        <v>2258</v>
      </c>
      <c r="C89" s="157" t="s">
        <v>3380</v>
      </c>
      <c r="D89" s="146"/>
      <c r="E89" s="147"/>
      <c r="F89" s="124" t="s">
        <v>89</v>
      </c>
      <c r="G89" s="121"/>
      <c r="H89" s="136">
        <f>7-1.8-3.7</f>
        <v>1.5</v>
      </c>
      <c r="I89" s="136"/>
    </row>
    <row r="90" spans="1:9" ht="12.75" customHeight="1" x14ac:dyDescent="0.2">
      <c r="A90" s="94">
        <v>81</v>
      </c>
      <c r="B90" s="78" t="s">
        <v>2272</v>
      </c>
      <c r="C90" s="157" t="s">
        <v>4751</v>
      </c>
      <c r="D90" s="146"/>
      <c r="E90" s="147"/>
      <c r="F90" s="124" t="s">
        <v>89</v>
      </c>
      <c r="G90" s="121"/>
      <c r="H90" s="136">
        <f>15-8.2+0.1-0.5</f>
        <v>6.4</v>
      </c>
      <c r="I90" s="136"/>
    </row>
    <row r="91" spans="1:9" ht="12.75" customHeight="1" x14ac:dyDescent="0.2">
      <c r="A91" s="94">
        <v>82</v>
      </c>
      <c r="B91" s="78" t="s">
        <v>2225</v>
      </c>
      <c r="C91" s="145" t="s">
        <v>2643</v>
      </c>
      <c r="D91" s="146"/>
      <c r="E91" s="147"/>
      <c r="F91" s="121" t="s">
        <v>128</v>
      </c>
      <c r="G91" s="122"/>
      <c r="H91" s="155">
        <f>6.7-1.1-3.4</f>
        <v>2.1999999999999997</v>
      </c>
      <c r="I91" s="156"/>
    </row>
    <row r="92" spans="1:9" ht="12.75" customHeight="1" x14ac:dyDescent="0.2">
      <c r="A92" s="94">
        <v>83</v>
      </c>
      <c r="B92" s="78" t="s">
        <v>2258</v>
      </c>
      <c r="C92" s="157" t="s">
        <v>2216</v>
      </c>
      <c r="D92" s="146"/>
      <c r="E92" s="147"/>
      <c r="F92" s="124" t="s">
        <v>1871</v>
      </c>
      <c r="G92" s="121"/>
      <c r="H92" s="136">
        <f>9.4+65.3</f>
        <v>74.7</v>
      </c>
      <c r="I92" s="136"/>
    </row>
    <row r="93" spans="1:9" ht="12.75" customHeight="1" x14ac:dyDescent="0.2">
      <c r="A93" s="94">
        <v>84</v>
      </c>
      <c r="B93" s="78" t="s">
        <v>2225</v>
      </c>
      <c r="C93" s="157" t="s">
        <v>2448</v>
      </c>
      <c r="D93" s="146"/>
      <c r="E93" s="147"/>
      <c r="F93" s="124" t="s">
        <v>2304</v>
      </c>
      <c r="G93" s="121"/>
      <c r="H93" s="136">
        <v>13.7</v>
      </c>
      <c r="I93" s="136"/>
    </row>
    <row r="94" spans="1:9" ht="12.75" customHeight="1" x14ac:dyDescent="0.2">
      <c r="A94" s="94">
        <v>85</v>
      </c>
      <c r="B94" s="78" t="s">
        <v>2225</v>
      </c>
      <c r="C94" s="157" t="s">
        <v>2302</v>
      </c>
      <c r="D94" s="146"/>
      <c r="E94" s="147"/>
      <c r="F94" s="124" t="s">
        <v>2170</v>
      </c>
      <c r="G94" s="121"/>
      <c r="H94" s="136">
        <f>61-1.2-11-5.5</f>
        <v>43.3</v>
      </c>
      <c r="I94" s="136"/>
    </row>
    <row r="95" spans="1:9" ht="12.75" customHeight="1" x14ac:dyDescent="0.2">
      <c r="A95" s="94">
        <v>86</v>
      </c>
      <c r="B95" s="78" t="s">
        <v>1292</v>
      </c>
      <c r="C95" s="157" t="s">
        <v>3315</v>
      </c>
      <c r="D95" s="146"/>
      <c r="E95" s="147"/>
      <c r="F95" s="124" t="s">
        <v>357</v>
      </c>
      <c r="G95" s="121"/>
      <c r="H95" s="136">
        <f>12.9-0.3</f>
        <v>12.6</v>
      </c>
      <c r="I95" s="136"/>
    </row>
    <row r="96" spans="1:9" ht="12.75" customHeight="1" x14ac:dyDescent="0.2">
      <c r="A96" s="94">
        <v>87</v>
      </c>
      <c r="B96" s="78" t="s">
        <v>741</v>
      </c>
      <c r="C96" s="157" t="s">
        <v>1864</v>
      </c>
      <c r="D96" s="146"/>
      <c r="E96" s="147"/>
      <c r="F96" s="124" t="s">
        <v>1863</v>
      </c>
      <c r="G96" s="121"/>
      <c r="H96" s="136">
        <v>2.2000000000000002</v>
      </c>
      <c r="I96" s="136"/>
    </row>
    <row r="97" spans="1:9" ht="12.75" customHeight="1" x14ac:dyDescent="0.2">
      <c r="A97" s="94">
        <v>88</v>
      </c>
      <c r="B97" s="78" t="s">
        <v>741</v>
      </c>
      <c r="C97" s="157" t="s">
        <v>4655</v>
      </c>
      <c r="D97" s="146"/>
      <c r="E97" s="147"/>
      <c r="F97" s="124" t="s">
        <v>1863</v>
      </c>
      <c r="G97" s="121"/>
      <c r="H97" s="136">
        <f>51.8-10.3-2.2-2.3-2-2-14</f>
        <v>19</v>
      </c>
      <c r="I97" s="136"/>
    </row>
    <row r="98" spans="1:9" ht="12.75" customHeight="1" x14ac:dyDescent="0.2">
      <c r="A98" s="94">
        <v>89</v>
      </c>
      <c r="B98" s="78" t="s">
        <v>2272</v>
      </c>
      <c r="C98" s="157" t="s">
        <v>4809</v>
      </c>
      <c r="D98" s="146"/>
      <c r="E98" s="147"/>
      <c r="F98" s="124" t="s">
        <v>338</v>
      </c>
      <c r="G98" s="121"/>
      <c r="H98" s="136">
        <f>10.5-0.4</f>
        <v>10.1</v>
      </c>
      <c r="I98" s="136"/>
    </row>
    <row r="99" spans="1:9" ht="12.75" customHeight="1" x14ac:dyDescent="0.2">
      <c r="A99" s="94">
        <v>90</v>
      </c>
      <c r="B99" s="78" t="s">
        <v>3601</v>
      </c>
      <c r="C99" s="157" t="s">
        <v>2267</v>
      </c>
      <c r="D99" s="146"/>
      <c r="E99" s="147"/>
      <c r="F99" s="124" t="s">
        <v>241</v>
      </c>
      <c r="G99" s="121"/>
      <c r="H99" s="136">
        <f>2.2-0.1</f>
        <v>2.1</v>
      </c>
      <c r="I99" s="136"/>
    </row>
    <row r="100" spans="1:9" ht="12.75" customHeight="1" x14ac:dyDescent="0.2">
      <c r="A100" s="94">
        <v>91</v>
      </c>
      <c r="B100" s="78" t="s">
        <v>2258</v>
      </c>
      <c r="C100" s="157" t="s">
        <v>4055</v>
      </c>
      <c r="D100" s="146"/>
      <c r="E100" s="147"/>
      <c r="F100" s="124" t="s">
        <v>357</v>
      </c>
      <c r="G100" s="121"/>
      <c r="H100" s="136">
        <f>27-3.3-4-4-4</f>
        <v>11.7</v>
      </c>
      <c r="I100" s="136"/>
    </row>
    <row r="101" spans="1:9" ht="12.75" customHeight="1" x14ac:dyDescent="0.2">
      <c r="A101" s="94">
        <v>92</v>
      </c>
      <c r="B101" s="78" t="s">
        <v>2272</v>
      </c>
      <c r="C101" s="157" t="s">
        <v>4752</v>
      </c>
      <c r="D101" s="146"/>
      <c r="E101" s="147"/>
      <c r="F101" s="124" t="s">
        <v>89</v>
      </c>
      <c r="G101" s="121"/>
      <c r="H101" s="136">
        <f>24.4-15.3-3.1-1</f>
        <v>4.9999999999999982</v>
      </c>
      <c r="I101" s="136"/>
    </row>
    <row r="102" spans="1:9" ht="12.75" customHeight="1" x14ac:dyDescent="0.2">
      <c r="A102" s="94">
        <v>93</v>
      </c>
      <c r="B102" s="78" t="s">
        <v>2272</v>
      </c>
      <c r="C102" s="157" t="s">
        <v>2318</v>
      </c>
      <c r="D102" s="146"/>
      <c r="E102" s="147"/>
      <c r="F102" s="124" t="s">
        <v>338</v>
      </c>
      <c r="G102" s="121"/>
      <c r="H102" s="136">
        <v>5.8</v>
      </c>
      <c r="I102" s="136"/>
    </row>
    <row r="103" spans="1:9" ht="12.75" customHeight="1" x14ac:dyDescent="0.2">
      <c r="A103" s="94">
        <v>94</v>
      </c>
      <c r="B103" s="78" t="s">
        <v>2224</v>
      </c>
      <c r="C103" s="157" t="s">
        <v>4884</v>
      </c>
      <c r="D103" s="146"/>
      <c r="E103" s="147"/>
      <c r="F103" s="124" t="s">
        <v>128</v>
      </c>
      <c r="G103" s="121"/>
      <c r="H103" s="136">
        <f>100.2-2-22.3+0.1-22.3-22.3-2.6-1</f>
        <v>27.8</v>
      </c>
      <c r="I103" s="136"/>
    </row>
    <row r="104" spans="1:9" ht="12.75" customHeight="1" x14ac:dyDescent="0.2">
      <c r="A104" s="94">
        <v>95</v>
      </c>
      <c r="B104" s="78" t="s">
        <v>2224</v>
      </c>
      <c r="C104" s="157" t="s">
        <v>2217</v>
      </c>
      <c r="D104" s="146"/>
      <c r="E104" s="147"/>
      <c r="F104" s="124" t="s">
        <v>128</v>
      </c>
      <c r="G104" s="121"/>
      <c r="H104" s="136">
        <v>91.8</v>
      </c>
      <c r="I104" s="136"/>
    </row>
    <row r="105" spans="1:9" ht="12.75" customHeight="1" x14ac:dyDescent="0.2">
      <c r="A105" s="94">
        <v>96</v>
      </c>
      <c r="B105" s="78" t="s">
        <v>741</v>
      </c>
      <c r="C105" s="157" t="s">
        <v>1428</v>
      </c>
      <c r="D105" s="146"/>
      <c r="E105" s="147"/>
      <c r="F105" s="124" t="s">
        <v>338</v>
      </c>
      <c r="G105" s="121"/>
      <c r="H105" s="136">
        <v>3.3</v>
      </c>
      <c r="I105" s="136"/>
    </row>
    <row r="106" spans="1:9" ht="12.75" customHeight="1" x14ac:dyDescent="0.2">
      <c r="A106" s="94">
        <v>97</v>
      </c>
      <c r="B106" s="78" t="s">
        <v>2200</v>
      </c>
      <c r="C106" s="157" t="s">
        <v>2218</v>
      </c>
      <c r="D106" s="146"/>
      <c r="E106" s="147"/>
      <c r="F106" s="124" t="s">
        <v>128</v>
      </c>
      <c r="G106" s="121"/>
      <c r="H106" s="136">
        <f>17-2.5-0.6-0.6</f>
        <v>13.3</v>
      </c>
      <c r="I106" s="136"/>
    </row>
    <row r="107" spans="1:9" ht="12.75" customHeight="1" x14ac:dyDescent="0.2">
      <c r="A107" s="94">
        <v>98</v>
      </c>
      <c r="B107" s="78" t="s">
        <v>2200</v>
      </c>
      <c r="C107" s="157" t="s">
        <v>2631</v>
      </c>
      <c r="D107" s="146"/>
      <c r="E107" s="147"/>
      <c r="F107" s="124" t="s">
        <v>2170</v>
      </c>
      <c r="G107" s="121"/>
      <c r="H107" s="136">
        <f>5.3-0.7</f>
        <v>4.5999999999999996</v>
      </c>
      <c r="I107" s="136"/>
    </row>
    <row r="108" spans="1:9" ht="12.75" customHeight="1" x14ac:dyDescent="0.2">
      <c r="A108" s="94">
        <v>99</v>
      </c>
      <c r="B108" s="78" t="s">
        <v>1292</v>
      </c>
      <c r="C108" s="157" t="s">
        <v>2301</v>
      </c>
      <c r="D108" s="146"/>
      <c r="E108" s="147"/>
      <c r="F108" s="124" t="s">
        <v>128</v>
      </c>
      <c r="G108" s="121"/>
      <c r="H108" s="136">
        <f>168.3+4.1-5.8-45-7.3-0.7-33.3-8.1-2.4</f>
        <v>69.8</v>
      </c>
      <c r="I108" s="136"/>
    </row>
    <row r="109" spans="1:9" ht="12.75" customHeight="1" x14ac:dyDescent="0.2">
      <c r="A109" s="94">
        <v>100</v>
      </c>
      <c r="B109" s="78" t="s">
        <v>4950</v>
      </c>
      <c r="C109" s="157" t="s">
        <v>4956</v>
      </c>
      <c r="D109" s="146"/>
      <c r="E109" s="147"/>
      <c r="F109" s="124" t="s">
        <v>1633</v>
      </c>
      <c r="G109" s="121"/>
      <c r="H109" s="136">
        <v>201.5</v>
      </c>
      <c r="I109" s="136"/>
    </row>
    <row r="110" spans="1:9" ht="12.75" customHeight="1" x14ac:dyDescent="0.2">
      <c r="A110" s="94">
        <v>101</v>
      </c>
      <c r="B110" s="78" t="s">
        <v>2876</v>
      </c>
      <c r="C110" s="157" t="s">
        <v>4759</v>
      </c>
      <c r="D110" s="146"/>
      <c r="E110" s="147"/>
      <c r="F110" s="124" t="s">
        <v>241</v>
      </c>
      <c r="G110" s="121"/>
      <c r="H110" s="136">
        <f>227-4.8-54.4</f>
        <v>167.79999999999998</v>
      </c>
      <c r="I110" s="136"/>
    </row>
    <row r="111" spans="1:9" ht="12.75" customHeight="1" x14ac:dyDescent="0.2">
      <c r="A111" s="94">
        <v>102</v>
      </c>
      <c r="B111" s="78" t="s">
        <v>2225</v>
      </c>
      <c r="C111" s="145" t="s">
        <v>2251</v>
      </c>
      <c r="D111" s="146"/>
      <c r="E111" s="147"/>
      <c r="F111" s="124" t="s">
        <v>128</v>
      </c>
      <c r="G111" s="121"/>
      <c r="H111" s="155">
        <f>20.7+21-6.3-3.8-22</f>
        <v>9.600000000000005</v>
      </c>
      <c r="I111" s="156"/>
    </row>
    <row r="112" spans="1:9" ht="12.75" customHeight="1" x14ac:dyDescent="0.2">
      <c r="A112" s="94">
        <v>103</v>
      </c>
      <c r="B112" s="78" t="s">
        <v>741</v>
      </c>
      <c r="C112" s="145" t="s">
        <v>1427</v>
      </c>
      <c r="D112" s="146"/>
      <c r="E112" s="147"/>
      <c r="F112" s="124" t="s">
        <v>128</v>
      </c>
      <c r="G112" s="121"/>
      <c r="H112" s="136">
        <v>1.8</v>
      </c>
      <c r="I112" s="136"/>
    </row>
    <row r="113" spans="1:9" ht="12.75" customHeight="1" x14ac:dyDescent="0.2">
      <c r="A113" s="94">
        <v>104</v>
      </c>
      <c r="B113" s="78" t="s">
        <v>2225</v>
      </c>
      <c r="C113" s="157" t="s">
        <v>2985</v>
      </c>
      <c r="D113" s="146"/>
      <c r="E113" s="147"/>
      <c r="F113" s="124" t="s">
        <v>128</v>
      </c>
      <c r="G113" s="121"/>
      <c r="H113" s="136">
        <v>2.6</v>
      </c>
      <c r="I113" s="136"/>
    </row>
    <row r="114" spans="1:9" ht="12.75" customHeight="1" x14ac:dyDescent="0.2">
      <c r="A114" s="94">
        <v>105</v>
      </c>
      <c r="B114" s="78"/>
      <c r="C114" s="157" t="s">
        <v>2126</v>
      </c>
      <c r="D114" s="146"/>
      <c r="E114" s="147"/>
      <c r="F114" s="124" t="s">
        <v>357</v>
      </c>
      <c r="G114" s="121"/>
      <c r="H114" s="136">
        <v>28.5</v>
      </c>
      <c r="I114" s="136"/>
    </row>
    <row r="115" spans="1:9" ht="12.75" customHeight="1" x14ac:dyDescent="0.2">
      <c r="A115" s="94">
        <v>106</v>
      </c>
      <c r="B115" s="78" t="s">
        <v>2272</v>
      </c>
      <c r="C115" s="157" t="s">
        <v>2280</v>
      </c>
      <c r="D115" s="146"/>
      <c r="E115" s="147"/>
      <c r="F115" s="124" t="s">
        <v>89</v>
      </c>
      <c r="G115" s="121"/>
      <c r="H115" s="136">
        <v>7.7</v>
      </c>
      <c r="I115" s="136"/>
    </row>
    <row r="116" spans="1:9" ht="12.75" customHeight="1" x14ac:dyDescent="0.2">
      <c r="A116" s="94">
        <v>107</v>
      </c>
      <c r="B116" s="78" t="s">
        <v>2224</v>
      </c>
      <c r="C116" s="157" t="s">
        <v>3845</v>
      </c>
      <c r="D116" s="146"/>
      <c r="E116" s="147"/>
      <c r="F116" s="124" t="s">
        <v>128</v>
      </c>
      <c r="G116" s="121"/>
      <c r="H116" s="136">
        <f>26.7-3.8-4-3.8</f>
        <v>15.099999999999998</v>
      </c>
      <c r="I116" s="136"/>
    </row>
    <row r="117" spans="1:9" ht="12.75" customHeight="1" x14ac:dyDescent="0.2">
      <c r="A117" s="94">
        <v>108</v>
      </c>
      <c r="B117" s="78" t="s">
        <v>2225</v>
      </c>
      <c r="C117" s="157" t="s">
        <v>4110</v>
      </c>
      <c r="D117" s="146"/>
      <c r="E117" s="147"/>
      <c r="F117" s="124" t="s">
        <v>526</v>
      </c>
      <c r="G117" s="121"/>
      <c r="H117" s="136">
        <v>18.600000000000001</v>
      </c>
      <c r="I117" s="136"/>
    </row>
    <row r="118" spans="1:9" ht="12.75" customHeight="1" x14ac:dyDescent="0.2">
      <c r="A118" s="94">
        <v>109</v>
      </c>
      <c r="B118" s="78" t="s">
        <v>741</v>
      </c>
      <c r="C118" s="157" t="s">
        <v>1426</v>
      </c>
      <c r="D118" s="146"/>
      <c r="E118" s="147"/>
      <c r="F118" s="124" t="s">
        <v>357</v>
      </c>
      <c r="G118" s="121"/>
      <c r="H118" s="136">
        <v>8.4</v>
      </c>
      <c r="I118" s="136"/>
    </row>
    <row r="119" spans="1:9" ht="12.75" customHeight="1" x14ac:dyDescent="0.2">
      <c r="A119" s="94">
        <v>110</v>
      </c>
      <c r="B119" s="78" t="s">
        <v>1734</v>
      </c>
      <c r="C119" s="157" t="s">
        <v>2607</v>
      </c>
      <c r="D119" s="146"/>
      <c r="E119" s="147"/>
      <c r="F119" s="124" t="s">
        <v>128</v>
      </c>
      <c r="G119" s="121"/>
      <c r="H119" s="136">
        <f>9.2-0.6-1.5-1.5</f>
        <v>5.6</v>
      </c>
      <c r="I119" s="136"/>
    </row>
    <row r="120" spans="1:9" ht="12.75" customHeight="1" x14ac:dyDescent="0.2">
      <c r="A120" s="94">
        <v>111</v>
      </c>
      <c r="B120" s="78" t="s">
        <v>741</v>
      </c>
      <c r="C120" s="145" t="s">
        <v>4624</v>
      </c>
      <c r="D120" s="146"/>
      <c r="E120" s="147"/>
      <c r="F120" s="121" t="s">
        <v>1633</v>
      </c>
      <c r="G120" s="122"/>
      <c r="H120" s="155">
        <f>27.8-0.7</f>
        <v>27.1</v>
      </c>
      <c r="I120" s="156"/>
    </row>
    <row r="121" spans="1:9" ht="12.75" customHeight="1" x14ac:dyDescent="0.2">
      <c r="A121" s="94">
        <v>112</v>
      </c>
      <c r="B121" s="78" t="s">
        <v>2272</v>
      </c>
      <c r="C121" s="157" t="s">
        <v>3117</v>
      </c>
      <c r="D121" s="146"/>
      <c r="E121" s="147"/>
      <c r="F121" s="124" t="s">
        <v>128</v>
      </c>
      <c r="G121" s="121"/>
      <c r="H121" s="136">
        <f>8.8-3.2</f>
        <v>5.6000000000000005</v>
      </c>
      <c r="I121" s="136"/>
    </row>
    <row r="122" spans="1:9" ht="12.75" customHeight="1" x14ac:dyDescent="0.2">
      <c r="A122" s="94">
        <v>113</v>
      </c>
      <c r="B122" s="78" t="s">
        <v>2225</v>
      </c>
      <c r="C122" s="157" t="s">
        <v>4690</v>
      </c>
      <c r="D122" s="146"/>
      <c r="E122" s="147"/>
      <c r="F122" s="124" t="s">
        <v>128</v>
      </c>
      <c r="G122" s="121"/>
      <c r="H122" s="136">
        <f>8.4+41.5+11-2.2-2.8-5.6-5.7-2.7-8.5-5.7-5.6-5.5-5.6+0.2-5.8-2.8+0.2</f>
        <v>2.7999999999999945</v>
      </c>
      <c r="I122" s="136"/>
    </row>
    <row r="123" spans="1:9" ht="12.75" customHeight="1" x14ac:dyDescent="0.2">
      <c r="A123" s="94">
        <v>114</v>
      </c>
      <c r="B123" s="78" t="s">
        <v>2272</v>
      </c>
      <c r="C123" s="157" t="s">
        <v>2279</v>
      </c>
      <c r="D123" s="146"/>
      <c r="E123" s="147"/>
      <c r="F123" s="124" t="s">
        <v>357</v>
      </c>
      <c r="G123" s="121"/>
      <c r="H123" s="136">
        <f>81.3-5.2-4.6-5.2-11.8-3-6.7-3.4</f>
        <v>41.4</v>
      </c>
      <c r="I123" s="136"/>
    </row>
    <row r="124" spans="1:9" ht="12.75" customHeight="1" x14ac:dyDescent="0.2">
      <c r="A124" s="94">
        <v>115</v>
      </c>
      <c r="B124" s="78"/>
      <c r="C124" s="157" t="s">
        <v>2127</v>
      </c>
      <c r="D124" s="146"/>
      <c r="E124" s="147"/>
      <c r="F124" s="124" t="s">
        <v>357</v>
      </c>
      <c r="G124" s="121"/>
      <c r="H124" s="136">
        <v>35.700000000000003</v>
      </c>
      <c r="I124" s="136"/>
    </row>
    <row r="125" spans="1:9" ht="12.75" customHeight="1" x14ac:dyDescent="0.2">
      <c r="A125" s="94">
        <v>116</v>
      </c>
      <c r="B125" s="78"/>
      <c r="C125" s="157" t="s">
        <v>5368</v>
      </c>
      <c r="D125" s="146"/>
      <c r="E125" s="147"/>
      <c r="F125" s="124" t="s">
        <v>1871</v>
      </c>
      <c r="G125" s="121"/>
      <c r="H125" s="136">
        <v>19.5</v>
      </c>
      <c r="I125" s="136"/>
    </row>
    <row r="126" spans="1:9" ht="12.75" customHeight="1" x14ac:dyDescent="0.2">
      <c r="A126" s="94">
        <v>117</v>
      </c>
      <c r="B126" s="78" t="s">
        <v>1624</v>
      </c>
      <c r="C126" s="157" t="s">
        <v>2370</v>
      </c>
      <c r="D126" s="146"/>
      <c r="E126" s="147"/>
      <c r="F126" s="124" t="s">
        <v>128</v>
      </c>
      <c r="G126" s="121"/>
      <c r="H126" s="136">
        <f>221.7-2.8-5.6-7.5</f>
        <v>205.79999999999998</v>
      </c>
      <c r="I126" s="136"/>
    </row>
    <row r="127" spans="1:9" ht="12.75" customHeight="1" x14ac:dyDescent="0.2">
      <c r="A127" s="94">
        <v>118</v>
      </c>
      <c r="B127" s="78" t="s">
        <v>1734</v>
      </c>
      <c r="C127" s="157" t="s">
        <v>2466</v>
      </c>
      <c r="D127" s="146"/>
      <c r="E127" s="147"/>
      <c r="F127" s="124" t="s">
        <v>128</v>
      </c>
      <c r="G127" s="121"/>
      <c r="H127" s="136">
        <v>69.8</v>
      </c>
      <c r="I127" s="136"/>
    </row>
    <row r="128" spans="1:9" ht="12.75" customHeight="1" x14ac:dyDescent="0.2">
      <c r="A128" s="94">
        <v>119</v>
      </c>
      <c r="B128" s="78" t="s">
        <v>1292</v>
      </c>
      <c r="C128" s="157" t="s">
        <v>2300</v>
      </c>
      <c r="D128" s="146"/>
      <c r="E128" s="147"/>
      <c r="F128" s="124" t="s">
        <v>128</v>
      </c>
      <c r="G128" s="121"/>
      <c r="H128" s="136">
        <f>46.7-2.8</f>
        <v>43.900000000000006</v>
      </c>
      <c r="I128" s="136"/>
    </row>
    <row r="129" spans="1:9" ht="12.75" customHeight="1" x14ac:dyDescent="0.2">
      <c r="A129" s="94">
        <v>120</v>
      </c>
      <c r="B129" s="78" t="s">
        <v>2241</v>
      </c>
      <c r="C129" s="157" t="s">
        <v>4729</v>
      </c>
      <c r="D129" s="146"/>
      <c r="E129" s="147"/>
      <c r="F129" s="124" t="s">
        <v>128</v>
      </c>
      <c r="G129" s="121"/>
      <c r="H129" s="136">
        <f>99.5-1.9-1.8</f>
        <v>95.8</v>
      </c>
      <c r="I129" s="136"/>
    </row>
    <row r="130" spans="1:9" ht="12.75" customHeight="1" x14ac:dyDescent="0.2">
      <c r="A130" s="94">
        <v>121</v>
      </c>
      <c r="B130" s="78" t="s">
        <v>2272</v>
      </c>
      <c r="C130" s="157" t="s">
        <v>5388</v>
      </c>
      <c r="D130" s="146"/>
      <c r="E130" s="147"/>
      <c r="F130" s="124" t="s">
        <v>128</v>
      </c>
      <c r="G130" s="121"/>
      <c r="H130" s="136">
        <f>128.3-37</f>
        <v>91.300000000000011</v>
      </c>
      <c r="I130" s="136"/>
    </row>
    <row r="131" spans="1:9" ht="12.75" customHeight="1" x14ac:dyDescent="0.2">
      <c r="A131" s="94">
        <v>122</v>
      </c>
      <c r="B131" s="78" t="s">
        <v>2225</v>
      </c>
      <c r="C131" s="157" t="s">
        <v>4011</v>
      </c>
      <c r="D131" s="146"/>
      <c r="E131" s="147"/>
      <c r="F131" s="124" t="s">
        <v>128</v>
      </c>
      <c r="G131" s="121"/>
      <c r="H131" s="136">
        <f>4.8-0.8</f>
        <v>4</v>
      </c>
      <c r="I131" s="136"/>
    </row>
    <row r="132" spans="1:9" ht="12.75" customHeight="1" x14ac:dyDescent="0.2">
      <c r="A132" s="94">
        <v>123</v>
      </c>
      <c r="B132" s="78" t="s">
        <v>2272</v>
      </c>
      <c r="C132" s="157" t="s">
        <v>2296</v>
      </c>
      <c r="D132" s="146"/>
      <c r="E132" s="147"/>
      <c r="F132" s="124" t="s">
        <v>128</v>
      </c>
      <c r="G132" s="121"/>
      <c r="H132" s="136">
        <f>147+5.3-3.7-0.7</f>
        <v>147.90000000000003</v>
      </c>
      <c r="I132" s="136"/>
    </row>
    <row r="133" spans="1:9" ht="12.75" customHeight="1" x14ac:dyDescent="0.2">
      <c r="A133" s="94">
        <v>124</v>
      </c>
      <c r="B133" s="78" t="s">
        <v>1734</v>
      </c>
      <c r="C133" s="157" t="s">
        <v>2467</v>
      </c>
      <c r="D133" s="146"/>
      <c r="E133" s="147"/>
      <c r="F133" s="124" t="s">
        <v>128</v>
      </c>
      <c r="G133" s="121"/>
      <c r="H133" s="136">
        <v>29</v>
      </c>
      <c r="I133" s="136"/>
    </row>
    <row r="134" spans="1:9" ht="12.75" customHeight="1" x14ac:dyDescent="0.2">
      <c r="A134" s="94">
        <v>125</v>
      </c>
      <c r="B134" s="78" t="s">
        <v>1734</v>
      </c>
      <c r="C134" s="157" t="s">
        <v>2173</v>
      </c>
      <c r="D134" s="146"/>
      <c r="E134" s="147"/>
      <c r="F134" s="124" t="s">
        <v>128</v>
      </c>
      <c r="G134" s="121"/>
      <c r="H134" s="136">
        <v>9.8000000000000007</v>
      </c>
      <c r="I134" s="136"/>
    </row>
    <row r="135" spans="1:9" ht="12.75" customHeight="1" x14ac:dyDescent="0.2">
      <c r="A135" s="94">
        <v>126</v>
      </c>
      <c r="B135" s="78" t="s">
        <v>1734</v>
      </c>
      <c r="C135" s="157" t="s">
        <v>4175</v>
      </c>
      <c r="D135" s="146"/>
      <c r="E135" s="147"/>
      <c r="F135" s="124" t="s">
        <v>128</v>
      </c>
      <c r="G135" s="121"/>
      <c r="H135" s="136">
        <f>2.9-0.6</f>
        <v>2.2999999999999998</v>
      </c>
      <c r="I135" s="136"/>
    </row>
    <row r="136" spans="1:9" ht="12.75" customHeight="1" x14ac:dyDescent="0.2">
      <c r="A136" s="94">
        <v>127</v>
      </c>
      <c r="B136" s="78" t="s">
        <v>2272</v>
      </c>
      <c r="C136" s="157" t="s">
        <v>3180</v>
      </c>
      <c r="D136" s="146"/>
      <c r="E136" s="147"/>
      <c r="F136" s="124" t="s">
        <v>128</v>
      </c>
      <c r="G136" s="121"/>
      <c r="H136" s="136">
        <f>4.7-1.6</f>
        <v>3.1</v>
      </c>
      <c r="I136" s="136"/>
    </row>
    <row r="137" spans="1:9" ht="12.75" customHeight="1" x14ac:dyDescent="0.2">
      <c r="A137" s="94">
        <v>128</v>
      </c>
      <c r="B137" s="78" t="s">
        <v>741</v>
      </c>
      <c r="C137" s="157" t="s">
        <v>2174</v>
      </c>
      <c r="D137" s="146"/>
      <c r="E137" s="147"/>
      <c r="F137" s="124" t="s">
        <v>2170</v>
      </c>
      <c r="G137" s="121"/>
      <c r="H137" s="136">
        <v>1.5</v>
      </c>
      <c r="I137" s="136"/>
    </row>
    <row r="138" spans="1:9" ht="12.75" customHeight="1" x14ac:dyDescent="0.2">
      <c r="A138" s="94">
        <v>129</v>
      </c>
      <c r="B138" s="78" t="s">
        <v>2225</v>
      </c>
      <c r="C138" s="157" t="s">
        <v>2372</v>
      </c>
      <c r="D138" s="146"/>
      <c r="E138" s="147"/>
      <c r="F138" s="124" t="s">
        <v>2170</v>
      </c>
      <c r="G138" s="121"/>
      <c r="H138" s="136">
        <f>3.7+24.8</f>
        <v>28.5</v>
      </c>
      <c r="I138" s="136"/>
    </row>
    <row r="139" spans="1:9" ht="12.75" customHeight="1" x14ac:dyDescent="0.2">
      <c r="A139" s="94">
        <v>130</v>
      </c>
      <c r="B139" s="78" t="s">
        <v>2225</v>
      </c>
      <c r="C139" s="157" t="s">
        <v>3204</v>
      </c>
      <c r="D139" s="146"/>
      <c r="E139" s="147"/>
      <c r="F139" s="124" t="s">
        <v>128</v>
      </c>
      <c r="G139" s="121"/>
      <c r="H139" s="136">
        <f>15.7-1.5-6.3+0.1</f>
        <v>7.9999999999999991</v>
      </c>
      <c r="I139" s="136"/>
    </row>
    <row r="140" spans="1:9" ht="12.75" customHeight="1" x14ac:dyDescent="0.2">
      <c r="A140" s="94">
        <v>131</v>
      </c>
      <c r="B140" s="78" t="s">
        <v>2272</v>
      </c>
      <c r="C140" s="157" t="s">
        <v>2274</v>
      </c>
      <c r="D140" s="146"/>
      <c r="E140" s="147"/>
      <c r="F140" s="124" t="s">
        <v>357</v>
      </c>
      <c r="G140" s="121"/>
      <c r="H140" s="136">
        <v>99</v>
      </c>
      <c r="I140" s="136"/>
    </row>
    <row r="141" spans="1:9" ht="12.75" customHeight="1" x14ac:dyDescent="0.2">
      <c r="A141" s="94">
        <v>132</v>
      </c>
      <c r="B141" s="78" t="s">
        <v>2258</v>
      </c>
      <c r="C141" s="157" t="s">
        <v>3225</v>
      </c>
      <c r="D141" s="146"/>
      <c r="E141" s="147"/>
      <c r="F141" s="124" t="s">
        <v>2170</v>
      </c>
      <c r="G141" s="121"/>
      <c r="H141" s="136">
        <f>52-2.5-15-1.3-21.2-2.5</f>
        <v>9.5000000000000036</v>
      </c>
      <c r="I141" s="136"/>
    </row>
    <row r="142" spans="1:9" ht="12.75" customHeight="1" x14ac:dyDescent="0.2">
      <c r="A142" s="94">
        <v>133</v>
      </c>
      <c r="B142" s="78" t="s">
        <v>741</v>
      </c>
      <c r="C142" s="157" t="s">
        <v>2837</v>
      </c>
      <c r="D142" s="146"/>
      <c r="E142" s="147"/>
      <c r="F142" s="124" t="s">
        <v>128</v>
      </c>
      <c r="G142" s="121"/>
      <c r="H142" s="136">
        <v>4.5</v>
      </c>
      <c r="I142" s="136"/>
    </row>
    <row r="143" spans="1:9" ht="12.75" customHeight="1" x14ac:dyDescent="0.2">
      <c r="A143" s="94">
        <v>134</v>
      </c>
      <c r="B143" s="78"/>
      <c r="C143" s="157" t="s">
        <v>3242</v>
      </c>
      <c r="D143" s="146"/>
      <c r="E143" s="147"/>
      <c r="F143" s="124" t="s">
        <v>2170</v>
      </c>
      <c r="G143" s="121"/>
      <c r="H143" s="136">
        <f>37.5-6</f>
        <v>31.5</v>
      </c>
      <c r="I143" s="136"/>
    </row>
    <row r="144" spans="1:9" ht="12.75" customHeight="1" x14ac:dyDescent="0.2">
      <c r="A144" s="94">
        <v>135</v>
      </c>
      <c r="B144" s="78" t="s">
        <v>741</v>
      </c>
      <c r="C144" s="157" t="s">
        <v>2172</v>
      </c>
      <c r="D144" s="146"/>
      <c r="E144" s="147"/>
      <c r="F144" s="124" t="s">
        <v>2170</v>
      </c>
      <c r="G144" s="121"/>
      <c r="H144" s="136">
        <v>3.6</v>
      </c>
      <c r="I144" s="136"/>
    </row>
    <row r="145" spans="1:9" ht="12.75" customHeight="1" x14ac:dyDescent="0.2">
      <c r="A145" s="94">
        <v>136</v>
      </c>
      <c r="B145" s="78" t="s">
        <v>741</v>
      </c>
      <c r="C145" s="157" t="s">
        <v>2171</v>
      </c>
      <c r="D145" s="146"/>
      <c r="E145" s="147"/>
      <c r="F145" s="124" t="s">
        <v>2170</v>
      </c>
      <c r="G145" s="121"/>
      <c r="H145" s="136">
        <v>3.8</v>
      </c>
      <c r="I145" s="136"/>
    </row>
    <row r="146" spans="1:9" ht="12.75" customHeight="1" x14ac:dyDescent="0.2">
      <c r="A146" s="94">
        <v>137</v>
      </c>
      <c r="B146" s="78" t="s">
        <v>2258</v>
      </c>
      <c r="C146" s="157" t="s">
        <v>3572</v>
      </c>
      <c r="D146" s="146"/>
      <c r="E146" s="147"/>
      <c r="F146" s="124" t="s">
        <v>1041</v>
      </c>
      <c r="G146" s="121"/>
      <c r="H146" s="136">
        <f>58.2-0.2-15.7-1-5.3-2.7-0.7</f>
        <v>32.599999999999994</v>
      </c>
      <c r="I146" s="136"/>
    </row>
    <row r="147" spans="1:9" ht="12.75" customHeight="1" x14ac:dyDescent="0.2">
      <c r="A147" s="94">
        <v>138</v>
      </c>
      <c r="B147" s="78" t="s">
        <v>2272</v>
      </c>
      <c r="C147" s="157" t="s">
        <v>4638</v>
      </c>
      <c r="D147" s="146"/>
      <c r="E147" s="147"/>
      <c r="F147" s="124" t="s">
        <v>89</v>
      </c>
      <c r="G147" s="121"/>
      <c r="H147" s="136">
        <f>72.7-39.2-11-11</f>
        <v>11.5</v>
      </c>
      <c r="I147" s="136"/>
    </row>
    <row r="148" spans="1:9" ht="12.75" customHeight="1" x14ac:dyDescent="0.2">
      <c r="A148" s="94">
        <v>139</v>
      </c>
      <c r="B148" s="78" t="s">
        <v>2225</v>
      </c>
      <c r="C148" s="157" t="s">
        <v>2250</v>
      </c>
      <c r="D148" s="146"/>
      <c r="E148" s="147"/>
      <c r="F148" s="124" t="s">
        <v>357</v>
      </c>
      <c r="G148" s="121"/>
      <c r="H148" s="136">
        <v>53.5</v>
      </c>
      <c r="I148" s="136"/>
    </row>
    <row r="149" spans="1:9" ht="12.75" customHeight="1" x14ac:dyDescent="0.2">
      <c r="A149" s="94">
        <v>140</v>
      </c>
      <c r="B149" s="78" t="s">
        <v>2225</v>
      </c>
      <c r="C149" s="157" t="s">
        <v>2219</v>
      </c>
      <c r="D149" s="146"/>
      <c r="E149" s="147"/>
      <c r="F149" s="124" t="s">
        <v>348</v>
      </c>
      <c r="G149" s="121"/>
      <c r="H149" s="136">
        <v>7.7</v>
      </c>
      <c r="I149" s="136"/>
    </row>
    <row r="150" spans="1:9" ht="12.75" customHeight="1" x14ac:dyDescent="0.2">
      <c r="A150" s="94">
        <v>141</v>
      </c>
      <c r="B150" s="78" t="s">
        <v>2272</v>
      </c>
      <c r="C150" s="157" t="s">
        <v>2273</v>
      </c>
      <c r="D150" s="146"/>
      <c r="E150" s="147"/>
      <c r="F150" s="124" t="s">
        <v>357</v>
      </c>
      <c r="G150" s="121"/>
      <c r="H150" s="136">
        <v>46.7</v>
      </c>
      <c r="I150" s="136"/>
    </row>
    <row r="151" spans="1:9" ht="12.75" customHeight="1" x14ac:dyDescent="0.2">
      <c r="A151" s="94">
        <v>142</v>
      </c>
      <c r="B151" s="78" t="s">
        <v>741</v>
      </c>
      <c r="C151" s="157" t="s">
        <v>3532</v>
      </c>
      <c r="D151" s="146"/>
      <c r="E151" s="147"/>
      <c r="F151" s="124" t="s">
        <v>490</v>
      </c>
      <c r="G151" s="121"/>
      <c r="H151" s="136">
        <f>49.2-26</f>
        <v>23.200000000000003</v>
      </c>
      <c r="I151" s="136"/>
    </row>
    <row r="152" spans="1:9" ht="12.75" customHeight="1" x14ac:dyDescent="0.2">
      <c r="A152" s="94">
        <v>143</v>
      </c>
      <c r="B152" s="78" t="s">
        <v>2225</v>
      </c>
      <c r="C152" s="157" t="s">
        <v>4216</v>
      </c>
      <c r="D152" s="146"/>
      <c r="E152" s="147"/>
      <c r="F152" s="124" t="s">
        <v>2170</v>
      </c>
      <c r="G152" s="121"/>
      <c r="H152" s="136">
        <f>21-0.8-2.5-0.8</f>
        <v>16.899999999999999</v>
      </c>
      <c r="I152" s="136"/>
    </row>
    <row r="153" spans="1:9" ht="12.75" customHeight="1" x14ac:dyDescent="0.2">
      <c r="A153" s="94">
        <v>144</v>
      </c>
      <c r="B153" s="78" t="s">
        <v>2225</v>
      </c>
      <c r="C153" s="157" t="s">
        <v>5046</v>
      </c>
      <c r="D153" s="146"/>
      <c r="E153" s="147"/>
      <c r="F153" s="124" t="s">
        <v>348</v>
      </c>
      <c r="G153" s="121"/>
      <c r="H153" s="136">
        <f>58-10-4.3</f>
        <v>43.7</v>
      </c>
      <c r="I153" s="136"/>
    </row>
    <row r="154" spans="1:9" ht="12.75" customHeight="1" x14ac:dyDescent="0.2">
      <c r="A154" s="94">
        <v>145</v>
      </c>
      <c r="B154" s="78" t="s">
        <v>2272</v>
      </c>
      <c r="C154" s="157" t="s">
        <v>4750</v>
      </c>
      <c r="D154" s="146"/>
      <c r="E154" s="147"/>
      <c r="F154" s="124" t="s">
        <v>128</v>
      </c>
      <c r="G154" s="121"/>
      <c r="H154" s="136">
        <f>14-7</f>
        <v>7</v>
      </c>
      <c r="I154" s="136"/>
    </row>
    <row r="155" spans="1:9" ht="12.75" customHeight="1" x14ac:dyDescent="0.2">
      <c r="A155" s="94">
        <v>146</v>
      </c>
      <c r="B155" s="78"/>
      <c r="C155" s="157" t="s">
        <v>5369</v>
      </c>
      <c r="D155" s="146"/>
      <c r="E155" s="147"/>
      <c r="F155" s="124" t="s">
        <v>128</v>
      </c>
      <c r="G155" s="121"/>
      <c r="H155" s="136">
        <v>19.5</v>
      </c>
      <c r="I155" s="136"/>
    </row>
    <row r="156" spans="1:9" ht="12.75" customHeight="1" x14ac:dyDescent="0.2">
      <c r="A156" s="94">
        <v>147</v>
      </c>
      <c r="B156" s="78" t="s">
        <v>2225</v>
      </c>
      <c r="C156" s="195" t="s">
        <v>4532</v>
      </c>
      <c r="D156" s="196"/>
      <c r="E156" s="197"/>
      <c r="F156" s="124" t="s">
        <v>526</v>
      </c>
      <c r="G156" s="121"/>
      <c r="H156" s="74">
        <f>21.4+64.8+8-10.5</f>
        <v>83.699999999999989</v>
      </c>
      <c r="I156" s="74"/>
    </row>
    <row r="157" spans="1:9" ht="12.75" customHeight="1" x14ac:dyDescent="0.2">
      <c r="A157" s="94">
        <v>148</v>
      </c>
      <c r="B157" s="78" t="s">
        <v>741</v>
      </c>
      <c r="C157" s="157" t="s">
        <v>1425</v>
      </c>
      <c r="D157" s="146"/>
      <c r="E157" s="147"/>
      <c r="F157" s="124" t="s">
        <v>128</v>
      </c>
      <c r="G157" s="121"/>
      <c r="H157" s="136">
        <v>11.5</v>
      </c>
      <c r="I157" s="136"/>
    </row>
    <row r="158" spans="1:9" ht="12.75" customHeight="1" x14ac:dyDescent="0.2">
      <c r="A158" s="94">
        <v>149</v>
      </c>
      <c r="B158" s="78" t="s">
        <v>2258</v>
      </c>
      <c r="C158" s="157" t="s">
        <v>5140</v>
      </c>
      <c r="D158" s="146"/>
      <c r="E158" s="147"/>
      <c r="F158" s="124" t="s">
        <v>128</v>
      </c>
      <c r="G158" s="121"/>
      <c r="H158" s="136">
        <f>34.5-17.3+0.1</f>
        <v>17.3</v>
      </c>
      <c r="I158" s="136"/>
    </row>
    <row r="159" spans="1:9" ht="12.75" customHeight="1" x14ac:dyDescent="0.2">
      <c r="A159" s="94">
        <v>150</v>
      </c>
      <c r="B159" s="78" t="s">
        <v>2225</v>
      </c>
      <c r="C159" s="195" t="s">
        <v>5394</v>
      </c>
      <c r="D159" s="196"/>
      <c r="E159" s="197"/>
      <c r="F159" s="124" t="s">
        <v>526</v>
      </c>
      <c r="G159" s="121"/>
      <c r="H159" s="74">
        <f>116.7-58.5-29.1</f>
        <v>29.1</v>
      </c>
      <c r="I159" s="74"/>
    </row>
    <row r="160" spans="1:9" ht="12.75" customHeight="1" x14ac:dyDescent="0.2">
      <c r="A160" s="94">
        <v>151</v>
      </c>
      <c r="B160" s="78" t="s">
        <v>741</v>
      </c>
      <c r="C160" s="157" t="s">
        <v>4643</v>
      </c>
      <c r="D160" s="146"/>
      <c r="E160" s="147"/>
      <c r="F160" s="124" t="s">
        <v>128</v>
      </c>
      <c r="G160" s="121"/>
      <c r="H160" s="136">
        <v>18.100000000000001</v>
      </c>
      <c r="I160" s="136"/>
    </row>
    <row r="161" spans="1:9" ht="12.75" customHeight="1" x14ac:dyDescent="0.2">
      <c r="A161" s="94">
        <v>152</v>
      </c>
      <c r="B161" s="78" t="s">
        <v>2272</v>
      </c>
      <c r="C161" s="157" t="s">
        <v>3486</v>
      </c>
      <c r="D161" s="146"/>
      <c r="E161" s="147"/>
      <c r="F161" s="124" t="s">
        <v>526</v>
      </c>
      <c r="G161" s="121"/>
      <c r="H161" s="136">
        <f>4.8+29-2</f>
        <v>31.799999999999997</v>
      </c>
      <c r="I161" s="136"/>
    </row>
    <row r="162" spans="1:9" ht="12.75" customHeight="1" x14ac:dyDescent="0.2">
      <c r="A162" s="94">
        <v>153</v>
      </c>
      <c r="B162" s="78" t="s">
        <v>1624</v>
      </c>
      <c r="C162" s="157" t="s">
        <v>3227</v>
      </c>
      <c r="D162" s="146"/>
      <c r="E162" s="147"/>
      <c r="F162" s="124" t="s">
        <v>2353</v>
      </c>
      <c r="G162" s="121"/>
      <c r="H162" s="136">
        <f>148.5-5.9-7.4-3.5-5.2-1.8</f>
        <v>124.69999999999999</v>
      </c>
      <c r="I162" s="136"/>
    </row>
    <row r="163" spans="1:9" ht="12.75" customHeight="1" x14ac:dyDescent="0.2">
      <c r="A163" s="94">
        <v>154</v>
      </c>
      <c r="B163" s="78"/>
      <c r="C163" s="157" t="s">
        <v>2141</v>
      </c>
      <c r="D163" s="146"/>
      <c r="E163" s="147"/>
      <c r="F163" s="124" t="s">
        <v>1041</v>
      </c>
      <c r="G163" s="121"/>
      <c r="H163" s="136">
        <v>12.9</v>
      </c>
      <c r="I163" s="136"/>
    </row>
    <row r="164" spans="1:9" ht="12.75" customHeight="1" x14ac:dyDescent="0.2">
      <c r="A164" s="94">
        <v>155</v>
      </c>
      <c r="B164" s="78" t="s">
        <v>741</v>
      </c>
      <c r="C164" s="157" t="s">
        <v>4814</v>
      </c>
      <c r="D164" s="146"/>
      <c r="E164" s="147"/>
      <c r="F164" s="124" t="s">
        <v>128</v>
      </c>
      <c r="G164" s="121"/>
      <c r="H164" s="136">
        <f>24.4-13-3.4</f>
        <v>7.9999999999999982</v>
      </c>
      <c r="I164" s="136"/>
    </row>
    <row r="165" spans="1:9" ht="12.75" customHeight="1" x14ac:dyDescent="0.2">
      <c r="A165" s="94">
        <v>156</v>
      </c>
      <c r="B165" s="78" t="s">
        <v>741</v>
      </c>
      <c r="C165" s="157" t="s">
        <v>2990</v>
      </c>
      <c r="D165" s="146"/>
      <c r="E165" s="147"/>
      <c r="F165" s="124" t="s">
        <v>128</v>
      </c>
      <c r="G165" s="121"/>
      <c r="H165" s="136">
        <v>11.3</v>
      </c>
      <c r="I165" s="136"/>
    </row>
    <row r="166" spans="1:9" ht="12.75" customHeight="1" x14ac:dyDescent="0.2">
      <c r="A166" s="94">
        <v>157</v>
      </c>
      <c r="B166" s="78"/>
      <c r="C166" s="157" t="s">
        <v>2092</v>
      </c>
      <c r="D166" s="146"/>
      <c r="E166" s="147"/>
      <c r="F166" s="124" t="s">
        <v>1041</v>
      </c>
      <c r="G166" s="121"/>
      <c r="H166" s="136">
        <v>32.200000000000003</v>
      </c>
      <c r="I166" s="136"/>
    </row>
    <row r="167" spans="1:9" ht="12.75" customHeight="1" x14ac:dyDescent="0.2">
      <c r="A167" s="94">
        <v>158</v>
      </c>
      <c r="B167" s="78" t="s">
        <v>2225</v>
      </c>
      <c r="C167" s="157" t="s">
        <v>2792</v>
      </c>
      <c r="D167" s="146"/>
      <c r="E167" s="147"/>
      <c r="F167" s="124" t="s">
        <v>2170</v>
      </c>
      <c r="G167" s="121"/>
      <c r="H167" s="136">
        <f>30.8-2-3-5.6</f>
        <v>20.200000000000003</v>
      </c>
      <c r="I167" s="136"/>
    </row>
    <row r="168" spans="1:9" ht="12.75" customHeight="1" x14ac:dyDescent="0.2">
      <c r="A168" s="94">
        <v>159</v>
      </c>
      <c r="B168" s="78"/>
      <c r="C168" s="157" t="s">
        <v>5367</v>
      </c>
      <c r="D168" s="146"/>
      <c r="E168" s="147"/>
      <c r="F168" s="124" t="s">
        <v>2304</v>
      </c>
      <c r="G168" s="121"/>
      <c r="H168" s="136">
        <v>58.6</v>
      </c>
      <c r="I168" s="136"/>
    </row>
    <row r="169" spans="1:9" ht="12.75" customHeight="1" x14ac:dyDescent="0.2">
      <c r="A169" s="94">
        <v>160</v>
      </c>
      <c r="B169" s="78" t="s">
        <v>741</v>
      </c>
      <c r="C169" s="157" t="s">
        <v>4642</v>
      </c>
      <c r="D169" s="146"/>
      <c r="E169" s="147"/>
      <c r="F169" s="124" t="s">
        <v>128</v>
      </c>
      <c r="G169" s="121"/>
      <c r="H169" s="136">
        <v>11.9</v>
      </c>
      <c r="I169" s="136"/>
    </row>
    <row r="170" spans="1:9" ht="12.75" customHeight="1" x14ac:dyDescent="0.2">
      <c r="A170" s="94">
        <v>161</v>
      </c>
      <c r="B170" s="78" t="s">
        <v>2225</v>
      </c>
      <c r="C170" s="157" t="s">
        <v>4999</v>
      </c>
      <c r="D170" s="146"/>
      <c r="E170" s="147"/>
      <c r="F170" s="124" t="s">
        <v>495</v>
      </c>
      <c r="G170" s="121"/>
      <c r="H170" s="136">
        <f>97.3-11-22.2-19.2-13-5.5</f>
        <v>26.399999999999991</v>
      </c>
      <c r="I170" s="136"/>
    </row>
    <row r="171" spans="1:9" ht="12.75" customHeight="1" x14ac:dyDescent="0.2">
      <c r="A171" s="94">
        <v>162</v>
      </c>
      <c r="B171" s="78" t="s">
        <v>741</v>
      </c>
      <c r="C171" s="157" t="s">
        <v>2093</v>
      </c>
      <c r="D171" s="146"/>
      <c r="E171" s="147"/>
      <c r="F171" s="124" t="s">
        <v>89</v>
      </c>
      <c r="G171" s="121"/>
      <c r="H171" s="136">
        <v>2.7</v>
      </c>
      <c r="I171" s="136"/>
    </row>
    <row r="172" spans="1:9" ht="12.75" customHeight="1" x14ac:dyDescent="0.2">
      <c r="A172" s="94">
        <v>163</v>
      </c>
      <c r="B172" s="78"/>
      <c r="C172" s="157" t="s">
        <v>2386</v>
      </c>
      <c r="D172" s="146"/>
      <c r="E172" s="147"/>
      <c r="F172" s="124" t="s">
        <v>1041</v>
      </c>
      <c r="G172" s="121"/>
      <c r="H172" s="136">
        <f>36.4-2</f>
        <v>34.4</v>
      </c>
      <c r="I172" s="136"/>
    </row>
    <row r="173" spans="1:9" ht="12.75" customHeight="1" x14ac:dyDescent="0.2">
      <c r="A173" s="94">
        <v>164</v>
      </c>
      <c r="B173" s="78" t="s">
        <v>741</v>
      </c>
      <c r="C173" s="157" t="s">
        <v>4407</v>
      </c>
      <c r="D173" s="146"/>
      <c r="E173" s="147"/>
      <c r="F173" s="124" t="s">
        <v>128</v>
      </c>
      <c r="G173" s="121"/>
      <c r="H173" s="136">
        <f>102.3-69-11.1-11.1-2.5-1.5-1.5-1.9</f>
        <v>3.6999999999999962</v>
      </c>
      <c r="I173" s="136"/>
    </row>
    <row r="174" spans="1:9" ht="12.75" customHeight="1" x14ac:dyDescent="0.2">
      <c r="A174" s="94">
        <v>165</v>
      </c>
      <c r="B174" s="78" t="s">
        <v>741</v>
      </c>
      <c r="C174" s="157" t="s">
        <v>2991</v>
      </c>
      <c r="D174" s="146"/>
      <c r="E174" s="147"/>
      <c r="F174" s="124" t="s">
        <v>128</v>
      </c>
      <c r="G174" s="121"/>
      <c r="H174" s="136">
        <v>2.7</v>
      </c>
      <c r="I174" s="136"/>
    </row>
    <row r="175" spans="1:9" ht="30.75" customHeight="1" x14ac:dyDescent="0.2">
      <c r="A175" s="94">
        <v>166</v>
      </c>
      <c r="B175" s="78" t="s">
        <v>2258</v>
      </c>
      <c r="C175" s="157" t="s">
        <v>4546</v>
      </c>
      <c r="D175" s="146"/>
      <c r="E175" s="147"/>
      <c r="F175" s="124" t="s">
        <v>4499</v>
      </c>
      <c r="G175" s="121"/>
      <c r="H175" s="136">
        <f>29.5+143.5</f>
        <v>173</v>
      </c>
      <c r="I175" s="136"/>
    </row>
    <row r="176" spans="1:9" ht="12.75" customHeight="1" x14ac:dyDescent="0.2">
      <c r="A176" s="94">
        <v>167</v>
      </c>
      <c r="B176" s="78" t="s">
        <v>741</v>
      </c>
      <c r="C176" s="157" t="s">
        <v>5111</v>
      </c>
      <c r="D176" s="146"/>
      <c r="E176" s="147"/>
      <c r="F176" s="124" t="s">
        <v>128</v>
      </c>
      <c r="G176" s="121"/>
      <c r="H176" s="136">
        <f>52+16-25.6</f>
        <v>42.4</v>
      </c>
      <c r="I176" s="136"/>
    </row>
    <row r="177" spans="1:9" ht="12.75" customHeight="1" x14ac:dyDescent="0.2">
      <c r="A177" s="94">
        <v>168</v>
      </c>
      <c r="B177" s="78"/>
      <c r="C177" s="157" t="s">
        <v>4140</v>
      </c>
      <c r="D177" s="146"/>
      <c r="E177" s="147"/>
      <c r="F177" s="124" t="s">
        <v>128</v>
      </c>
      <c r="G177" s="121"/>
      <c r="H177" s="136">
        <f>68.6+29</f>
        <v>97.6</v>
      </c>
      <c r="I177" s="136"/>
    </row>
    <row r="178" spans="1:9" ht="12.75" customHeight="1" x14ac:dyDescent="0.2">
      <c r="A178" s="94">
        <v>169</v>
      </c>
      <c r="B178" s="78"/>
      <c r="C178" s="157" t="s">
        <v>2323</v>
      </c>
      <c r="D178" s="146"/>
      <c r="E178" s="147"/>
      <c r="F178" s="124" t="s">
        <v>2170</v>
      </c>
      <c r="G178" s="121"/>
      <c r="H178" s="136">
        <v>193.4</v>
      </c>
      <c r="I178" s="136"/>
    </row>
    <row r="179" spans="1:9" ht="12.75" customHeight="1" x14ac:dyDescent="0.2">
      <c r="A179" s="94">
        <v>170</v>
      </c>
      <c r="B179" s="78" t="s">
        <v>741</v>
      </c>
      <c r="C179" s="157" t="s">
        <v>3237</v>
      </c>
      <c r="D179" s="146"/>
      <c r="E179" s="147"/>
      <c r="F179" s="124" t="s">
        <v>89</v>
      </c>
      <c r="G179" s="121"/>
      <c r="H179" s="136">
        <f>215-73.5</f>
        <v>141.5</v>
      </c>
      <c r="I179" s="136"/>
    </row>
    <row r="180" spans="1:9" s="28" customFormat="1" ht="12.75" customHeight="1" x14ac:dyDescent="0.2">
      <c r="A180" s="94">
        <v>171</v>
      </c>
      <c r="B180" s="78" t="s">
        <v>1734</v>
      </c>
      <c r="C180" s="157" t="s">
        <v>2461</v>
      </c>
      <c r="D180" s="146"/>
      <c r="E180" s="147"/>
      <c r="F180" s="124" t="s">
        <v>128</v>
      </c>
      <c r="G180" s="121"/>
      <c r="H180" s="136">
        <v>7.4</v>
      </c>
      <c r="I180" s="136"/>
    </row>
    <row r="181" spans="1:9" s="28" customFormat="1" ht="12.75" customHeight="1" x14ac:dyDescent="0.2">
      <c r="A181" s="94">
        <v>172</v>
      </c>
      <c r="B181" s="78" t="s">
        <v>1734</v>
      </c>
      <c r="C181" s="157" t="s">
        <v>2462</v>
      </c>
      <c r="D181" s="146"/>
      <c r="E181" s="147"/>
      <c r="F181" s="124" t="s">
        <v>128</v>
      </c>
      <c r="G181" s="121"/>
      <c r="H181" s="136">
        <v>20</v>
      </c>
      <c r="I181" s="136"/>
    </row>
    <row r="182" spans="1:9" s="28" customFormat="1" ht="12.75" customHeight="1" x14ac:dyDescent="0.2">
      <c r="A182" s="94">
        <v>173</v>
      </c>
      <c r="B182" s="78" t="s">
        <v>1624</v>
      </c>
      <c r="C182" s="157" t="s">
        <v>4355</v>
      </c>
      <c r="D182" s="146"/>
      <c r="E182" s="147"/>
      <c r="F182" s="124" t="s">
        <v>128</v>
      </c>
      <c r="G182" s="121"/>
      <c r="H182" s="136">
        <f>51-1.3-1.5</f>
        <v>48.2</v>
      </c>
      <c r="I182" s="136"/>
    </row>
    <row r="183" spans="1:9" s="28" customFormat="1" ht="12.75" customHeight="1" x14ac:dyDescent="0.2">
      <c r="A183" s="94">
        <v>174</v>
      </c>
      <c r="B183" s="78" t="s">
        <v>2272</v>
      </c>
      <c r="C183" s="157" t="s">
        <v>2449</v>
      </c>
      <c r="D183" s="146"/>
      <c r="E183" s="147"/>
      <c r="F183" s="124" t="s">
        <v>128</v>
      </c>
      <c r="G183" s="121"/>
      <c r="H183" s="136">
        <v>35.799999999999997</v>
      </c>
      <c r="I183" s="136"/>
    </row>
    <row r="184" spans="1:9" s="28" customFormat="1" ht="12.75" customHeight="1" x14ac:dyDescent="0.2">
      <c r="A184" s="94">
        <v>175</v>
      </c>
      <c r="B184" s="78" t="s">
        <v>741</v>
      </c>
      <c r="C184" s="157" t="s">
        <v>2210</v>
      </c>
      <c r="D184" s="146"/>
      <c r="E184" s="147"/>
      <c r="F184" s="124" t="s">
        <v>128</v>
      </c>
      <c r="G184" s="121"/>
      <c r="H184" s="136">
        <f>3.5+11</f>
        <v>14.5</v>
      </c>
      <c r="I184" s="136"/>
    </row>
    <row r="185" spans="1:9" s="28" customFormat="1" ht="12.75" customHeight="1" x14ac:dyDescent="0.2">
      <c r="A185" s="94">
        <v>176</v>
      </c>
      <c r="B185" s="78" t="s">
        <v>741</v>
      </c>
      <c r="C185" s="157" t="s">
        <v>2718</v>
      </c>
      <c r="D185" s="146"/>
      <c r="E185" s="147"/>
      <c r="F185" s="124" t="s">
        <v>128</v>
      </c>
      <c r="G185" s="121"/>
      <c r="H185" s="136">
        <f>16-8.8</f>
        <v>7.1999999999999993</v>
      </c>
      <c r="I185" s="136"/>
    </row>
    <row r="186" spans="1:9" s="28" customFormat="1" ht="12.75" customHeight="1" x14ac:dyDescent="0.2">
      <c r="A186" s="94">
        <v>177</v>
      </c>
      <c r="B186" s="78" t="s">
        <v>1734</v>
      </c>
      <c r="C186" s="157" t="s">
        <v>2463</v>
      </c>
      <c r="D186" s="146"/>
      <c r="E186" s="147"/>
      <c r="F186" s="124" t="s">
        <v>1243</v>
      </c>
      <c r="G186" s="121"/>
      <c r="H186" s="136">
        <v>2.9</v>
      </c>
      <c r="I186" s="136"/>
    </row>
    <row r="187" spans="1:9" s="28" customFormat="1" ht="12.75" customHeight="1" x14ac:dyDescent="0.2">
      <c r="A187" s="94">
        <v>178</v>
      </c>
      <c r="B187" s="78" t="s">
        <v>1734</v>
      </c>
      <c r="C187" s="157" t="s">
        <v>4760</v>
      </c>
      <c r="D187" s="146"/>
      <c r="E187" s="147"/>
      <c r="F187" s="124" t="s">
        <v>89</v>
      </c>
      <c r="G187" s="121"/>
      <c r="H187" s="136">
        <f>50.5-1</f>
        <v>49.5</v>
      </c>
      <c r="I187" s="136"/>
    </row>
    <row r="188" spans="1:9" s="28" customFormat="1" ht="12.75" customHeight="1" x14ac:dyDescent="0.2">
      <c r="A188" s="94">
        <v>179</v>
      </c>
      <c r="B188" s="78"/>
      <c r="C188" s="157" t="s">
        <v>2759</v>
      </c>
      <c r="D188" s="146"/>
      <c r="E188" s="147"/>
      <c r="F188" s="124" t="s">
        <v>128</v>
      </c>
      <c r="G188" s="121"/>
      <c r="H188" s="136">
        <f>29.1-2.1-11</f>
        <v>16</v>
      </c>
      <c r="I188" s="136"/>
    </row>
    <row r="189" spans="1:9" s="28" customFormat="1" ht="12.75" customHeight="1" x14ac:dyDescent="0.2">
      <c r="A189" s="94">
        <v>180</v>
      </c>
      <c r="B189" s="78" t="s">
        <v>741</v>
      </c>
      <c r="C189" s="157" t="s">
        <v>2464</v>
      </c>
      <c r="D189" s="146"/>
      <c r="E189" s="147"/>
      <c r="F189" s="124" t="s">
        <v>128</v>
      </c>
      <c r="G189" s="121"/>
      <c r="H189" s="136">
        <v>1.6</v>
      </c>
      <c r="I189" s="136"/>
    </row>
    <row r="190" spans="1:9" s="28" customFormat="1" ht="12.75" customHeight="1" x14ac:dyDescent="0.2">
      <c r="A190" s="94">
        <v>181</v>
      </c>
      <c r="B190" s="78" t="s">
        <v>1734</v>
      </c>
      <c r="C190" s="157" t="s">
        <v>2465</v>
      </c>
      <c r="D190" s="146"/>
      <c r="E190" s="147"/>
      <c r="F190" s="124" t="s">
        <v>89</v>
      </c>
      <c r="G190" s="121"/>
      <c r="H190" s="136">
        <v>23.3</v>
      </c>
      <c r="I190" s="136"/>
    </row>
    <row r="191" spans="1:9" s="28" customFormat="1" ht="12.75" customHeight="1" x14ac:dyDescent="0.2">
      <c r="A191" s="94">
        <v>182</v>
      </c>
      <c r="B191" s="78" t="s">
        <v>741</v>
      </c>
      <c r="C191" s="157" t="s">
        <v>2181</v>
      </c>
      <c r="D191" s="146"/>
      <c r="E191" s="147"/>
      <c r="F191" s="124" t="s">
        <v>348</v>
      </c>
      <c r="G191" s="121"/>
      <c r="H191" s="136">
        <v>15.4</v>
      </c>
      <c r="I191" s="136"/>
    </row>
    <row r="192" spans="1:9" s="28" customFormat="1" ht="12.75" customHeight="1" x14ac:dyDescent="0.2">
      <c r="A192" s="94">
        <v>183</v>
      </c>
      <c r="B192" s="78" t="s">
        <v>741</v>
      </c>
      <c r="C192" s="157" t="s">
        <v>1449</v>
      </c>
      <c r="D192" s="146"/>
      <c r="E192" s="147"/>
      <c r="F192" s="124" t="s">
        <v>128</v>
      </c>
      <c r="G192" s="121"/>
      <c r="H192" s="136">
        <v>2.4</v>
      </c>
      <c r="I192" s="136"/>
    </row>
    <row r="193" spans="1:9" s="28" customFormat="1" ht="12.75" customHeight="1" x14ac:dyDescent="0.2">
      <c r="A193" s="94">
        <v>184</v>
      </c>
      <c r="B193" s="78" t="s">
        <v>741</v>
      </c>
      <c r="C193" s="157" t="s">
        <v>2183</v>
      </c>
      <c r="D193" s="146"/>
      <c r="E193" s="147"/>
      <c r="F193" s="124" t="s">
        <v>128</v>
      </c>
      <c r="G193" s="121"/>
      <c r="H193" s="136">
        <v>17.399999999999999</v>
      </c>
      <c r="I193" s="136"/>
    </row>
    <row r="194" spans="1:9" s="28" customFormat="1" ht="12.75" customHeight="1" x14ac:dyDescent="0.2">
      <c r="A194" s="94">
        <v>185</v>
      </c>
      <c r="B194" s="78" t="s">
        <v>741</v>
      </c>
      <c r="C194" s="157" t="s">
        <v>2182</v>
      </c>
      <c r="D194" s="146"/>
      <c r="E194" s="147"/>
      <c r="F194" s="124" t="s">
        <v>348</v>
      </c>
      <c r="G194" s="121"/>
      <c r="H194" s="136">
        <v>8.3000000000000007</v>
      </c>
      <c r="I194" s="136"/>
    </row>
    <row r="195" spans="1:9" s="28" customFormat="1" x14ac:dyDescent="0.2">
      <c r="A195" s="94">
        <v>186</v>
      </c>
      <c r="B195" s="78" t="s">
        <v>1734</v>
      </c>
      <c r="C195" s="145" t="s">
        <v>2553</v>
      </c>
      <c r="D195" s="146"/>
      <c r="E195" s="147"/>
      <c r="F195" s="121" t="s">
        <v>1243</v>
      </c>
      <c r="G195" s="122"/>
      <c r="H195" s="155">
        <f>114-0.7</f>
        <v>113.3</v>
      </c>
      <c r="I195" s="156"/>
    </row>
    <row r="196" spans="1:9" s="28" customFormat="1" x14ac:dyDescent="0.2">
      <c r="A196" s="94">
        <v>187</v>
      </c>
      <c r="B196" s="78"/>
      <c r="C196" s="145" t="s">
        <v>2927</v>
      </c>
      <c r="D196" s="146"/>
      <c r="E196" s="147"/>
      <c r="F196" s="121" t="s">
        <v>261</v>
      </c>
      <c r="G196" s="122"/>
      <c r="H196" s="155">
        <f>112-2.4-5.3-0.4-1.3-0.7-0.8-1.4-2.7</f>
        <v>96.999999999999986</v>
      </c>
      <c r="I196" s="156"/>
    </row>
    <row r="197" spans="1:9" s="28" customFormat="1" ht="12.75" customHeight="1" x14ac:dyDescent="0.2">
      <c r="A197" s="94">
        <v>188</v>
      </c>
      <c r="B197" s="78"/>
      <c r="C197" s="157" t="s">
        <v>2946</v>
      </c>
      <c r="D197" s="146"/>
      <c r="E197" s="147"/>
      <c r="F197" s="124" t="s">
        <v>338</v>
      </c>
      <c r="G197" s="121"/>
      <c r="H197" s="136">
        <f>0.6+0.6+0.2-0.2-0.3-0.3-0.1-0.2</f>
        <v>0.29999999999999988</v>
      </c>
      <c r="I197" s="136"/>
    </row>
    <row r="198" spans="1:9" s="28" customFormat="1" ht="12.75" customHeight="1" x14ac:dyDescent="0.2">
      <c r="A198" s="94">
        <v>189</v>
      </c>
      <c r="B198" s="78" t="s">
        <v>3601</v>
      </c>
      <c r="C198" s="157" t="s">
        <v>4902</v>
      </c>
      <c r="D198" s="146"/>
      <c r="E198" s="147"/>
      <c r="F198" s="124" t="s">
        <v>338</v>
      </c>
      <c r="G198" s="121"/>
      <c r="H198" s="136">
        <f>49-2.5-0.7-0.9+0.7-0.6-0.7-0.2-0.3-0.8-0.4-1.6-1.3+1.1-0.6-0.4+0.1-0.4-0.4-0.1-0.1-0.2-7-0.7-0.7-0.6-0.7-0.2-0.5-4.4+3.1-8-0.4-1.3</f>
        <v>17.300000000000008</v>
      </c>
      <c r="I198" s="136"/>
    </row>
    <row r="199" spans="1:9" s="28" customFormat="1" x14ac:dyDescent="0.2">
      <c r="A199" s="94">
        <v>190</v>
      </c>
      <c r="B199" s="78"/>
      <c r="C199" s="145" t="s">
        <v>4651</v>
      </c>
      <c r="D199" s="146"/>
      <c r="E199" s="147"/>
      <c r="F199" s="121" t="s">
        <v>261</v>
      </c>
      <c r="G199" s="122"/>
      <c r="H199" s="155">
        <f>48.2-0.5-0.2-0.2-0.2-0.5-0.5-0.4-0.4-4.5</f>
        <v>40.799999999999997</v>
      </c>
      <c r="I199" s="156"/>
    </row>
    <row r="200" spans="1:9" s="28" customFormat="1" ht="12.75" customHeight="1" x14ac:dyDescent="0.2">
      <c r="A200" s="94">
        <v>191</v>
      </c>
      <c r="B200" s="78" t="s">
        <v>741</v>
      </c>
      <c r="C200" s="157" t="s">
        <v>2742</v>
      </c>
      <c r="D200" s="146"/>
      <c r="E200" s="147"/>
      <c r="F200" s="124" t="s">
        <v>338</v>
      </c>
      <c r="G200" s="121"/>
      <c r="H200" s="136">
        <f>151-0.7-0.1-1.3-2.6-2.6-5-43-2.6</f>
        <v>93.100000000000023</v>
      </c>
      <c r="I200" s="136"/>
    </row>
    <row r="201" spans="1:9" s="28" customFormat="1" ht="12.75" customHeight="1" x14ac:dyDescent="0.2">
      <c r="A201" s="94">
        <v>192</v>
      </c>
      <c r="B201" s="78"/>
      <c r="C201" s="157" t="s">
        <v>1526</v>
      </c>
      <c r="D201" s="146"/>
      <c r="E201" s="147"/>
      <c r="F201" s="124" t="s">
        <v>838</v>
      </c>
      <c r="G201" s="121"/>
      <c r="H201" s="136">
        <v>0.9</v>
      </c>
      <c r="I201" s="136"/>
    </row>
    <row r="202" spans="1:9" s="28" customFormat="1" ht="12.75" customHeight="1" x14ac:dyDescent="0.2">
      <c r="A202" s="94">
        <v>193</v>
      </c>
      <c r="B202" s="78" t="s">
        <v>741</v>
      </c>
      <c r="C202" s="157" t="s">
        <v>4895</v>
      </c>
      <c r="D202" s="146"/>
      <c r="E202" s="147"/>
      <c r="F202" s="124" t="s">
        <v>1243</v>
      </c>
      <c r="G202" s="121"/>
      <c r="H202" s="136">
        <f>18+1</f>
        <v>19</v>
      </c>
      <c r="I202" s="136"/>
    </row>
    <row r="203" spans="1:9" s="28" customFormat="1" ht="12.75" customHeight="1" x14ac:dyDescent="0.2">
      <c r="A203" s="94">
        <v>194</v>
      </c>
      <c r="B203" s="78" t="s">
        <v>741</v>
      </c>
      <c r="C203" s="145" t="s">
        <v>1872</v>
      </c>
      <c r="D203" s="146"/>
      <c r="E203" s="147"/>
      <c r="F203" s="121" t="s">
        <v>89</v>
      </c>
      <c r="G203" s="122"/>
      <c r="H203" s="155">
        <v>2.8</v>
      </c>
      <c r="I203" s="156"/>
    </row>
    <row r="204" spans="1:9" s="28" customFormat="1" ht="12.75" customHeight="1" x14ac:dyDescent="0.2">
      <c r="A204" s="94">
        <v>195</v>
      </c>
      <c r="B204" s="78" t="s">
        <v>741</v>
      </c>
      <c r="C204" s="145" t="s">
        <v>1194</v>
      </c>
      <c r="D204" s="146"/>
      <c r="E204" s="147"/>
      <c r="F204" s="124" t="s">
        <v>89</v>
      </c>
      <c r="G204" s="121"/>
      <c r="H204" s="155">
        <f>16.5-2.1-1-3.5-0.5</f>
        <v>9.4</v>
      </c>
      <c r="I204" s="156"/>
    </row>
    <row r="205" spans="1:9" s="28" customFormat="1" ht="12.75" customHeight="1" x14ac:dyDescent="0.2">
      <c r="A205" s="94">
        <v>196</v>
      </c>
      <c r="B205" s="78"/>
      <c r="C205" s="145" t="s">
        <v>3275</v>
      </c>
      <c r="D205" s="146"/>
      <c r="E205" s="147"/>
      <c r="F205" s="121" t="s">
        <v>1871</v>
      </c>
      <c r="G205" s="122"/>
      <c r="H205" s="155">
        <f>3.8-0.5</f>
        <v>3.3</v>
      </c>
      <c r="I205" s="156"/>
    </row>
    <row r="206" spans="1:9" s="28" customFormat="1" ht="12.75" customHeight="1" x14ac:dyDescent="0.2">
      <c r="A206" s="94">
        <v>197</v>
      </c>
      <c r="B206" s="78" t="s">
        <v>741</v>
      </c>
      <c r="C206" s="145" t="s">
        <v>2047</v>
      </c>
      <c r="D206" s="146"/>
      <c r="E206" s="147"/>
      <c r="F206" s="121" t="s">
        <v>1888</v>
      </c>
      <c r="G206" s="122"/>
      <c r="H206" s="155">
        <v>0.9</v>
      </c>
      <c r="I206" s="156"/>
    </row>
    <row r="207" spans="1:9" s="28" customFormat="1" ht="12.75" customHeight="1" x14ac:dyDescent="0.2">
      <c r="A207" s="94">
        <v>198</v>
      </c>
      <c r="B207" s="78"/>
      <c r="C207" s="145" t="s">
        <v>2459</v>
      </c>
      <c r="D207" s="146"/>
      <c r="E207" s="147"/>
      <c r="F207" s="121" t="s">
        <v>951</v>
      </c>
      <c r="G207" s="122"/>
      <c r="H207" s="155">
        <v>3.8</v>
      </c>
      <c r="I207" s="156"/>
    </row>
    <row r="208" spans="1:9" s="28" customFormat="1" ht="12.75" customHeight="1" x14ac:dyDescent="0.2">
      <c r="A208" s="94">
        <v>199</v>
      </c>
      <c r="B208" s="78" t="s">
        <v>741</v>
      </c>
      <c r="C208" s="145" t="s">
        <v>2473</v>
      </c>
      <c r="D208" s="146"/>
      <c r="E208" s="147"/>
      <c r="F208" s="121" t="s">
        <v>951</v>
      </c>
      <c r="G208" s="122"/>
      <c r="H208" s="155">
        <v>1.3</v>
      </c>
      <c r="I208" s="156"/>
    </row>
    <row r="209" spans="1:9" s="28" customFormat="1" ht="12.75" customHeight="1" x14ac:dyDescent="0.2">
      <c r="A209" s="94">
        <v>200</v>
      </c>
      <c r="B209" s="78" t="s">
        <v>741</v>
      </c>
      <c r="C209" s="157" t="s">
        <v>1196</v>
      </c>
      <c r="D209" s="146"/>
      <c r="E209" s="147"/>
      <c r="F209" s="124" t="s">
        <v>838</v>
      </c>
      <c r="G209" s="121"/>
      <c r="H209" s="136">
        <f>174.5+124.5-9-0.7-0.9-0.7-0.8-1.6-0.8-1.6</f>
        <v>282.89999999999998</v>
      </c>
      <c r="I209" s="136"/>
    </row>
    <row r="210" spans="1:9" s="28" customFormat="1" ht="12.75" customHeight="1" x14ac:dyDescent="0.2">
      <c r="A210" s="94">
        <v>201</v>
      </c>
      <c r="B210" s="78"/>
      <c r="C210" s="157" t="s">
        <v>5179</v>
      </c>
      <c r="D210" s="146"/>
      <c r="E210" s="147"/>
      <c r="F210" s="124" t="s">
        <v>838</v>
      </c>
      <c r="G210" s="121"/>
      <c r="H210" s="136">
        <v>1</v>
      </c>
      <c r="I210" s="136"/>
    </row>
    <row r="211" spans="1:9" s="28" customFormat="1" ht="12.75" customHeight="1" x14ac:dyDescent="0.2">
      <c r="A211" s="94">
        <v>202</v>
      </c>
      <c r="B211" s="78" t="s">
        <v>741</v>
      </c>
      <c r="C211" s="157" t="s">
        <v>4959</v>
      </c>
      <c r="D211" s="146"/>
      <c r="E211" s="147"/>
      <c r="F211" s="124" t="s">
        <v>241</v>
      </c>
      <c r="G211" s="121"/>
      <c r="H211" s="136">
        <f>14.9-10-0.5</f>
        <v>4.4000000000000004</v>
      </c>
      <c r="I211" s="136"/>
    </row>
    <row r="212" spans="1:9" s="28" customFormat="1" ht="12.75" customHeight="1" x14ac:dyDescent="0.2">
      <c r="A212" s="94">
        <v>203</v>
      </c>
      <c r="B212" s="78" t="s">
        <v>741</v>
      </c>
      <c r="C212" s="145" t="s">
        <v>1169</v>
      </c>
      <c r="D212" s="146"/>
      <c r="E212" s="147"/>
      <c r="F212" s="124" t="s">
        <v>89</v>
      </c>
      <c r="G212" s="121"/>
      <c r="H212" s="155">
        <f>97.5+16.7-4.2-1-1.7-1.6-5.3</f>
        <v>100.4</v>
      </c>
      <c r="I212" s="156"/>
    </row>
    <row r="213" spans="1:9" s="28" customFormat="1" ht="12.75" customHeight="1" x14ac:dyDescent="0.2">
      <c r="A213" s="94">
        <v>204</v>
      </c>
      <c r="B213" s="78"/>
      <c r="C213" s="157" t="s">
        <v>3253</v>
      </c>
      <c r="D213" s="146"/>
      <c r="E213" s="147"/>
      <c r="F213" s="124" t="s">
        <v>490</v>
      </c>
      <c r="G213" s="121"/>
      <c r="H213" s="136">
        <f>1-0.3</f>
        <v>0.7</v>
      </c>
      <c r="I213" s="136"/>
    </row>
    <row r="214" spans="1:9" s="28" customFormat="1" ht="12.75" customHeight="1" x14ac:dyDescent="0.2">
      <c r="A214" s="94">
        <v>205</v>
      </c>
      <c r="B214" s="78"/>
      <c r="C214" s="145" t="s">
        <v>2220</v>
      </c>
      <c r="D214" s="146"/>
      <c r="E214" s="147"/>
      <c r="F214" s="121" t="s">
        <v>1041</v>
      </c>
      <c r="G214" s="122"/>
      <c r="H214" s="155">
        <f>23.8-10-0.8-0.8</f>
        <v>12.2</v>
      </c>
      <c r="I214" s="156"/>
    </row>
    <row r="215" spans="1:9" s="28" customFormat="1" ht="12.75" customHeight="1" x14ac:dyDescent="0.2">
      <c r="A215" s="94">
        <v>206</v>
      </c>
      <c r="B215" s="78"/>
      <c r="C215" s="145" t="s">
        <v>2221</v>
      </c>
      <c r="D215" s="146"/>
      <c r="E215" s="147"/>
      <c r="F215" s="121" t="s">
        <v>1041</v>
      </c>
      <c r="G215" s="122"/>
      <c r="H215" s="155">
        <v>2.2000000000000002</v>
      </c>
      <c r="I215" s="156"/>
    </row>
    <row r="216" spans="1:9" s="28" customFormat="1" ht="12.75" customHeight="1" x14ac:dyDescent="0.2">
      <c r="A216" s="94">
        <v>207</v>
      </c>
      <c r="B216" s="78" t="s">
        <v>1292</v>
      </c>
      <c r="C216" s="145" t="s">
        <v>2320</v>
      </c>
      <c r="D216" s="146"/>
      <c r="E216" s="147"/>
      <c r="F216" s="121" t="s">
        <v>1871</v>
      </c>
      <c r="G216" s="122"/>
      <c r="H216" s="155">
        <v>40.5</v>
      </c>
      <c r="I216" s="156"/>
    </row>
    <row r="217" spans="1:9" s="28" customFormat="1" ht="12.75" customHeight="1" x14ac:dyDescent="0.2">
      <c r="A217" s="94">
        <v>208</v>
      </c>
      <c r="B217" s="78" t="s">
        <v>741</v>
      </c>
      <c r="C217" s="145" t="s">
        <v>4105</v>
      </c>
      <c r="D217" s="146"/>
      <c r="E217" s="147"/>
      <c r="F217" s="121" t="s">
        <v>1871</v>
      </c>
      <c r="G217" s="122"/>
      <c r="H217" s="155">
        <f>2.4-1.4</f>
        <v>1</v>
      </c>
      <c r="I217" s="156"/>
    </row>
    <row r="218" spans="1:9" s="28" customFormat="1" ht="12.75" customHeight="1" x14ac:dyDescent="0.2">
      <c r="A218" s="94">
        <v>209</v>
      </c>
      <c r="B218" s="78" t="s">
        <v>741</v>
      </c>
      <c r="C218" s="145" t="s">
        <v>1195</v>
      </c>
      <c r="D218" s="146"/>
      <c r="E218" s="147"/>
      <c r="F218" s="121" t="s">
        <v>951</v>
      </c>
      <c r="G218" s="122"/>
      <c r="H218" s="155">
        <v>5.3</v>
      </c>
      <c r="I218" s="156"/>
    </row>
    <row r="219" spans="1:9" s="28" customFormat="1" ht="12.75" customHeight="1" x14ac:dyDescent="0.2">
      <c r="A219" s="94">
        <v>210</v>
      </c>
      <c r="B219" s="78"/>
      <c r="C219" s="145" t="s">
        <v>2692</v>
      </c>
      <c r="D219" s="146"/>
      <c r="E219" s="147"/>
      <c r="F219" s="121" t="s">
        <v>1041</v>
      </c>
      <c r="G219" s="122"/>
      <c r="H219" s="155">
        <f>11.6+6.5+10.3-1.3-1.3</f>
        <v>25.8</v>
      </c>
      <c r="I219" s="156"/>
    </row>
    <row r="220" spans="1:9" s="28" customFormat="1" ht="12.75" customHeight="1" x14ac:dyDescent="0.2">
      <c r="A220" s="94">
        <v>211</v>
      </c>
      <c r="B220" s="78"/>
      <c r="C220" s="157" t="s">
        <v>1487</v>
      </c>
      <c r="D220" s="146"/>
      <c r="E220" s="147"/>
      <c r="F220" s="124" t="s">
        <v>48</v>
      </c>
      <c r="G220" s="121"/>
      <c r="H220" s="136">
        <f>2.3-0.8-0.9+0.2</f>
        <v>0.79999999999999982</v>
      </c>
      <c r="I220" s="136"/>
    </row>
    <row r="221" spans="1:9" s="28" customFormat="1" ht="12.75" customHeight="1" x14ac:dyDescent="0.2">
      <c r="A221" s="94">
        <v>212</v>
      </c>
      <c r="B221" s="78" t="s">
        <v>741</v>
      </c>
      <c r="C221" s="145" t="s">
        <v>1867</v>
      </c>
      <c r="D221" s="146"/>
      <c r="E221" s="147"/>
      <c r="F221" s="121" t="s">
        <v>584</v>
      </c>
      <c r="G221" s="122"/>
      <c r="H221" s="155">
        <f>27.7-11.5-1-0.9</f>
        <v>14.299999999999999</v>
      </c>
      <c r="I221" s="156"/>
    </row>
    <row r="222" spans="1:9" s="28" customFormat="1" ht="12.75" customHeight="1" x14ac:dyDescent="0.2">
      <c r="A222" s="94">
        <v>213</v>
      </c>
      <c r="B222" s="78" t="s">
        <v>741</v>
      </c>
      <c r="C222" s="145" t="s">
        <v>3401</v>
      </c>
      <c r="D222" s="146"/>
      <c r="E222" s="147"/>
      <c r="F222" s="121" t="s">
        <v>89</v>
      </c>
      <c r="G222" s="122"/>
      <c r="H222" s="136">
        <f>4.2-0.5</f>
        <v>3.7</v>
      </c>
      <c r="I222" s="136"/>
    </row>
    <row r="223" spans="1:9" s="28" customFormat="1" ht="12.75" customHeight="1" x14ac:dyDescent="0.2">
      <c r="A223" s="94">
        <v>214</v>
      </c>
      <c r="B223" s="78" t="s">
        <v>741</v>
      </c>
      <c r="C223" s="145" t="s">
        <v>1870</v>
      </c>
      <c r="D223" s="146"/>
      <c r="E223" s="147"/>
      <c r="F223" s="121" t="s">
        <v>584</v>
      </c>
      <c r="G223" s="122"/>
      <c r="H223" s="155">
        <v>6.2</v>
      </c>
      <c r="I223" s="156"/>
    </row>
    <row r="224" spans="1:9" s="28" customFormat="1" ht="12.75" customHeight="1" x14ac:dyDescent="0.2">
      <c r="A224" s="94">
        <v>215</v>
      </c>
      <c r="B224" s="78" t="s">
        <v>741</v>
      </c>
      <c r="C224" s="157" t="s">
        <v>5000</v>
      </c>
      <c r="D224" s="146"/>
      <c r="E224" s="147"/>
      <c r="F224" s="124" t="s">
        <v>355</v>
      </c>
      <c r="G224" s="121"/>
      <c r="H224" s="136">
        <f>103.7-51.6-3.7+104.8-7.4+185.6-1.8-3.6-2-9.4-0.7-1.8</f>
        <v>312.09999999999997</v>
      </c>
      <c r="I224" s="136"/>
    </row>
    <row r="225" spans="1:9" s="28" customFormat="1" ht="12.75" customHeight="1" x14ac:dyDescent="0.2">
      <c r="A225" s="94">
        <v>216</v>
      </c>
      <c r="B225" s="78" t="s">
        <v>741</v>
      </c>
      <c r="C225" s="145" t="s">
        <v>3474</v>
      </c>
      <c r="D225" s="146"/>
      <c r="E225" s="147"/>
      <c r="F225" s="121" t="s">
        <v>676</v>
      </c>
      <c r="G225" s="122"/>
      <c r="H225" s="155">
        <f>27-1.1-1.1-0.6-0.5</f>
        <v>23.699999999999996</v>
      </c>
      <c r="I225" s="156"/>
    </row>
    <row r="226" spans="1:9" s="28" customFormat="1" ht="12.75" customHeight="1" x14ac:dyDescent="0.2">
      <c r="A226" s="94">
        <v>217</v>
      </c>
      <c r="B226" s="78"/>
      <c r="C226" s="145" t="s">
        <v>3818</v>
      </c>
      <c r="D226" s="146"/>
      <c r="E226" s="147"/>
      <c r="F226" s="121" t="s">
        <v>526</v>
      </c>
      <c r="G226" s="122"/>
      <c r="H226" s="155">
        <f>26-1.5-0.3</f>
        <v>24.2</v>
      </c>
      <c r="I226" s="156"/>
    </row>
    <row r="227" spans="1:9" s="28" customFormat="1" ht="12.75" customHeight="1" x14ac:dyDescent="0.2">
      <c r="A227" s="94">
        <v>218</v>
      </c>
      <c r="B227" s="78" t="s">
        <v>2258</v>
      </c>
      <c r="C227" s="145" t="s">
        <v>2321</v>
      </c>
      <c r="D227" s="146"/>
      <c r="E227" s="147"/>
      <c r="F227" s="121" t="s">
        <v>355</v>
      </c>
      <c r="G227" s="122"/>
      <c r="H227" s="155">
        <v>13.8</v>
      </c>
      <c r="I227" s="156"/>
    </row>
    <row r="228" spans="1:9" s="28" customFormat="1" ht="12.75" customHeight="1" x14ac:dyDescent="0.2">
      <c r="A228" s="94">
        <v>219</v>
      </c>
      <c r="B228" s="78"/>
      <c r="C228" s="145" t="s">
        <v>1988</v>
      </c>
      <c r="D228" s="146"/>
      <c r="E228" s="147"/>
      <c r="F228" s="121" t="s">
        <v>89</v>
      </c>
      <c r="G228" s="122"/>
      <c r="H228" s="155">
        <f>91.3-40-3.8-12.5-22</f>
        <v>13</v>
      </c>
      <c r="I228" s="156"/>
    </row>
    <row r="229" spans="1:9" s="28" customFormat="1" ht="12.75" customHeight="1" x14ac:dyDescent="0.2">
      <c r="A229" s="94">
        <v>220</v>
      </c>
      <c r="B229" s="78" t="s">
        <v>2225</v>
      </c>
      <c r="C229" s="145" t="s">
        <v>4656</v>
      </c>
      <c r="D229" s="146"/>
      <c r="E229" s="147"/>
      <c r="F229" s="121" t="s">
        <v>1041</v>
      </c>
      <c r="G229" s="122"/>
      <c r="H229" s="155">
        <f>39.5-2.3-8.2-2.6-6</f>
        <v>20.400000000000002</v>
      </c>
      <c r="I229" s="156"/>
    </row>
    <row r="230" spans="1:9" s="28" customFormat="1" ht="12.75" customHeight="1" x14ac:dyDescent="0.2">
      <c r="A230" s="94">
        <v>221</v>
      </c>
      <c r="B230" s="78"/>
      <c r="C230" s="145" t="s">
        <v>4657</v>
      </c>
      <c r="D230" s="146"/>
      <c r="E230" s="147"/>
      <c r="F230" s="121" t="s">
        <v>1041</v>
      </c>
      <c r="G230" s="122"/>
      <c r="H230" s="155">
        <f>9.6-7.3</f>
        <v>2.2999999999999998</v>
      </c>
      <c r="I230" s="156"/>
    </row>
    <row r="231" spans="1:9" s="28" customFormat="1" ht="12.75" customHeight="1" x14ac:dyDescent="0.2">
      <c r="A231" s="94">
        <v>222</v>
      </c>
      <c r="B231" s="78" t="s">
        <v>741</v>
      </c>
      <c r="C231" s="145" t="s">
        <v>3059</v>
      </c>
      <c r="D231" s="146"/>
      <c r="E231" s="147"/>
      <c r="F231" s="121" t="s">
        <v>676</v>
      </c>
      <c r="G231" s="122"/>
      <c r="H231" s="155">
        <v>26.5</v>
      </c>
      <c r="I231" s="156"/>
    </row>
    <row r="232" spans="1:9" s="28" customFormat="1" ht="12.75" customHeight="1" x14ac:dyDescent="0.2">
      <c r="A232" s="94">
        <v>223</v>
      </c>
      <c r="B232" s="78" t="s">
        <v>741</v>
      </c>
      <c r="C232" s="145" t="s">
        <v>2700</v>
      </c>
      <c r="D232" s="146"/>
      <c r="E232" s="147"/>
      <c r="F232" s="121" t="s">
        <v>526</v>
      </c>
      <c r="G232" s="122"/>
      <c r="H232" s="155">
        <f>2.5-0.2-0.9</f>
        <v>1.4</v>
      </c>
      <c r="I232" s="156"/>
    </row>
    <row r="233" spans="1:9" s="28" customFormat="1" ht="12.75" customHeight="1" x14ac:dyDescent="0.2">
      <c r="A233" s="94">
        <v>224</v>
      </c>
      <c r="B233" s="78" t="s">
        <v>2258</v>
      </c>
      <c r="C233" s="145" t="s">
        <v>2322</v>
      </c>
      <c r="D233" s="146"/>
      <c r="E233" s="147"/>
      <c r="F233" s="121" t="s">
        <v>355</v>
      </c>
      <c r="G233" s="122"/>
      <c r="H233" s="155">
        <v>16.600000000000001</v>
      </c>
      <c r="I233" s="156"/>
    </row>
    <row r="234" spans="1:9" s="28" customFormat="1" ht="12.75" customHeight="1" x14ac:dyDescent="0.2">
      <c r="A234" s="94">
        <v>225</v>
      </c>
      <c r="B234" s="78" t="s">
        <v>741</v>
      </c>
      <c r="C234" s="145" t="s">
        <v>2254</v>
      </c>
      <c r="D234" s="146"/>
      <c r="E234" s="147"/>
      <c r="F234" s="124" t="s">
        <v>772</v>
      </c>
      <c r="G234" s="121"/>
      <c r="H234" s="155">
        <f>10.1-0.9-5.4</f>
        <v>3.7999999999999989</v>
      </c>
      <c r="I234" s="156"/>
    </row>
    <row r="235" spans="1:9" s="28" customFormat="1" ht="12.75" customHeight="1" x14ac:dyDescent="0.2">
      <c r="A235" s="94">
        <v>226</v>
      </c>
      <c r="B235" s="78"/>
      <c r="C235" s="157" t="s">
        <v>1192</v>
      </c>
      <c r="D235" s="146"/>
      <c r="E235" s="147"/>
      <c r="F235" s="124" t="s">
        <v>338</v>
      </c>
      <c r="G235" s="121"/>
      <c r="H235" s="136">
        <f>67.2-5.5-1.9-1.3-1.8-1.6-1.4-1.6</f>
        <v>52.100000000000009</v>
      </c>
      <c r="I235" s="136"/>
    </row>
    <row r="236" spans="1:9" s="28" customFormat="1" ht="12.75" customHeight="1" x14ac:dyDescent="0.2">
      <c r="A236" s="94">
        <v>227</v>
      </c>
      <c r="B236" s="78"/>
      <c r="C236" s="157" t="s">
        <v>747</v>
      </c>
      <c r="D236" s="146"/>
      <c r="E236" s="147"/>
      <c r="F236" s="124" t="s">
        <v>495</v>
      </c>
      <c r="G236" s="121"/>
      <c r="H236" s="136">
        <f>7.5-0.3-4.4</f>
        <v>2.8</v>
      </c>
      <c r="I236" s="136"/>
    </row>
    <row r="237" spans="1:9" s="28" customFormat="1" ht="12.75" customHeight="1" x14ac:dyDescent="0.2">
      <c r="A237" s="94">
        <v>228</v>
      </c>
      <c r="B237" s="78" t="s">
        <v>741</v>
      </c>
      <c r="C237" s="145" t="s">
        <v>1869</v>
      </c>
      <c r="D237" s="146"/>
      <c r="E237" s="147"/>
      <c r="F237" s="121" t="s">
        <v>584</v>
      </c>
      <c r="G237" s="122"/>
      <c r="H237" s="155">
        <v>5</v>
      </c>
      <c r="I237" s="156"/>
    </row>
    <row r="238" spans="1:9" s="28" customFormat="1" ht="12.75" customHeight="1" x14ac:dyDescent="0.2">
      <c r="A238" s="94">
        <v>229</v>
      </c>
      <c r="B238" s="78" t="s">
        <v>741</v>
      </c>
      <c r="C238" s="157" t="s">
        <v>3400</v>
      </c>
      <c r="D238" s="146"/>
      <c r="E238" s="147"/>
      <c r="F238" s="124" t="s">
        <v>338</v>
      </c>
      <c r="G238" s="121"/>
      <c r="H238" s="136">
        <v>1.5</v>
      </c>
      <c r="I238" s="136"/>
    </row>
    <row r="239" spans="1:9" s="28" customFormat="1" ht="12.75" customHeight="1" x14ac:dyDescent="0.2">
      <c r="A239" s="94">
        <v>230</v>
      </c>
      <c r="B239" s="78"/>
      <c r="C239" s="157" t="s">
        <v>1188</v>
      </c>
      <c r="D239" s="146"/>
      <c r="E239" s="147"/>
      <c r="F239" s="124" t="s">
        <v>495</v>
      </c>
      <c r="G239" s="121"/>
      <c r="H239" s="136">
        <v>2.4</v>
      </c>
      <c r="I239" s="136"/>
    </row>
    <row r="240" spans="1:9" s="28" customFormat="1" ht="12.75" customHeight="1" x14ac:dyDescent="0.2">
      <c r="A240" s="94">
        <v>231</v>
      </c>
      <c r="B240" s="78"/>
      <c r="C240" s="157" t="s">
        <v>1235</v>
      </c>
      <c r="D240" s="146"/>
      <c r="E240" s="147"/>
      <c r="F240" s="124" t="s">
        <v>1243</v>
      </c>
      <c r="G240" s="121"/>
      <c r="H240" s="136">
        <v>0.7</v>
      </c>
      <c r="I240" s="136"/>
    </row>
    <row r="241" spans="1:9" s="28" customFormat="1" ht="12.75" customHeight="1" x14ac:dyDescent="0.2">
      <c r="A241" s="94">
        <v>232</v>
      </c>
      <c r="B241" s="78" t="s">
        <v>741</v>
      </c>
      <c r="C241" s="157" t="s">
        <v>1249</v>
      </c>
      <c r="D241" s="146"/>
      <c r="E241" s="147"/>
      <c r="F241" s="124" t="s">
        <v>1243</v>
      </c>
      <c r="G241" s="121"/>
      <c r="H241" s="136">
        <v>2.5</v>
      </c>
      <c r="I241" s="136"/>
    </row>
    <row r="242" spans="1:9" s="28" customFormat="1" ht="12.75" customHeight="1" x14ac:dyDescent="0.2">
      <c r="A242" s="94">
        <v>233</v>
      </c>
      <c r="B242" s="78"/>
      <c r="C242" s="145" t="s">
        <v>1896</v>
      </c>
      <c r="D242" s="146"/>
      <c r="E242" s="147"/>
      <c r="F242" s="121" t="s">
        <v>261</v>
      </c>
      <c r="G242" s="122"/>
      <c r="H242" s="155">
        <f>27.3-3.8-5.9-6-6.1+2.3</f>
        <v>7.8000000000000016</v>
      </c>
      <c r="I242" s="156"/>
    </row>
    <row r="243" spans="1:9" s="28" customFormat="1" ht="12.75" customHeight="1" x14ac:dyDescent="0.2">
      <c r="A243" s="94">
        <v>234</v>
      </c>
      <c r="B243" s="78" t="s">
        <v>741</v>
      </c>
      <c r="C243" s="145" t="s">
        <v>2694</v>
      </c>
      <c r="D243" s="146"/>
      <c r="E243" s="147"/>
      <c r="F243" s="121" t="s">
        <v>261</v>
      </c>
      <c r="G243" s="122"/>
      <c r="H243" s="155">
        <v>3.1</v>
      </c>
      <c r="I243" s="156"/>
    </row>
    <row r="244" spans="1:9" s="28" customFormat="1" ht="12.75" customHeight="1" x14ac:dyDescent="0.2">
      <c r="A244" s="94">
        <v>235</v>
      </c>
      <c r="B244" s="78" t="s">
        <v>2934</v>
      </c>
      <c r="C244" s="157" t="s">
        <v>4933</v>
      </c>
      <c r="D244" s="146"/>
      <c r="E244" s="147"/>
      <c r="F244" s="124" t="s">
        <v>357</v>
      </c>
      <c r="G244" s="121"/>
      <c r="H244" s="136">
        <f>52-5.5-22.5-11.5</f>
        <v>12.5</v>
      </c>
      <c r="I244" s="136"/>
    </row>
    <row r="245" spans="1:9" s="28" customFormat="1" ht="12.75" customHeight="1" x14ac:dyDescent="0.2">
      <c r="A245" s="94">
        <v>236</v>
      </c>
      <c r="B245" s="78" t="s">
        <v>741</v>
      </c>
      <c r="C245" s="157" t="s">
        <v>1813</v>
      </c>
      <c r="D245" s="146"/>
      <c r="E245" s="147"/>
      <c r="F245" s="124" t="s">
        <v>357</v>
      </c>
      <c r="G245" s="121"/>
      <c r="H245" s="136">
        <f>5.1-1.8</f>
        <v>3.3</v>
      </c>
      <c r="I245" s="136"/>
    </row>
    <row r="246" spans="1:9" s="28" customFormat="1" ht="12.75" customHeight="1" x14ac:dyDescent="0.2">
      <c r="A246" s="94">
        <v>237</v>
      </c>
      <c r="B246" s="78" t="s">
        <v>741</v>
      </c>
      <c r="C246" s="145" t="s">
        <v>3310</v>
      </c>
      <c r="D246" s="146"/>
      <c r="E246" s="147"/>
      <c r="F246" s="124" t="s">
        <v>772</v>
      </c>
      <c r="G246" s="121"/>
      <c r="H246" s="155">
        <v>3.2</v>
      </c>
      <c r="I246" s="156"/>
    </row>
    <row r="247" spans="1:9" s="28" customFormat="1" ht="12.75" customHeight="1" x14ac:dyDescent="0.2">
      <c r="A247" s="94">
        <v>238</v>
      </c>
      <c r="B247" s="78"/>
      <c r="C247" s="145" t="s">
        <v>1396</v>
      </c>
      <c r="D247" s="146"/>
      <c r="E247" s="147"/>
      <c r="F247" s="121" t="s">
        <v>89</v>
      </c>
      <c r="G247" s="122"/>
      <c r="H247" s="155">
        <f>36.2-1.8+3.7+4.4-4.1-1.7-2.5+1.8-4.3-2.5-1.1-1-2.6-4.7-2.7</f>
        <v>17.099999999999998</v>
      </c>
      <c r="I247" s="156"/>
    </row>
    <row r="248" spans="1:9" s="28" customFormat="1" ht="12.75" customHeight="1" x14ac:dyDescent="0.2">
      <c r="A248" s="94">
        <v>239</v>
      </c>
      <c r="B248" s="78" t="s">
        <v>741</v>
      </c>
      <c r="C248" s="145" t="s">
        <v>4957</v>
      </c>
      <c r="D248" s="146"/>
      <c r="E248" s="147"/>
      <c r="F248" s="121" t="s">
        <v>128</v>
      </c>
      <c r="G248" s="122"/>
      <c r="H248" s="155">
        <v>6.8</v>
      </c>
      <c r="I248" s="156"/>
    </row>
    <row r="249" spans="1:9" s="28" customFormat="1" ht="12.75" customHeight="1" x14ac:dyDescent="0.2">
      <c r="A249" s="94">
        <v>240</v>
      </c>
      <c r="B249" s="78" t="s">
        <v>741</v>
      </c>
      <c r="C249" s="145" t="s">
        <v>5004</v>
      </c>
      <c r="D249" s="146"/>
      <c r="E249" s="147"/>
      <c r="F249" s="121" t="s">
        <v>128</v>
      </c>
      <c r="G249" s="122"/>
      <c r="H249" s="155">
        <f>0.8+0.6+1.4+1+2.1-2.1-1-2</f>
        <v>0.80000000000000027</v>
      </c>
      <c r="I249" s="156"/>
    </row>
    <row r="250" spans="1:9" s="28" customFormat="1" ht="12.75" customHeight="1" x14ac:dyDescent="0.2">
      <c r="A250" s="94">
        <v>241</v>
      </c>
      <c r="B250" s="78"/>
      <c r="C250" s="145" t="s">
        <v>910</v>
      </c>
      <c r="D250" s="146"/>
      <c r="E250" s="147"/>
      <c r="F250" s="121" t="s">
        <v>495</v>
      </c>
      <c r="G250" s="122"/>
      <c r="H250" s="155">
        <f>2.7+26.5-1-0.3-2.7</f>
        <v>25.2</v>
      </c>
      <c r="I250" s="156"/>
    </row>
    <row r="251" spans="1:9" s="28" customFormat="1" ht="12.75" customHeight="1" x14ac:dyDescent="0.2">
      <c r="A251" s="94">
        <v>242</v>
      </c>
      <c r="B251" s="78"/>
      <c r="C251" s="145" t="s">
        <v>2693</v>
      </c>
      <c r="D251" s="146"/>
      <c r="E251" s="147"/>
      <c r="F251" s="121" t="s">
        <v>1041</v>
      </c>
      <c r="G251" s="122"/>
      <c r="H251" s="155">
        <v>31</v>
      </c>
      <c r="I251" s="156"/>
    </row>
    <row r="252" spans="1:9" s="28" customFormat="1" ht="12.75" customHeight="1" x14ac:dyDescent="0.2">
      <c r="A252" s="94">
        <v>243</v>
      </c>
      <c r="B252" s="78" t="s">
        <v>741</v>
      </c>
      <c r="C252" s="145" t="s">
        <v>1868</v>
      </c>
      <c r="D252" s="146"/>
      <c r="E252" s="147"/>
      <c r="F252" s="121" t="s">
        <v>584</v>
      </c>
      <c r="G252" s="122"/>
      <c r="H252" s="155">
        <v>6.7</v>
      </c>
      <c r="I252" s="156"/>
    </row>
    <row r="253" spans="1:9" s="28" customFormat="1" ht="12.75" customHeight="1" x14ac:dyDescent="0.2">
      <c r="A253" s="94">
        <v>244</v>
      </c>
      <c r="B253" s="78" t="s">
        <v>741</v>
      </c>
      <c r="C253" s="145" t="s">
        <v>2283</v>
      </c>
      <c r="D253" s="146"/>
      <c r="E253" s="147"/>
      <c r="F253" s="121" t="s">
        <v>1866</v>
      </c>
      <c r="G253" s="122"/>
      <c r="H253" s="155">
        <v>15.3</v>
      </c>
      <c r="I253" s="156"/>
    </row>
    <row r="254" spans="1:9" s="28" customFormat="1" ht="12.75" customHeight="1" x14ac:dyDescent="0.2">
      <c r="A254" s="94">
        <v>245</v>
      </c>
      <c r="B254" s="78" t="s">
        <v>741</v>
      </c>
      <c r="C254" s="145" t="s">
        <v>1250</v>
      </c>
      <c r="D254" s="146"/>
      <c r="E254" s="147"/>
      <c r="F254" s="121" t="s">
        <v>1243</v>
      </c>
      <c r="G254" s="122"/>
      <c r="H254" s="155">
        <v>2.2000000000000002</v>
      </c>
      <c r="I254" s="156"/>
    </row>
    <row r="255" spans="1:9" s="28" customFormat="1" ht="12.75" customHeight="1" x14ac:dyDescent="0.2">
      <c r="A255" s="94">
        <v>246</v>
      </c>
      <c r="B255" s="78" t="s">
        <v>741</v>
      </c>
      <c r="C255" s="145" t="s">
        <v>1272</v>
      </c>
      <c r="D255" s="146"/>
      <c r="E255" s="147"/>
      <c r="F255" s="121" t="s">
        <v>128</v>
      </c>
      <c r="G255" s="122"/>
      <c r="H255" s="155">
        <f>0.7+1.8-1.8</f>
        <v>0.7</v>
      </c>
      <c r="I255" s="156"/>
    </row>
    <row r="256" spans="1:9" s="28" customFormat="1" ht="12.75" customHeight="1" x14ac:dyDescent="0.2">
      <c r="A256" s="94">
        <v>247</v>
      </c>
      <c r="B256" s="78" t="s">
        <v>741</v>
      </c>
      <c r="C256" s="145" t="s">
        <v>3530</v>
      </c>
      <c r="D256" s="146"/>
      <c r="E256" s="147"/>
      <c r="F256" s="121" t="s">
        <v>526</v>
      </c>
      <c r="G256" s="122"/>
      <c r="H256" s="155">
        <f>78.2+1.3-4.5</f>
        <v>75</v>
      </c>
      <c r="I256" s="156"/>
    </row>
    <row r="257" spans="1:9" s="28" customFormat="1" ht="12.75" customHeight="1" x14ac:dyDescent="0.2">
      <c r="A257" s="94">
        <v>248</v>
      </c>
      <c r="B257" s="78" t="s">
        <v>741</v>
      </c>
      <c r="C257" s="145" t="s">
        <v>1973</v>
      </c>
      <c r="D257" s="146"/>
      <c r="E257" s="147"/>
      <c r="F257" s="121" t="s">
        <v>838</v>
      </c>
      <c r="G257" s="122"/>
      <c r="H257" s="155">
        <v>1.4</v>
      </c>
      <c r="I257" s="156"/>
    </row>
    <row r="258" spans="1:9" s="28" customFormat="1" ht="12.75" customHeight="1" x14ac:dyDescent="0.2">
      <c r="A258" s="94">
        <v>249</v>
      </c>
      <c r="B258" s="78"/>
      <c r="C258" s="145" t="s">
        <v>1042</v>
      </c>
      <c r="D258" s="146"/>
      <c r="E258" s="147"/>
      <c r="F258" s="121" t="s">
        <v>128</v>
      </c>
      <c r="G258" s="122"/>
      <c r="H258" s="155">
        <v>6.7</v>
      </c>
      <c r="I258" s="156"/>
    </row>
    <row r="259" spans="1:9" s="28" customFormat="1" ht="12.75" customHeight="1" x14ac:dyDescent="0.2">
      <c r="A259" s="94">
        <v>250</v>
      </c>
      <c r="B259" s="78" t="s">
        <v>741</v>
      </c>
      <c r="C259" s="145" t="s">
        <v>2695</v>
      </c>
      <c r="D259" s="146"/>
      <c r="E259" s="147"/>
      <c r="F259" s="121" t="s">
        <v>128</v>
      </c>
      <c r="G259" s="122"/>
      <c r="H259" s="155">
        <v>7.5</v>
      </c>
      <c r="I259" s="156"/>
    </row>
    <row r="260" spans="1:9" s="28" customFormat="1" ht="12.75" customHeight="1" x14ac:dyDescent="0.2">
      <c r="A260" s="94">
        <v>251</v>
      </c>
      <c r="B260" s="78" t="s">
        <v>741</v>
      </c>
      <c r="C260" s="145" t="s">
        <v>2902</v>
      </c>
      <c r="D260" s="146"/>
      <c r="E260" s="147"/>
      <c r="F260" s="121" t="s">
        <v>128</v>
      </c>
      <c r="G260" s="122"/>
      <c r="H260" s="155">
        <v>15</v>
      </c>
      <c r="I260" s="156"/>
    </row>
    <row r="261" spans="1:9" s="28" customFormat="1" ht="12.75" customHeight="1" x14ac:dyDescent="0.2">
      <c r="A261" s="94">
        <v>252</v>
      </c>
      <c r="B261" s="78" t="s">
        <v>741</v>
      </c>
      <c r="C261" s="145" t="s">
        <v>5208</v>
      </c>
      <c r="D261" s="146"/>
      <c r="E261" s="147"/>
      <c r="F261" s="121" t="s">
        <v>128</v>
      </c>
      <c r="G261" s="122"/>
      <c r="H261" s="155">
        <f>6.1+1.8+2.7+2.2+0.8-0.8+1.9-2.7-0.8-1-5.9</f>
        <v>4.2999999999999989</v>
      </c>
      <c r="I261" s="156"/>
    </row>
    <row r="262" spans="1:9" s="28" customFormat="1" ht="12.75" customHeight="1" x14ac:dyDescent="0.2">
      <c r="A262" s="94">
        <v>253</v>
      </c>
      <c r="B262" s="78"/>
      <c r="C262" s="157" t="s">
        <v>5180</v>
      </c>
      <c r="D262" s="146"/>
      <c r="E262" s="147"/>
      <c r="F262" s="124" t="s">
        <v>838</v>
      </c>
      <c r="G262" s="121"/>
      <c r="H262" s="136">
        <v>8.5</v>
      </c>
      <c r="I262" s="136"/>
    </row>
    <row r="263" spans="1:9" s="28" customFormat="1" ht="27.75" customHeight="1" x14ac:dyDescent="0.2">
      <c r="A263" s="94">
        <v>254</v>
      </c>
      <c r="B263" s="78"/>
      <c r="C263" s="145" t="s">
        <v>1877</v>
      </c>
      <c r="D263" s="146"/>
      <c r="E263" s="147"/>
      <c r="F263" s="121" t="s">
        <v>128</v>
      </c>
      <c r="G263" s="122"/>
      <c r="H263" s="155">
        <f>607-29.3-1-14.2-45.5-4.3-10.3-1.7-2-1.7-34.2-1-400-3.4-5.1-1.8-1.8-0.7-5.2-7-6-1.7-3.4-1.4-7.8-4.2</f>
        <v>12.300000000000072</v>
      </c>
      <c r="I263" s="156"/>
    </row>
    <row r="264" spans="1:9" s="28" customFormat="1" ht="12.75" customHeight="1" x14ac:dyDescent="0.2">
      <c r="A264" s="94">
        <v>255</v>
      </c>
      <c r="B264" s="78" t="s">
        <v>741</v>
      </c>
      <c r="C264" s="145" t="s">
        <v>5124</v>
      </c>
      <c r="D264" s="146"/>
      <c r="E264" s="147"/>
      <c r="F264" s="121" t="s">
        <v>221</v>
      </c>
      <c r="G264" s="122"/>
      <c r="H264" s="155">
        <f>67.8-1.4-1.8-1.3-2.5-5.5-1.3</f>
        <v>54</v>
      </c>
      <c r="I264" s="156"/>
    </row>
    <row r="265" spans="1:9" s="28" customFormat="1" ht="12.75" customHeight="1" x14ac:dyDescent="0.2">
      <c r="A265" s="94">
        <v>256</v>
      </c>
      <c r="B265" s="78" t="s">
        <v>741</v>
      </c>
      <c r="C265" s="145" t="s">
        <v>2222</v>
      </c>
      <c r="D265" s="146"/>
      <c r="E265" s="147"/>
      <c r="F265" s="121" t="s">
        <v>357</v>
      </c>
      <c r="G265" s="122"/>
      <c r="H265" s="155">
        <v>2.2000000000000002</v>
      </c>
      <c r="I265" s="156"/>
    </row>
    <row r="266" spans="1:9" s="28" customFormat="1" ht="12.75" customHeight="1" x14ac:dyDescent="0.2">
      <c r="A266" s="94">
        <v>257</v>
      </c>
      <c r="B266" s="78" t="s">
        <v>2225</v>
      </c>
      <c r="C266" s="145" t="s">
        <v>2211</v>
      </c>
      <c r="D266" s="146"/>
      <c r="E266" s="147"/>
      <c r="F266" s="121" t="s">
        <v>1866</v>
      </c>
      <c r="G266" s="122"/>
      <c r="H266" s="155">
        <v>23.6</v>
      </c>
      <c r="I266" s="156"/>
    </row>
    <row r="267" spans="1:9" s="28" customFormat="1" ht="12.75" customHeight="1" x14ac:dyDescent="0.2">
      <c r="A267" s="94">
        <v>258</v>
      </c>
      <c r="B267" s="78" t="s">
        <v>2225</v>
      </c>
      <c r="C267" s="145" t="s">
        <v>2281</v>
      </c>
      <c r="D267" s="146"/>
      <c r="E267" s="147"/>
      <c r="F267" s="121" t="s">
        <v>1866</v>
      </c>
      <c r="G267" s="122"/>
      <c r="H267" s="155">
        <v>37.4</v>
      </c>
      <c r="I267" s="156"/>
    </row>
    <row r="268" spans="1:9" s="28" customFormat="1" ht="12.75" customHeight="1" x14ac:dyDescent="0.2">
      <c r="A268" s="94">
        <v>259</v>
      </c>
      <c r="B268" s="78" t="s">
        <v>741</v>
      </c>
      <c r="C268" s="145" t="s">
        <v>2282</v>
      </c>
      <c r="D268" s="146"/>
      <c r="E268" s="147"/>
      <c r="F268" s="121" t="s">
        <v>1866</v>
      </c>
      <c r="G268" s="122"/>
      <c r="H268" s="155">
        <v>9.5</v>
      </c>
      <c r="I268" s="156"/>
    </row>
    <row r="269" spans="1:9" s="28" customFormat="1" ht="12.75" customHeight="1" x14ac:dyDescent="0.2">
      <c r="A269" s="94">
        <v>260</v>
      </c>
      <c r="B269" s="78" t="s">
        <v>741</v>
      </c>
      <c r="C269" s="145" t="s">
        <v>1222</v>
      </c>
      <c r="D269" s="146"/>
      <c r="E269" s="147"/>
      <c r="F269" s="121" t="s">
        <v>517</v>
      </c>
      <c r="G269" s="122"/>
      <c r="H269" s="155">
        <v>34.6</v>
      </c>
      <c r="I269" s="156"/>
    </row>
    <row r="270" spans="1:9" s="28" customFormat="1" x14ac:dyDescent="0.2">
      <c r="A270" s="94">
        <v>261</v>
      </c>
      <c r="B270" s="78" t="s">
        <v>1734</v>
      </c>
      <c r="C270" s="145" t="s">
        <v>4914</v>
      </c>
      <c r="D270" s="146"/>
      <c r="E270" s="147"/>
      <c r="F270" s="121" t="s">
        <v>128</v>
      </c>
      <c r="G270" s="122"/>
      <c r="H270" s="155">
        <f>32.7-10.1-2.8</f>
        <v>19.8</v>
      </c>
      <c r="I270" s="156"/>
    </row>
    <row r="271" spans="1:9" s="28" customFormat="1" ht="12.75" customHeight="1" x14ac:dyDescent="0.2">
      <c r="A271" s="94">
        <v>262</v>
      </c>
      <c r="B271" s="78" t="s">
        <v>741</v>
      </c>
      <c r="C271" s="145" t="s">
        <v>1442</v>
      </c>
      <c r="D271" s="146"/>
      <c r="E271" s="147"/>
      <c r="F271" s="121" t="s">
        <v>676</v>
      </c>
      <c r="G271" s="122"/>
      <c r="H271" s="155">
        <f>41.7-6</f>
        <v>35.700000000000003</v>
      </c>
      <c r="I271" s="156"/>
    </row>
    <row r="272" spans="1:9" s="28" customFormat="1" ht="12.75" customHeight="1" x14ac:dyDescent="0.2">
      <c r="A272" s="94">
        <v>263</v>
      </c>
      <c r="B272" s="78" t="s">
        <v>741</v>
      </c>
      <c r="C272" s="145" t="s">
        <v>3209</v>
      </c>
      <c r="D272" s="146"/>
      <c r="E272" s="147"/>
      <c r="F272" s="121" t="s">
        <v>1041</v>
      </c>
      <c r="G272" s="122"/>
      <c r="H272" s="155">
        <f>51-8.5-3.5</f>
        <v>39</v>
      </c>
      <c r="I272" s="156"/>
    </row>
    <row r="273" spans="1:9" s="28" customFormat="1" ht="12.75" customHeight="1" x14ac:dyDescent="0.2">
      <c r="A273" s="94">
        <v>264</v>
      </c>
      <c r="B273" s="78" t="s">
        <v>2225</v>
      </c>
      <c r="C273" s="145" t="s">
        <v>2212</v>
      </c>
      <c r="D273" s="146"/>
      <c r="E273" s="147"/>
      <c r="F273" s="121" t="s">
        <v>1866</v>
      </c>
      <c r="G273" s="122"/>
      <c r="H273" s="155">
        <v>19.2</v>
      </c>
      <c r="I273" s="156"/>
    </row>
    <row r="274" spans="1:9" s="28" customFormat="1" x14ac:dyDescent="0.2">
      <c r="A274" s="94">
        <v>265</v>
      </c>
      <c r="B274" s="78" t="s">
        <v>1734</v>
      </c>
      <c r="C274" s="145" t="s">
        <v>3815</v>
      </c>
      <c r="D274" s="146"/>
      <c r="E274" s="147"/>
      <c r="F274" s="121" t="s">
        <v>128</v>
      </c>
      <c r="G274" s="122"/>
      <c r="H274" s="155">
        <v>80.599999999999994</v>
      </c>
      <c r="I274" s="156"/>
    </row>
    <row r="275" spans="1:9" s="28" customFormat="1" ht="12.75" customHeight="1" x14ac:dyDescent="0.2">
      <c r="A275" s="94">
        <v>266</v>
      </c>
      <c r="B275" s="78"/>
      <c r="C275" s="145" t="s">
        <v>1293</v>
      </c>
      <c r="D275" s="146"/>
      <c r="E275" s="147"/>
      <c r="F275" s="121" t="s">
        <v>676</v>
      </c>
      <c r="G275" s="122"/>
      <c r="H275" s="155">
        <f>52.7-4-2-8.5-2</f>
        <v>36.200000000000003</v>
      </c>
      <c r="I275" s="156"/>
    </row>
    <row r="276" spans="1:9" s="28" customFormat="1" ht="12.75" customHeight="1" x14ac:dyDescent="0.2">
      <c r="A276" s="94">
        <v>267</v>
      </c>
      <c r="B276" s="78"/>
      <c r="C276" s="145" t="s">
        <v>1964</v>
      </c>
      <c r="D276" s="146"/>
      <c r="E276" s="147"/>
      <c r="F276" s="121" t="s">
        <v>357</v>
      </c>
      <c r="G276" s="122"/>
      <c r="H276" s="155">
        <f>27.4-4.1</f>
        <v>23.299999999999997</v>
      </c>
      <c r="I276" s="156"/>
    </row>
    <row r="277" spans="1:9" s="28" customFormat="1" ht="29.25" customHeight="1" x14ac:dyDescent="0.2">
      <c r="A277" s="94">
        <v>268</v>
      </c>
      <c r="B277" s="78" t="s">
        <v>741</v>
      </c>
      <c r="C277" s="145" t="s">
        <v>5299</v>
      </c>
      <c r="D277" s="146"/>
      <c r="E277" s="147"/>
      <c r="F277" s="121" t="s">
        <v>772</v>
      </c>
      <c r="G277" s="122"/>
      <c r="H277" s="155">
        <f>59.7+4.2-4.2-4.2-2-2.1-2-0.7-16.5</f>
        <v>32.199999999999996</v>
      </c>
      <c r="I277" s="156"/>
    </row>
    <row r="278" spans="1:9" s="28" customFormat="1" ht="12.75" customHeight="1" x14ac:dyDescent="0.2">
      <c r="A278" s="94">
        <v>269</v>
      </c>
      <c r="B278" s="78" t="s">
        <v>741</v>
      </c>
      <c r="C278" s="145" t="s">
        <v>1443</v>
      </c>
      <c r="D278" s="146"/>
      <c r="E278" s="147"/>
      <c r="F278" s="121" t="s">
        <v>676</v>
      </c>
      <c r="G278" s="122"/>
      <c r="H278" s="155">
        <f>104.5-22.5-6</f>
        <v>76</v>
      </c>
      <c r="I278" s="156"/>
    </row>
    <row r="279" spans="1:9" s="28" customFormat="1" ht="12.75" customHeight="1" x14ac:dyDescent="0.2">
      <c r="A279" s="94">
        <v>270</v>
      </c>
      <c r="B279" s="78" t="s">
        <v>741</v>
      </c>
      <c r="C279" s="145" t="s">
        <v>3058</v>
      </c>
      <c r="D279" s="146"/>
      <c r="E279" s="147"/>
      <c r="F279" s="121" t="s">
        <v>676</v>
      </c>
      <c r="G279" s="122"/>
      <c r="H279" s="155">
        <v>144</v>
      </c>
      <c r="I279" s="156"/>
    </row>
    <row r="280" spans="1:9" s="28" customFormat="1" ht="12.75" customHeight="1" x14ac:dyDescent="0.2">
      <c r="A280" s="94">
        <v>271</v>
      </c>
      <c r="B280" s="78" t="s">
        <v>741</v>
      </c>
      <c r="C280" s="145" t="s">
        <v>4720</v>
      </c>
      <c r="D280" s="146"/>
      <c r="E280" s="147"/>
      <c r="F280" s="121" t="s">
        <v>676</v>
      </c>
      <c r="G280" s="122"/>
      <c r="H280" s="155">
        <v>63</v>
      </c>
      <c r="I280" s="156"/>
    </row>
    <row r="281" spans="1:9" s="28" customFormat="1" ht="12.75" customHeight="1" x14ac:dyDescent="0.2">
      <c r="A281" s="94">
        <v>272</v>
      </c>
      <c r="B281" s="78" t="s">
        <v>741</v>
      </c>
      <c r="C281" s="145" t="s">
        <v>1475</v>
      </c>
      <c r="D281" s="146"/>
      <c r="E281" s="147"/>
      <c r="F281" s="121" t="s">
        <v>676</v>
      </c>
      <c r="G281" s="122"/>
      <c r="H281" s="155">
        <f>26-18.3</f>
        <v>7.6999999999999993</v>
      </c>
      <c r="I281" s="156"/>
    </row>
    <row r="282" spans="1:9" s="28" customFormat="1" ht="12.75" customHeight="1" x14ac:dyDescent="0.2">
      <c r="A282" s="94">
        <v>273</v>
      </c>
      <c r="B282" s="78" t="s">
        <v>741</v>
      </c>
      <c r="C282" s="145" t="s">
        <v>3309</v>
      </c>
      <c r="D282" s="146"/>
      <c r="E282" s="147"/>
      <c r="F282" s="121" t="s">
        <v>676</v>
      </c>
      <c r="G282" s="122"/>
      <c r="H282" s="155">
        <v>1.7</v>
      </c>
      <c r="I282" s="156"/>
    </row>
    <row r="283" spans="1:9" s="28" customFormat="1" ht="12.75" customHeight="1" x14ac:dyDescent="0.2">
      <c r="A283" s="94">
        <v>274</v>
      </c>
      <c r="B283" s="78" t="s">
        <v>741</v>
      </c>
      <c r="C283" s="157" t="s">
        <v>4426</v>
      </c>
      <c r="D283" s="146"/>
      <c r="E283" s="147"/>
      <c r="F283" s="124" t="s">
        <v>1633</v>
      </c>
      <c r="G283" s="121"/>
      <c r="H283" s="136">
        <f>60.4-7.5-7-7.8</f>
        <v>38.1</v>
      </c>
      <c r="I283" s="136"/>
    </row>
    <row r="284" spans="1:9" s="28" customFormat="1" x14ac:dyDescent="0.2">
      <c r="A284" s="94">
        <v>275</v>
      </c>
      <c r="B284" s="78" t="s">
        <v>741</v>
      </c>
      <c r="C284" s="145" t="s">
        <v>4927</v>
      </c>
      <c r="D284" s="146"/>
      <c r="E284" s="147"/>
      <c r="F284" s="121" t="s">
        <v>584</v>
      </c>
      <c r="G284" s="122"/>
      <c r="H284" s="155">
        <f>24.5-5.2+4.3-4.3-2.7</f>
        <v>16.600000000000001</v>
      </c>
      <c r="I284" s="156"/>
    </row>
    <row r="285" spans="1:9" s="28" customFormat="1" x14ac:dyDescent="0.2">
      <c r="A285" s="94">
        <v>276</v>
      </c>
      <c r="B285" s="78" t="s">
        <v>741</v>
      </c>
      <c r="C285" s="145" t="s">
        <v>2903</v>
      </c>
      <c r="D285" s="146"/>
      <c r="E285" s="147"/>
      <c r="F285" s="121" t="s">
        <v>1871</v>
      </c>
      <c r="G285" s="122"/>
      <c r="H285" s="155">
        <v>8.1999999999999993</v>
      </c>
      <c r="I285" s="156"/>
    </row>
    <row r="286" spans="1:9" s="28" customFormat="1" ht="12.75" customHeight="1" x14ac:dyDescent="0.2">
      <c r="A286" s="94">
        <v>277</v>
      </c>
      <c r="B286" s="78" t="s">
        <v>741</v>
      </c>
      <c r="C286" s="145" t="s">
        <v>2390</v>
      </c>
      <c r="D286" s="146"/>
      <c r="E286" s="147"/>
      <c r="F286" s="121" t="s">
        <v>495</v>
      </c>
      <c r="G286" s="122"/>
      <c r="H286" s="155">
        <v>16.3</v>
      </c>
      <c r="I286" s="156"/>
    </row>
    <row r="287" spans="1:9" s="28" customFormat="1" ht="12.75" customHeight="1" x14ac:dyDescent="0.2">
      <c r="A287" s="94">
        <v>278</v>
      </c>
      <c r="B287" s="78" t="s">
        <v>741</v>
      </c>
      <c r="C287" s="145" t="s">
        <v>2253</v>
      </c>
      <c r="D287" s="146"/>
      <c r="E287" s="147"/>
      <c r="F287" s="121" t="s">
        <v>1566</v>
      </c>
      <c r="G287" s="122"/>
      <c r="H287" s="155">
        <v>30.6</v>
      </c>
      <c r="I287" s="156"/>
    </row>
    <row r="288" spans="1:9" s="28" customFormat="1" ht="12.75" customHeight="1" x14ac:dyDescent="0.2">
      <c r="A288" s="94">
        <v>279</v>
      </c>
      <c r="B288" s="78" t="s">
        <v>741</v>
      </c>
      <c r="C288" s="145" t="s">
        <v>4179</v>
      </c>
      <c r="D288" s="146"/>
      <c r="E288" s="147"/>
      <c r="F288" s="121" t="s">
        <v>261</v>
      </c>
      <c r="G288" s="122"/>
      <c r="H288" s="155">
        <f>28.8-8</f>
        <v>20.8</v>
      </c>
      <c r="I288" s="156"/>
    </row>
    <row r="289" spans="1:9" s="28" customFormat="1" ht="12.75" customHeight="1" x14ac:dyDescent="0.2">
      <c r="A289" s="94">
        <v>280</v>
      </c>
      <c r="B289" s="78" t="s">
        <v>741</v>
      </c>
      <c r="C289" s="145" t="s">
        <v>3276</v>
      </c>
      <c r="D289" s="146"/>
      <c r="E289" s="147"/>
      <c r="F289" s="121" t="s">
        <v>584</v>
      </c>
      <c r="G289" s="122"/>
      <c r="H289" s="155">
        <f>82.7-4.5-2.8</f>
        <v>75.400000000000006</v>
      </c>
      <c r="I289" s="156"/>
    </row>
    <row r="290" spans="1:9" s="28" customFormat="1" ht="12.75" customHeight="1" x14ac:dyDescent="0.2">
      <c r="A290" s="94">
        <v>281</v>
      </c>
      <c r="B290" s="78" t="s">
        <v>741</v>
      </c>
      <c r="C290" s="145" t="s">
        <v>2886</v>
      </c>
      <c r="D290" s="146"/>
      <c r="E290" s="147"/>
      <c r="F290" s="121" t="s">
        <v>495</v>
      </c>
      <c r="G290" s="122"/>
      <c r="H290" s="155">
        <v>4.3</v>
      </c>
      <c r="I290" s="156"/>
    </row>
    <row r="291" spans="1:9" s="28" customFormat="1" ht="12.75" customHeight="1" x14ac:dyDescent="0.2">
      <c r="A291" s="94">
        <v>282</v>
      </c>
      <c r="B291" s="78" t="s">
        <v>741</v>
      </c>
      <c r="C291" s="145" t="s">
        <v>1865</v>
      </c>
      <c r="D291" s="146"/>
      <c r="E291" s="147"/>
      <c r="F291" s="121" t="s">
        <v>221</v>
      </c>
      <c r="G291" s="122"/>
      <c r="H291" s="155">
        <v>27.8</v>
      </c>
      <c r="I291" s="156"/>
    </row>
    <row r="292" spans="1:9" s="28" customFormat="1" ht="12.75" customHeight="1" x14ac:dyDescent="0.2">
      <c r="A292" s="94">
        <v>283</v>
      </c>
      <c r="B292" s="78" t="s">
        <v>741</v>
      </c>
      <c r="C292" s="145" t="s">
        <v>4442</v>
      </c>
      <c r="D292" s="146"/>
      <c r="E292" s="147"/>
      <c r="F292" s="121" t="s">
        <v>1866</v>
      </c>
      <c r="G292" s="122"/>
      <c r="H292" s="155">
        <f>72.6-5.1-10.5-19.8</f>
        <v>37.200000000000003</v>
      </c>
      <c r="I292" s="156"/>
    </row>
    <row r="293" spans="1:9" s="28" customFormat="1" ht="12.75" customHeight="1" x14ac:dyDescent="0.2">
      <c r="A293" s="94">
        <v>284</v>
      </c>
      <c r="B293" s="78" t="s">
        <v>741</v>
      </c>
      <c r="C293" s="145" t="s">
        <v>1565</v>
      </c>
      <c r="D293" s="146"/>
      <c r="E293" s="147"/>
      <c r="F293" s="121" t="s">
        <v>1566</v>
      </c>
      <c r="G293" s="122"/>
      <c r="H293" s="155">
        <v>9.1999999999999993</v>
      </c>
      <c r="I293" s="156"/>
    </row>
    <row r="294" spans="1:9" s="28" customFormat="1" ht="12.75" customHeight="1" x14ac:dyDescent="0.2">
      <c r="A294" s="94">
        <v>285</v>
      </c>
      <c r="B294" s="78" t="s">
        <v>741</v>
      </c>
      <c r="C294" s="145" t="s">
        <v>4719</v>
      </c>
      <c r="D294" s="146"/>
      <c r="E294" s="147"/>
      <c r="F294" s="121" t="s">
        <v>517</v>
      </c>
      <c r="G294" s="122"/>
      <c r="H294" s="155">
        <v>97.5</v>
      </c>
      <c r="I294" s="156"/>
    </row>
    <row r="295" spans="1:9" s="28" customFormat="1" ht="12.75" customHeight="1" x14ac:dyDescent="0.2">
      <c r="A295" s="94">
        <v>286</v>
      </c>
      <c r="B295" s="78" t="s">
        <v>741</v>
      </c>
      <c r="C295" s="145" t="s">
        <v>811</v>
      </c>
      <c r="D295" s="146"/>
      <c r="E295" s="147"/>
      <c r="F295" s="121" t="s">
        <v>766</v>
      </c>
      <c r="G295" s="122"/>
      <c r="H295" s="155">
        <f>19.5-5.2</f>
        <v>14.3</v>
      </c>
      <c r="I295" s="156"/>
    </row>
    <row r="296" spans="1:9" s="28" customFormat="1" ht="12.75" customHeight="1" x14ac:dyDescent="0.2">
      <c r="A296" s="94">
        <v>287</v>
      </c>
      <c r="B296" s="78" t="s">
        <v>741</v>
      </c>
      <c r="C296" s="145" t="s">
        <v>2140</v>
      </c>
      <c r="D296" s="146"/>
      <c r="E296" s="147"/>
      <c r="F296" s="121" t="s">
        <v>838</v>
      </c>
      <c r="G296" s="122"/>
      <c r="H296" s="155">
        <v>12.5</v>
      </c>
      <c r="I296" s="156"/>
    </row>
    <row r="297" spans="1:9" s="28" customFormat="1" ht="12.75" customHeight="1" x14ac:dyDescent="0.2">
      <c r="A297" s="94">
        <v>288</v>
      </c>
      <c r="B297" s="78"/>
      <c r="C297" s="145" t="s">
        <v>3425</v>
      </c>
      <c r="D297" s="146"/>
      <c r="E297" s="147"/>
      <c r="F297" s="121" t="s">
        <v>490</v>
      </c>
      <c r="G297" s="122"/>
      <c r="H297" s="155">
        <f>80.9-38</f>
        <v>42.900000000000006</v>
      </c>
      <c r="I297" s="156"/>
    </row>
    <row r="298" spans="1:9" s="28" customFormat="1" ht="12.75" customHeight="1" x14ac:dyDescent="0.2">
      <c r="A298" s="94">
        <v>289</v>
      </c>
      <c r="B298" s="78" t="s">
        <v>741</v>
      </c>
      <c r="C298" s="145" t="s">
        <v>2887</v>
      </c>
      <c r="D298" s="146"/>
      <c r="E298" s="147"/>
      <c r="F298" s="121" t="s">
        <v>1566</v>
      </c>
      <c r="G298" s="122"/>
      <c r="H298" s="155">
        <v>13.2</v>
      </c>
      <c r="I298" s="156"/>
    </row>
    <row r="299" spans="1:9" s="28" customFormat="1" ht="12.75" customHeight="1" x14ac:dyDescent="0.2">
      <c r="A299" s="94">
        <v>290</v>
      </c>
      <c r="B299" s="78"/>
      <c r="C299" s="145" t="s">
        <v>3313</v>
      </c>
      <c r="D299" s="146"/>
      <c r="E299" s="147"/>
      <c r="F299" s="121" t="s">
        <v>355</v>
      </c>
      <c r="G299" s="122"/>
      <c r="H299" s="155">
        <v>27.6</v>
      </c>
      <c r="I299" s="156"/>
    </row>
    <row r="300" spans="1:9" s="28" customFormat="1" ht="12.75" customHeight="1" x14ac:dyDescent="0.2">
      <c r="A300" s="94">
        <v>291</v>
      </c>
      <c r="B300" s="78" t="s">
        <v>741</v>
      </c>
      <c r="C300" s="145" t="s">
        <v>1221</v>
      </c>
      <c r="D300" s="146"/>
      <c r="E300" s="147"/>
      <c r="F300" s="121" t="s">
        <v>495</v>
      </c>
      <c r="G300" s="122"/>
      <c r="H300" s="155">
        <v>30.8</v>
      </c>
      <c r="I300" s="156"/>
    </row>
    <row r="301" spans="1:9" s="28" customFormat="1" ht="12.75" customHeight="1" x14ac:dyDescent="0.2">
      <c r="A301" s="94">
        <v>292</v>
      </c>
      <c r="B301" s="78" t="s">
        <v>741</v>
      </c>
      <c r="C301" s="145" t="s">
        <v>4139</v>
      </c>
      <c r="D301" s="146"/>
      <c r="E301" s="147"/>
      <c r="F301" s="121" t="s">
        <v>261</v>
      </c>
      <c r="G301" s="122"/>
      <c r="H301" s="155">
        <v>32.5</v>
      </c>
      <c r="I301" s="156"/>
    </row>
    <row r="302" spans="1:9" s="28" customFormat="1" ht="12.75" customHeight="1" x14ac:dyDescent="0.2">
      <c r="A302" s="94">
        <v>293</v>
      </c>
      <c r="B302" s="78" t="s">
        <v>741</v>
      </c>
      <c r="C302" s="145" t="s">
        <v>1423</v>
      </c>
      <c r="D302" s="146"/>
      <c r="E302" s="147"/>
      <c r="F302" s="121" t="s">
        <v>676</v>
      </c>
      <c r="G302" s="122"/>
      <c r="H302" s="155">
        <v>23.3</v>
      </c>
      <c r="I302" s="156"/>
    </row>
    <row r="303" spans="1:9" s="28" customFormat="1" ht="12.75" customHeight="1" x14ac:dyDescent="0.2">
      <c r="A303" s="94">
        <v>294</v>
      </c>
      <c r="B303" s="78" t="s">
        <v>1624</v>
      </c>
      <c r="C303" s="145" t="s">
        <v>4917</v>
      </c>
      <c r="D303" s="146"/>
      <c r="E303" s="147"/>
      <c r="F303" s="121" t="s">
        <v>261</v>
      </c>
      <c r="G303" s="122"/>
      <c r="H303" s="155">
        <f>103.3-6.1</f>
        <v>97.2</v>
      </c>
      <c r="I303" s="156"/>
    </row>
    <row r="304" spans="1:9" s="28" customFormat="1" ht="12.75" customHeight="1" x14ac:dyDescent="0.2">
      <c r="A304" s="94">
        <v>295</v>
      </c>
      <c r="B304" s="78" t="s">
        <v>741</v>
      </c>
      <c r="C304" s="145" t="s">
        <v>1202</v>
      </c>
      <c r="D304" s="146"/>
      <c r="E304" s="147"/>
      <c r="F304" s="121" t="s">
        <v>491</v>
      </c>
      <c r="G304" s="122"/>
      <c r="H304" s="155">
        <f>145.6-48.4-24.1-24.3</f>
        <v>48.8</v>
      </c>
      <c r="I304" s="156"/>
    </row>
    <row r="305" spans="1:9" s="28" customFormat="1" ht="12.75" customHeight="1" x14ac:dyDescent="0.2">
      <c r="A305" s="94">
        <v>296</v>
      </c>
      <c r="B305" s="78" t="s">
        <v>741</v>
      </c>
      <c r="C305" s="145" t="s">
        <v>4473</v>
      </c>
      <c r="D305" s="146"/>
      <c r="E305" s="147"/>
      <c r="F305" s="121" t="s">
        <v>491</v>
      </c>
      <c r="G305" s="122"/>
      <c r="H305" s="155">
        <f>33.9-11-11.7</f>
        <v>11.2</v>
      </c>
      <c r="I305" s="156"/>
    </row>
    <row r="306" spans="1:9" s="28" customFormat="1" ht="12.75" customHeight="1" x14ac:dyDescent="0.2">
      <c r="A306" s="94">
        <v>297</v>
      </c>
      <c r="B306" s="78"/>
      <c r="C306" s="145" t="s">
        <v>3314</v>
      </c>
      <c r="D306" s="146"/>
      <c r="E306" s="147"/>
      <c r="F306" s="121" t="s">
        <v>355</v>
      </c>
      <c r="G306" s="122"/>
      <c r="H306" s="155">
        <v>37.6</v>
      </c>
      <c r="I306" s="156"/>
    </row>
    <row r="307" spans="1:9" s="28" customFormat="1" ht="12.75" customHeight="1" x14ac:dyDescent="0.2">
      <c r="A307" s="94">
        <v>298</v>
      </c>
      <c r="B307" s="78"/>
      <c r="C307" s="145" t="s">
        <v>4705</v>
      </c>
      <c r="D307" s="146"/>
      <c r="E307" s="147"/>
      <c r="F307" s="121" t="s">
        <v>128</v>
      </c>
      <c r="G307" s="122"/>
      <c r="H307" s="155">
        <v>18.5</v>
      </c>
      <c r="I307" s="156"/>
    </row>
    <row r="308" spans="1:9" s="28" customFormat="1" ht="15.75" customHeight="1" x14ac:dyDescent="0.2">
      <c r="A308" s="94">
        <v>299</v>
      </c>
      <c r="B308" s="78">
        <v>2</v>
      </c>
      <c r="C308" s="145" t="s">
        <v>3629</v>
      </c>
      <c r="D308" s="146"/>
      <c r="E308" s="147"/>
      <c r="F308" s="121" t="s">
        <v>517</v>
      </c>
      <c r="G308" s="122"/>
      <c r="H308" s="155">
        <f>343-103-28.3+1.3</f>
        <v>213</v>
      </c>
      <c r="I308" s="156"/>
    </row>
    <row r="309" spans="1:9" s="28" customFormat="1" ht="12.75" customHeight="1" x14ac:dyDescent="0.2">
      <c r="A309" s="94">
        <v>300</v>
      </c>
      <c r="B309" s="78"/>
      <c r="C309" s="145" t="s">
        <v>2805</v>
      </c>
      <c r="D309" s="146"/>
      <c r="E309" s="147"/>
      <c r="F309" s="121" t="s">
        <v>495</v>
      </c>
      <c r="G309" s="122"/>
      <c r="H309" s="155">
        <v>24.7</v>
      </c>
      <c r="I309" s="156"/>
    </row>
    <row r="310" spans="1:9" s="28" customFormat="1" ht="12.75" customHeight="1" x14ac:dyDescent="0.2">
      <c r="A310" s="94">
        <v>301</v>
      </c>
      <c r="B310" s="78"/>
      <c r="C310" s="145" t="s">
        <v>1714</v>
      </c>
      <c r="D310" s="146"/>
      <c r="E310" s="147"/>
      <c r="F310" s="121" t="s">
        <v>676</v>
      </c>
      <c r="G310" s="122"/>
      <c r="H310" s="155">
        <v>81.3</v>
      </c>
      <c r="I310" s="156"/>
    </row>
    <row r="311" spans="1:9" s="28" customFormat="1" ht="12.75" customHeight="1" x14ac:dyDescent="0.2">
      <c r="A311" s="94">
        <v>302</v>
      </c>
      <c r="B311" s="78"/>
      <c r="C311" s="145" t="s">
        <v>1466</v>
      </c>
      <c r="D311" s="146"/>
      <c r="E311" s="147"/>
      <c r="F311" s="121" t="s">
        <v>676</v>
      </c>
      <c r="G311" s="122"/>
      <c r="H311" s="155">
        <v>85.2</v>
      </c>
      <c r="I311" s="156"/>
    </row>
    <row r="312" spans="1:9" s="28" customFormat="1" ht="12.75" customHeight="1" x14ac:dyDescent="0.2">
      <c r="A312" s="94">
        <v>303</v>
      </c>
      <c r="B312" s="78"/>
      <c r="C312" s="145" t="s">
        <v>4704</v>
      </c>
      <c r="D312" s="146"/>
      <c r="E312" s="147"/>
      <c r="F312" s="121" t="s">
        <v>128</v>
      </c>
      <c r="G312" s="122"/>
      <c r="H312" s="155">
        <v>8.6999999999999993</v>
      </c>
      <c r="I312" s="156"/>
    </row>
    <row r="313" spans="1:9" s="28" customFormat="1" ht="12.75" customHeight="1" x14ac:dyDescent="0.2">
      <c r="A313" s="94">
        <v>304</v>
      </c>
      <c r="B313" s="78" t="s">
        <v>741</v>
      </c>
      <c r="C313" s="145" t="s">
        <v>1206</v>
      </c>
      <c r="D313" s="146"/>
      <c r="E313" s="147"/>
      <c r="F313" s="121" t="s">
        <v>189</v>
      </c>
      <c r="G313" s="122"/>
      <c r="H313" s="155">
        <f>321.4-105-109.7</f>
        <v>106.69999999999997</v>
      </c>
      <c r="I313" s="156"/>
    </row>
    <row r="314" spans="1:9" s="28" customFormat="1" ht="12.75" customHeight="1" x14ac:dyDescent="0.2">
      <c r="A314" s="94">
        <v>305</v>
      </c>
      <c r="B314" s="78" t="s">
        <v>741</v>
      </c>
      <c r="C314" s="145" t="s">
        <v>3534</v>
      </c>
      <c r="D314" s="146"/>
      <c r="E314" s="147"/>
      <c r="F314" s="121" t="s">
        <v>261</v>
      </c>
      <c r="G314" s="122"/>
      <c r="H314" s="155">
        <f>49.7-7.4</f>
        <v>42.300000000000004</v>
      </c>
      <c r="I314" s="156"/>
    </row>
    <row r="315" spans="1:9" s="28" customFormat="1" ht="12.75" customHeight="1" x14ac:dyDescent="0.2">
      <c r="A315" s="94">
        <v>306</v>
      </c>
      <c r="B315" s="78"/>
      <c r="C315" s="145" t="s">
        <v>3323</v>
      </c>
      <c r="D315" s="146"/>
      <c r="E315" s="147"/>
      <c r="F315" s="121" t="s">
        <v>261</v>
      </c>
      <c r="G315" s="122"/>
      <c r="H315" s="155">
        <f>145-30.2</f>
        <v>114.8</v>
      </c>
      <c r="I315" s="156"/>
    </row>
    <row r="316" spans="1:9" s="28" customFormat="1" ht="12.75" customHeight="1" x14ac:dyDescent="0.2">
      <c r="A316" s="94">
        <v>307</v>
      </c>
      <c r="B316" s="78" t="s">
        <v>741</v>
      </c>
      <c r="C316" s="145" t="s">
        <v>3827</v>
      </c>
      <c r="D316" s="146"/>
      <c r="E316" s="147"/>
      <c r="F316" s="121" t="s">
        <v>838</v>
      </c>
      <c r="G316" s="122"/>
      <c r="H316" s="155">
        <f>58.1-14-22.5</f>
        <v>21.6</v>
      </c>
      <c r="I316" s="156"/>
    </row>
    <row r="317" spans="1:9" s="28" customFormat="1" ht="12.75" customHeight="1" x14ac:dyDescent="0.2">
      <c r="A317" s="94">
        <v>308</v>
      </c>
      <c r="B317" s="78"/>
      <c r="C317" s="145" t="s">
        <v>2453</v>
      </c>
      <c r="D317" s="146"/>
      <c r="E317" s="147"/>
      <c r="F317" s="121" t="s">
        <v>526</v>
      </c>
      <c r="G317" s="122"/>
      <c r="H317" s="155">
        <v>52.8</v>
      </c>
      <c r="I317" s="156"/>
    </row>
    <row r="318" spans="1:9" s="28" customFormat="1" ht="12.75" customHeight="1" x14ac:dyDescent="0.2">
      <c r="A318" s="94">
        <v>309</v>
      </c>
      <c r="B318" s="78"/>
      <c r="C318" s="145" t="s">
        <v>4706</v>
      </c>
      <c r="D318" s="146"/>
      <c r="E318" s="147"/>
      <c r="F318" s="121" t="s">
        <v>676</v>
      </c>
      <c r="G318" s="122"/>
      <c r="H318" s="155">
        <v>50</v>
      </c>
      <c r="I318" s="156"/>
    </row>
    <row r="319" spans="1:9" s="28" customFormat="1" ht="12.75" customHeight="1" x14ac:dyDescent="0.2">
      <c r="A319" s="94">
        <v>310</v>
      </c>
      <c r="B319" s="78" t="s">
        <v>741</v>
      </c>
      <c r="C319" s="145" t="s">
        <v>1478</v>
      </c>
      <c r="D319" s="146"/>
      <c r="E319" s="147"/>
      <c r="F319" s="121" t="s">
        <v>838</v>
      </c>
      <c r="G319" s="122"/>
      <c r="H319" s="155">
        <v>46</v>
      </c>
      <c r="I319" s="156"/>
    </row>
    <row r="320" spans="1:9" s="28" customFormat="1" ht="12.75" customHeight="1" x14ac:dyDescent="0.2">
      <c r="A320" s="94">
        <v>311</v>
      </c>
      <c r="B320" s="78"/>
      <c r="C320" s="145" t="s">
        <v>4707</v>
      </c>
      <c r="D320" s="146"/>
      <c r="E320" s="147"/>
      <c r="F320" s="121" t="s">
        <v>676</v>
      </c>
      <c r="G320" s="122"/>
      <c r="H320" s="155">
        <v>26.7</v>
      </c>
      <c r="I320" s="156"/>
    </row>
    <row r="321" spans="1:9" s="28" customFormat="1" ht="12.75" customHeight="1" x14ac:dyDescent="0.2">
      <c r="A321" s="94">
        <v>312</v>
      </c>
      <c r="B321" s="78"/>
      <c r="C321" s="145" t="s">
        <v>1473</v>
      </c>
      <c r="D321" s="146"/>
      <c r="E321" s="147"/>
      <c r="F321" s="121" t="s">
        <v>676</v>
      </c>
      <c r="G321" s="122"/>
      <c r="H321" s="155">
        <v>86</v>
      </c>
      <c r="I321" s="156"/>
    </row>
    <row r="322" spans="1:9" s="28" customFormat="1" ht="12.75" customHeight="1" x14ac:dyDescent="0.2">
      <c r="A322" s="94">
        <v>313</v>
      </c>
      <c r="B322" s="78" t="s">
        <v>741</v>
      </c>
      <c r="C322" s="145" t="s">
        <v>1856</v>
      </c>
      <c r="D322" s="146"/>
      <c r="E322" s="147"/>
      <c r="F322" s="121" t="s">
        <v>1855</v>
      </c>
      <c r="G322" s="122"/>
      <c r="H322" s="155">
        <v>9.3000000000000007</v>
      </c>
      <c r="I322" s="156"/>
    </row>
    <row r="323" spans="1:9" s="28" customFormat="1" ht="12.75" customHeight="1" x14ac:dyDescent="0.2">
      <c r="A323" s="94">
        <v>314</v>
      </c>
      <c r="B323" s="78" t="s">
        <v>1624</v>
      </c>
      <c r="C323" s="145" t="s">
        <v>3549</v>
      </c>
      <c r="D323" s="146"/>
      <c r="E323" s="147"/>
      <c r="F323" s="121" t="s">
        <v>89</v>
      </c>
      <c r="G323" s="122"/>
      <c r="H323" s="155">
        <f>41.2-21.5</f>
        <v>19.700000000000003</v>
      </c>
      <c r="I323" s="156"/>
    </row>
    <row r="324" spans="1:9" s="28" customFormat="1" ht="12.75" customHeight="1" x14ac:dyDescent="0.2">
      <c r="A324" s="94">
        <v>315</v>
      </c>
      <c r="B324" s="78"/>
      <c r="C324" s="145" t="s">
        <v>4921</v>
      </c>
      <c r="D324" s="146"/>
      <c r="E324" s="147"/>
      <c r="F324" s="121" t="s">
        <v>517</v>
      </c>
      <c r="G324" s="122"/>
      <c r="H324" s="155">
        <f>42.5-20.3</f>
        <v>22.2</v>
      </c>
      <c r="I324" s="156"/>
    </row>
    <row r="325" spans="1:9" s="28" customFormat="1" ht="12.75" customHeight="1" x14ac:dyDescent="0.2">
      <c r="A325" s="94">
        <v>316</v>
      </c>
      <c r="B325" s="78"/>
      <c r="C325" s="145" t="s">
        <v>4708</v>
      </c>
      <c r="D325" s="146"/>
      <c r="E325" s="147"/>
      <c r="F325" s="121" t="s">
        <v>676</v>
      </c>
      <c r="G325" s="122"/>
      <c r="H325" s="155">
        <v>19.7</v>
      </c>
      <c r="I325" s="156"/>
    </row>
    <row r="326" spans="1:9" s="28" customFormat="1" ht="12.75" customHeight="1" x14ac:dyDescent="0.2">
      <c r="A326" s="94">
        <v>317</v>
      </c>
      <c r="B326" s="78"/>
      <c r="C326" s="145" t="s">
        <v>1156</v>
      </c>
      <c r="D326" s="146"/>
      <c r="E326" s="147"/>
      <c r="F326" s="121" t="s">
        <v>772</v>
      </c>
      <c r="G326" s="122"/>
      <c r="H326" s="155">
        <f>191.2-63.8</f>
        <v>127.39999999999999</v>
      </c>
      <c r="I326" s="156"/>
    </row>
    <row r="327" spans="1:9" ht="12.75" customHeight="1" x14ac:dyDescent="0.2">
      <c r="A327" s="94">
        <v>318</v>
      </c>
      <c r="B327" s="78" t="s">
        <v>1624</v>
      </c>
      <c r="C327" s="145" t="s">
        <v>5230</v>
      </c>
      <c r="D327" s="146"/>
      <c r="E327" s="147"/>
      <c r="F327" s="121" t="s">
        <v>1041</v>
      </c>
      <c r="G327" s="122"/>
      <c r="H327" s="155">
        <f>66.6-2-10-5-8</f>
        <v>41.599999999999994</v>
      </c>
      <c r="I327" s="156"/>
    </row>
    <row r="328" spans="1:9" ht="12.75" customHeight="1" x14ac:dyDescent="0.2">
      <c r="A328" s="94">
        <v>319</v>
      </c>
      <c r="B328" s="78" t="s">
        <v>1624</v>
      </c>
      <c r="C328" s="145" t="s">
        <v>2130</v>
      </c>
      <c r="D328" s="146"/>
      <c r="E328" s="147"/>
      <c r="F328" s="121" t="s">
        <v>771</v>
      </c>
      <c r="G328" s="122"/>
      <c r="H328" s="155">
        <v>30.8</v>
      </c>
      <c r="I328" s="156"/>
    </row>
    <row r="329" spans="1:9" ht="12.75" customHeight="1" x14ac:dyDescent="0.2">
      <c r="A329" s="94">
        <v>320</v>
      </c>
      <c r="B329" s="78" t="s">
        <v>741</v>
      </c>
      <c r="C329" s="145" t="s">
        <v>4609</v>
      </c>
      <c r="D329" s="146"/>
      <c r="E329" s="147"/>
      <c r="F329" s="121" t="s">
        <v>241</v>
      </c>
      <c r="G329" s="122"/>
      <c r="H329" s="155">
        <v>54</v>
      </c>
      <c r="I329" s="156"/>
    </row>
    <row r="330" spans="1:9" ht="12.75" customHeight="1" x14ac:dyDescent="0.2">
      <c r="A330" s="94">
        <v>321</v>
      </c>
      <c r="B330" s="78" t="s">
        <v>1624</v>
      </c>
      <c r="C330" s="145" t="s">
        <v>2993</v>
      </c>
      <c r="D330" s="146"/>
      <c r="E330" s="147"/>
      <c r="F330" s="121" t="s">
        <v>2678</v>
      </c>
      <c r="G330" s="122"/>
      <c r="H330" s="155">
        <f>7+21-14+21</f>
        <v>35</v>
      </c>
      <c r="I330" s="156"/>
    </row>
    <row r="331" spans="1:9" ht="12.75" customHeight="1" x14ac:dyDescent="0.2">
      <c r="A331" s="94">
        <v>322</v>
      </c>
      <c r="B331" s="78" t="s">
        <v>1624</v>
      </c>
      <c r="C331" s="145" t="s">
        <v>1756</v>
      </c>
      <c r="D331" s="146"/>
      <c r="E331" s="147"/>
      <c r="F331" s="121" t="s">
        <v>771</v>
      </c>
      <c r="G331" s="122"/>
      <c r="H331" s="155">
        <v>281.3</v>
      </c>
      <c r="I331" s="156"/>
    </row>
    <row r="332" spans="1:9" ht="12.75" customHeight="1" x14ac:dyDescent="0.2">
      <c r="A332" s="94">
        <v>323</v>
      </c>
      <c r="B332" s="78" t="s">
        <v>1624</v>
      </c>
      <c r="C332" s="145" t="s">
        <v>5193</v>
      </c>
      <c r="D332" s="146"/>
      <c r="E332" s="147"/>
      <c r="F332" s="121" t="s">
        <v>627</v>
      </c>
      <c r="G332" s="122"/>
      <c r="H332" s="155">
        <f>28.6+31-1-8.4</f>
        <v>50.2</v>
      </c>
      <c r="I332" s="156"/>
    </row>
    <row r="333" spans="1:9" ht="12.75" customHeight="1" x14ac:dyDescent="0.2">
      <c r="A333" s="94">
        <v>324</v>
      </c>
      <c r="B333" s="78" t="s">
        <v>1624</v>
      </c>
      <c r="C333" s="145" t="s">
        <v>5212</v>
      </c>
      <c r="D333" s="146"/>
      <c r="E333" s="147"/>
      <c r="F333" s="121" t="s">
        <v>4206</v>
      </c>
      <c r="G333" s="122"/>
      <c r="H333" s="155">
        <f>23.4-5-8.1</f>
        <v>10.299999999999999</v>
      </c>
      <c r="I333" s="156"/>
    </row>
    <row r="334" spans="1:9" ht="12.75" customHeight="1" x14ac:dyDescent="0.2">
      <c r="A334" s="94">
        <v>325</v>
      </c>
      <c r="B334" s="78" t="s">
        <v>1624</v>
      </c>
      <c r="C334" s="145" t="s">
        <v>1521</v>
      </c>
      <c r="D334" s="146"/>
      <c r="E334" s="147"/>
      <c r="F334" s="121" t="s">
        <v>627</v>
      </c>
      <c r="G334" s="122"/>
      <c r="H334" s="155">
        <v>219.5</v>
      </c>
      <c r="I334" s="156"/>
    </row>
    <row r="335" spans="1:9" ht="12.75" customHeight="1" x14ac:dyDescent="0.2">
      <c r="A335" s="94">
        <v>326</v>
      </c>
      <c r="B335" s="78" t="s">
        <v>1624</v>
      </c>
      <c r="C335" s="145" t="s">
        <v>1388</v>
      </c>
      <c r="D335" s="146"/>
      <c r="E335" s="147"/>
      <c r="F335" s="121" t="s">
        <v>627</v>
      </c>
      <c r="G335" s="122"/>
      <c r="H335" s="155">
        <f>17.8-1.5</f>
        <v>16.3</v>
      </c>
      <c r="I335" s="156"/>
    </row>
    <row r="336" spans="1:9" ht="12.75" customHeight="1" x14ac:dyDescent="0.2">
      <c r="A336" s="94">
        <v>327</v>
      </c>
      <c r="B336" s="78" t="s">
        <v>1624</v>
      </c>
      <c r="C336" s="145" t="s">
        <v>1520</v>
      </c>
      <c r="D336" s="146"/>
      <c r="E336" s="147"/>
      <c r="F336" s="121" t="s">
        <v>771</v>
      </c>
      <c r="G336" s="122"/>
      <c r="H336" s="155">
        <v>47.7</v>
      </c>
      <c r="I336" s="156"/>
    </row>
    <row r="337" spans="1:9" ht="12.75" customHeight="1" x14ac:dyDescent="0.2">
      <c r="A337" s="94">
        <v>328</v>
      </c>
      <c r="B337" s="78" t="s">
        <v>1624</v>
      </c>
      <c r="C337" s="145" t="s">
        <v>1625</v>
      </c>
      <c r="D337" s="146"/>
      <c r="E337" s="147"/>
      <c r="F337" s="121" t="s">
        <v>771</v>
      </c>
      <c r="G337" s="122"/>
      <c r="H337" s="155">
        <v>63.9</v>
      </c>
      <c r="I337" s="156"/>
    </row>
    <row r="338" spans="1:9" ht="12.75" customHeight="1" x14ac:dyDescent="0.2">
      <c r="A338" s="94">
        <v>329</v>
      </c>
      <c r="B338" s="78" t="s">
        <v>1624</v>
      </c>
      <c r="C338" s="145" t="s">
        <v>1424</v>
      </c>
      <c r="D338" s="146"/>
      <c r="E338" s="147"/>
      <c r="F338" s="121" t="s">
        <v>771</v>
      </c>
      <c r="G338" s="122"/>
      <c r="H338" s="155">
        <v>2.1</v>
      </c>
      <c r="I338" s="156"/>
    </row>
    <row r="339" spans="1:9" ht="12.75" customHeight="1" x14ac:dyDescent="0.2">
      <c r="A339" s="94">
        <v>330</v>
      </c>
      <c r="B339" s="78"/>
      <c r="C339" s="145" t="s">
        <v>3446</v>
      </c>
      <c r="D339" s="146"/>
      <c r="E339" s="147"/>
      <c r="F339" s="121" t="s">
        <v>289</v>
      </c>
      <c r="G339" s="122"/>
      <c r="H339" s="155">
        <f>80.9-1</f>
        <v>79.900000000000006</v>
      </c>
      <c r="I339" s="156"/>
    </row>
    <row r="340" spans="1:9" ht="12.75" customHeight="1" x14ac:dyDescent="0.2">
      <c r="A340" s="94">
        <v>331</v>
      </c>
      <c r="B340" s="78" t="s">
        <v>741</v>
      </c>
      <c r="C340" s="145" t="s">
        <v>1523</v>
      </c>
      <c r="D340" s="146"/>
      <c r="E340" s="147"/>
      <c r="F340" s="121" t="s">
        <v>1524</v>
      </c>
      <c r="G340" s="122"/>
      <c r="H340" s="155">
        <v>41</v>
      </c>
      <c r="I340" s="156"/>
    </row>
    <row r="341" spans="1:9" ht="12.75" customHeight="1" x14ac:dyDescent="0.2">
      <c r="A341" s="94">
        <v>332</v>
      </c>
      <c r="B341" s="78" t="s">
        <v>1624</v>
      </c>
      <c r="C341" s="145" t="s">
        <v>5192</v>
      </c>
      <c r="D341" s="146"/>
      <c r="E341" s="147"/>
      <c r="F341" s="121" t="s">
        <v>771</v>
      </c>
      <c r="G341" s="122"/>
      <c r="H341" s="155">
        <f>43.7+44-0.1+38.6-30</f>
        <v>96.200000000000017</v>
      </c>
      <c r="I341" s="156"/>
    </row>
    <row r="342" spans="1:9" ht="12.75" customHeight="1" x14ac:dyDescent="0.2">
      <c r="A342" s="94">
        <v>333</v>
      </c>
      <c r="B342" s="78" t="s">
        <v>1624</v>
      </c>
      <c r="C342" s="145" t="s">
        <v>5222</v>
      </c>
      <c r="D342" s="146"/>
      <c r="E342" s="147"/>
      <c r="F342" s="121" t="s">
        <v>771</v>
      </c>
      <c r="G342" s="122"/>
      <c r="H342" s="155">
        <v>41.5</v>
      </c>
      <c r="I342" s="156"/>
    </row>
    <row r="343" spans="1:9" ht="12.75" customHeight="1" x14ac:dyDescent="0.2">
      <c r="A343" s="94">
        <v>334</v>
      </c>
      <c r="B343" s="78" t="s">
        <v>741</v>
      </c>
      <c r="C343" s="145" t="s">
        <v>2196</v>
      </c>
      <c r="D343" s="146"/>
      <c r="E343" s="147"/>
      <c r="F343" s="121" t="s">
        <v>241</v>
      </c>
      <c r="G343" s="122"/>
      <c r="H343" s="155">
        <f>32.4-17.4-10</f>
        <v>5</v>
      </c>
      <c r="I343" s="156"/>
    </row>
    <row r="344" spans="1:9" ht="12.75" customHeight="1" x14ac:dyDescent="0.2">
      <c r="A344" s="94">
        <v>335</v>
      </c>
      <c r="B344" s="78" t="s">
        <v>1624</v>
      </c>
      <c r="C344" s="145" t="s">
        <v>4109</v>
      </c>
      <c r="D344" s="146"/>
      <c r="E344" s="147"/>
      <c r="F344" s="121" t="s">
        <v>627</v>
      </c>
      <c r="G344" s="122"/>
      <c r="H344" s="155">
        <f>60.5+34+54.1-5-1</f>
        <v>142.6</v>
      </c>
      <c r="I344" s="156"/>
    </row>
    <row r="345" spans="1:9" ht="12.75" customHeight="1" x14ac:dyDescent="0.2">
      <c r="A345" s="94">
        <v>336</v>
      </c>
      <c r="B345" s="78" t="s">
        <v>1624</v>
      </c>
      <c r="C345" s="145" t="s">
        <v>4204</v>
      </c>
      <c r="D345" s="146"/>
      <c r="E345" s="147"/>
      <c r="F345" s="121" t="s">
        <v>627</v>
      </c>
      <c r="G345" s="122"/>
      <c r="H345" s="155">
        <v>94.8</v>
      </c>
      <c r="I345" s="156"/>
    </row>
    <row r="346" spans="1:9" ht="12.75" customHeight="1" x14ac:dyDescent="0.2">
      <c r="A346" s="94">
        <v>337</v>
      </c>
      <c r="B346" s="78" t="s">
        <v>1624</v>
      </c>
      <c r="C346" s="145" t="s">
        <v>2085</v>
      </c>
      <c r="D346" s="146"/>
      <c r="E346" s="147"/>
      <c r="F346" s="121" t="s">
        <v>627</v>
      </c>
      <c r="G346" s="122"/>
      <c r="H346" s="155">
        <v>36.200000000000003</v>
      </c>
      <c r="I346" s="156"/>
    </row>
    <row r="347" spans="1:9" ht="12.75" customHeight="1" x14ac:dyDescent="0.2">
      <c r="A347" s="94">
        <v>338</v>
      </c>
      <c r="B347" s="78" t="s">
        <v>1624</v>
      </c>
      <c r="C347" s="145" t="s">
        <v>4242</v>
      </c>
      <c r="D347" s="146"/>
      <c r="E347" s="147"/>
      <c r="F347" s="121" t="s">
        <v>4206</v>
      </c>
      <c r="G347" s="122"/>
      <c r="H347" s="155">
        <v>34.5</v>
      </c>
      <c r="I347" s="156"/>
    </row>
    <row r="348" spans="1:9" ht="12.75" customHeight="1" x14ac:dyDescent="0.2">
      <c r="A348" s="94">
        <v>339</v>
      </c>
      <c r="B348" s="78" t="s">
        <v>1624</v>
      </c>
      <c r="C348" s="145" t="s">
        <v>4205</v>
      </c>
      <c r="D348" s="146"/>
      <c r="E348" s="147"/>
      <c r="F348" s="121" t="s">
        <v>4206</v>
      </c>
      <c r="G348" s="122"/>
      <c r="H348" s="155">
        <v>23.5</v>
      </c>
      <c r="I348" s="156"/>
    </row>
    <row r="349" spans="1:9" ht="12.75" customHeight="1" x14ac:dyDescent="0.2">
      <c r="A349" s="94">
        <v>340</v>
      </c>
      <c r="B349" s="78" t="s">
        <v>1624</v>
      </c>
      <c r="C349" s="145" t="s">
        <v>4241</v>
      </c>
      <c r="D349" s="146"/>
      <c r="E349" s="147"/>
      <c r="F349" s="121" t="s">
        <v>4206</v>
      </c>
      <c r="G349" s="122"/>
      <c r="H349" s="155">
        <v>24.3</v>
      </c>
      <c r="I349" s="156"/>
    </row>
    <row r="350" spans="1:9" ht="12.75" customHeight="1" x14ac:dyDescent="0.2">
      <c r="A350" s="94">
        <v>341</v>
      </c>
      <c r="B350" s="78"/>
      <c r="C350" s="145" t="s">
        <v>2794</v>
      </c>
      <c r="D350" s="146"/>
      <c r="E350" s="147"/>
      <c r="F350" s="121" t="s">
        <v>2793</v>
      </c>
      <c r="G350" s="122"/>
      <c r="H350" s="155">
        <f>16.4-6.7</f>
        <v>9.6999999999999993</v>
      </c>
      <c r="I350" s="156"/>
    </row>
    <row r="351" spans="1:9" ht="12.75" customHeight="1" x14ac:dyDescent="0.2">
      <c r="A351" s="94">
        <v>342</v>
      </c>
      <c r="B351" s="78" t="s">
        <v>1624</v>
      </c>
      <c r="C351" s="145" t="s">
        <v>5057</v>
      </c>
      <c r="D351" s="146"/>
      <c r="E351" s="147"/>
      <c r="F351" s="121" t="s">
        <v>289</v>
      </c>
      <c r="G351" s="122"/>
      <c r="H351" s="155">
        <f>59.6+35-2-4.1-4.2-4.1-4.2-69.6</f>
        <v>6.4000000000000057</v>
      </c>
      <c r="I351" s="156"/>
    </row>
    <row r="352" spans="1:9" ht="12.75" customHeight="1" x14ac:dyDescent="0.2">
      <c r="A352" s="94">
        <v>343</v>
      </c>
      <c r="B352" s="78" t="s">
        <v>1624</v>
      </c>
      <c r="C352" s="145" t="s">
        <v>4511</v>
      </c>
      <c r="D352" s="146"/>
      <c r="E352" s="147"/>
      <c r="F352" s="121" t="s">
        <v>771</v>
      </c>
      <c r="G352" s="122"/>
      <c r="H352" s="155">
        <f>28.3-4.2-1-3.1-0.1</f>
        <v>19.899999999999999</v>
      </c>
      <c r="I352" s="156"/>
    </row>
    <row r="353" spans="1:9" ht="12.75" customHeight="1" x14ac:dyDescent="0.2">
      <c r="A353" s="94">
        <v>344</v>
      </c>
      <c r="B353" s="78" t="s">
        <v>1624</v>
      </c>
      <c r="C353" s="145" t="s">
        <v>2533</v>
      </c>
      <c r="D353" s="146"/>
      <c r="E353" s="147"/>
      <c r="F353" s="121" t="s">
        <v>771</v>
      </c>
      <c r="G353" s="122"/>
      <c r="H353" s="155">
        <v>37.5</v>
      </c>
      <c r="I353" s="156"/>
    </row>
    <row r="354" spans="1:9" ht="12.75" customHeight="1" x14ac:dyDescent="0.2">
      <c r="A354" s="94">
        <v>345</v>
      </c>
      <c r="B354" s="78" t="s">
        <v>1624</v>
      </c>
      <c r="C354" s="145" t="s">
        <v>4896</v>
      </c>
      <c r="D354" s="146"/>
      <c r="E354" s="147"/>
      <c r="F354" s="121" t="s">
        <v>771</v>
      </c>
      <c r="G354" s="122"/>
      <c r="H354" s="155">
        <f>34.2-3.3+3.3-3.3</f>
        <v>30.900000000000002</v>
      </c>
      <c r="I354" s="156"/>
    </row>
    <row r="355" spans="1:9" ht="12.75" customHeight="1" x14ac:dyDescent="0.2">
      <c r="A355" s="94">
        <v>346</v>
      </c>
      <c r="B355" s="78"/>
      <c r="C355" s="145" t="s">
        <v>3744</v>
      </c>
      <c r="D355" s="146"/>
      <c r="E355" s="147"/>
      <c r="F355" s="121" t="s">
        <v>24</v>
      </c>
      <c r="G355" s="122"/>
      <c r="H355" s="155">
        <f>0.6-0.1</f>
        <v>0.5</v>
      </c>
      <c r="I355" s="156"/>
    </row>
    <row r="356" spans="1:9" ht="12.75" customHeight="1" x14ac:dyDescent="0.2">
      <c r="A356" s="94">
        <v>347</v>
      </c>
      <c r="B356" s="78" t="s">
        <v>3540</v>
      </c>
      <c r="C356" s="145" t="s">
        <v>4164</v>
      </c>
      <c r="D356" s="146"/>
      <c r="E356" s="147"/>
      <c r="F356" s="121" t="s">
        <v>24</v>
      </c>
      <c r="G356" s="122"/>
      <c r="H356" s="155">
        <f>4.3-0.5-0.6-0.4-0.2-0.2-1.3+0.1</f>
        <v>1.1999999999999995</v>
      </c>
      <c r="I356" s="156"/>
    </row>
    <row r="357" spans="1:9" ht="12.75" customHeight="1" x14ac:dyDescent="0.2">
      <c r="A357" s="94">
        <v>348</v>
      </c>
      <c r="B357" s="78"/>
      <c r="C357" s="145" t="s">
        <v>4370</v>
      </c>
      <c r="D357" s="146"/>
      <c r="E357" s="147"/>
      <c r="F357" s="121" t="s">
        <v>1559</v>
      </c>
      <c r="G357" s="189"/>
      <c r="H357" s="155">
        <f>20.2-0.5-0.3-0.8-0.4-0.2-3.5-1.5-0.8-0.2</f>
        <v>12</v>
      </c>
      <c r="I357" s="156"/>
    </row>
    <row r="358" spans="1:9" ht="12.75" customHeight="1" x14ac:dyDescent="0.2">
      <c r="A358" s="94">
        <v>349</v>
      </c>
      <c r="B358" s="78"/>
      <c r="C358" s="145" t="s">
        <v>4474</v>
      </c>
      <c r="D358" s="146"/>
      <c r="E358" s="147"/>
      <c r="F358" s="121" t="s">
        <v>111</v>
      </c>
      <c r="G358" s="122"/>
      <c r="H358" s="155">
        <f>3.9-0.2-2-0.2</f>
        <v>1.4999999999999998</v>
      </c>
      <c r="I358" s="156"/>
    </row>
    <row r="359" spans="1:9" ht="12.75" customHeight="1" x14ac:dyDescent="0.2">
      <c r="A359" s="94">
        <v>350</v>
      </c>
      <c r="B359" s="78" t="s">
        <v>2570</v>
      </c>
      <c r="C359" s="145" t="s">
        <v>2285</v>
      </c>
      <c r="D359" s="146"/>
      <c r="E359" s="147"/>
      <c r="F359" s="121" t="s">
        <v>111</v>
      </c>
      <c r="G359" s="122"/>
      <c r="H359" s="155">
        <f>21.4-0.1-0.6-0.6-0.7-1.5-2.1-1.4-1.9-0.7-4</f>
        <v>7.7999999999999954</v>
      </c>
      <c r="I359" s="156"/>
    </row>
    <row r="360" spans="1:9" ht="12.75" customHeight="1" x14ac:dyDescent="0.2">
      <c r="A360" s="94">
        <v>351</v>
      </c>
      <c r="B360" s="78" t="s">
        <v>2570</v>
      </c>
      <c r="C360" s="145" t="s">
        <v>4934</v>
      </c>
      <c r="D360" s="146"/>
      <c r="E360" s="147"/>
      <c r="F360" s="121" t="s">
        <v>24</v>
      </c>
      <c r="G360" s="122"/>
      <c r="H360" s="155">
        <v>45.5</v>
      </c>
      <c r="I360" s="156"/>
    </row>
    <row r="361" spans="1:9" ht="12.75" customHeight="1" x14ac:dyDescent="0.2">
      <c r="A361" s="94">
        <v>352</v>
      </c>
      <c r="B361" s="78"/>
      <c r="C361" s="145" t="s">
        <v>3157</v>
      </c>
      <c r="D361" s="146"/>
      <c r="E361" s="147"/>
      <c r="F361" s="121" t="s">
        <v>24</v>
      </c>
      <c r="G361" s="122"/>
      <c r="H361" s="155">
        <f>4.8-0.2</f>
        <v>4.5999999999999996</v>
      </c>
      <c r="I361" s="156"/>
    </row>
    <row r="362" spans="1:9" ht="12.75" customHeight="1" x14ac:dyDescent="0.2">
      <c r="A362" s="94">
        <v>353</v>
      </c>
      <c r="B362" s="78"/>
      <c r="C362" s="145" t="s">
        <v>3456</v>
      </c>
      <c r="D362" s="146"/>
      <c r="E362" s="147"/>
      <c r="F362" s="121" t="s">
        <v>9</v>
      </c>
      <c r="G362" s="122"/>
      <c r="H362" s="155">
        <f>0.4+100-0.4-4.6-0.4</f>
        <v>95</v>
      </c>
      <c r="I362" s="156"/>
    </row>
    <row r="363" spans="1:9" ht="12.75" customHeight="1" x14ac:dyDescent="0.2">
      <c r="A363" s="94">
        <v>354</v>
      </c>
      <c r="B363" s="78"/>
      <c r="C363" s="145" t="s">
        <v>1082</v>
      </c>
      <c r="D363" s="146"/>
      <c r="E363" s="147"/>
      <c r="F363" s="121" t="s">
        <v>24</v>
      </c>
      <c r="G363" s="122"/>
      <c r="H363" s="155">
        <v>0.7</v>
      </c>
      <c r="I363" s="156"/>
    </row>
    <row r="364" spans="1:9" ht="12.75" customHeight="1" x14ac:dyDescent="0.2">
      <c r="A364" s="94">
        <v>355</v>
      </c>
      <c r="B364" s="78"/>
      <c r="C364" s="145" t="s">
        <v>5049</v>
      </c>
      <c r="D364" s="146"/>
      <c r="E364" s="147"/>
      <c r="F364" s="121" t="s">
        <v>24</v>
      </c>
      <c r="G364" s="122"/>
      <c r="H364" s="155">
        <f>198.2+196-1.1-20-100.6+43.2-1.2-1.1-0.4-62.5-6.6</f>
        <v>243.9</v>
      </c>
      <c r="I364" s="156"/>
    </row>
    <row r="365" spans="1:9" ht="12.75" customHeight="1" x14ac:dyDescent="0.2">
      <c r="A365" s="94">
        <v>356</v>
      </c>
      <c r="B365" s="78"/>
      <c r="C365" s="145" t="s">
        <v>3745</v>
      </c>
      <c r="D365" s="146"/>
      <c r="E365" s="147"/>
      <c r="F365" s="121" t="s">
        <v>24</v>
      </c>
      <c r="G365" s="122"/>
      <c r="H365" s="155">
        <v>200</v>
      </c>
      <c r="I365" s="156"/>
    </row>
    <row r="366" spans="1:9" ht="12.75" customHeight="1" x14ac:dyDescent="0.2">
      <c r="A366" s="94">
        <v>357</v>
      </c>
      <c r="B366" s="78" t="s">
        <v>741</v>
      </c>
      <c r="C366" s="145" t="s">
        <v>3305</v>
      </c>
      <c r="D366" s="146"/>
      <c r="E366" s="147"/>
      <c r="F366" s="121" t="s">
        <v>24</v>
      </c>
      <c r="G366" s="122"/>
      <c r="H366" s="155">
        <f>6.6+9-0.3-0.6-5-1.1-5+0.7+12.6-1.4-0.2-2.2</f>
        <v>13.099999999999998</v>
      </c>
      <c r="I366" s="156"/>
    </row>
    <row r="367" spans="1:9" ht="12.75" customHeight="1" x14ac:dyDescent="0.2">
      <c r="A367" s="94">
        <v>358</v>
      </c>
      <c r="B367" s="78" t="s">
        <v>741</v>
      </c>
      <c r="C367" s="145" t="s">
        <v>3527</v>
      </c>
      <c r="D367" s="146"/>
      <c r="E367" s="147"/>
      <c r="F367" s="121" t="s">
        <v>111</v>
      </c>
      <c r="G367" s="122"/>
      <c r="H367" s="155">
        <f>4-1.2-1.3+0.4</f>
        <v>1.9</v>
      </c>
      <c r="I367" s="156"/>
    </row>
    <row r="368" spans="1:9" ht="12.75" customHeight="1" x14ac:dyDescent="0.2">
      <c r="A368" s="94">
        <v>359</v>
      </c>
      <c r="B368" s="78" t="s">
        <v>741</v>
      </c>
      <c r="C368" s="145" t="s">
        <v>4555</v>
      </c>
      <c r="D368" s="146"/>
      <c r="E368" s="147"/>
      <c r="F368" s="121" t="s">
        <v>9</v>
      </c>
      <c r="G368" s="122"/>
      <c r="H368" s="155">
        <f>40-0.5-0.4-28.5-0.5</f>
        <v>10.100000000000001</v>
      </c>
      <c r="I368" s="156"/>
    </row>
    <row r="369" spans="1:9" ht="12.75" customHeight="1" x14ac:dyDescent="0.2">
      <c r="A369" s="94">
        <v>360</v>
      </c>
      <c r="B369" s="78"/>
      <c r="C369" s="145" t="s">
        <v>878</v>
      </c>
      <c r="D369" s="146"/>
      <c r="E369" s="147"/>
      <c r="F369" s="121" t="s">
        <v>24</v>
      </c>
      <c r="G369" s="122"/>
      <c r="H369" s="155">
        <f>79.8-0.4-3.2-1-6+2-5.7-1-0.8-0.4</f>
        <v>63.29999999999999</v>
      </c>
      <c r="I369" s="156"/>
    </row>
    <row r="370" spans="1:9" ht="12.75" customHeight="1" x14ac:dyDescent="0.2">
      <c r="A370" s="94">
        <v>361</v>
      </c>
      <c r="B370" s="78"/>
      <c r="C370" s="145" t="s">
        <v>3344</v>
      </c>
      <c r="D370" s="146"/>
      <c r="E370" s="147"/>
      <c r="F370" s="121" t="s">
        <v>24</v>
      </c>
      <c r="G370" s="122"/>
      <c r="H370" s="155">
        <f>20.5-3.2-3.9+0.7+12.7-1.7-0.7-1.2+1.2-3.9-1.7-1.9-2-1.5</f>
        <v>13.400000000000002</v>
      </c>
      <c r="I370" s="156"/>
    </row>
    <row r="371" spans="1:9" ht="12.75" customHeight="1" x14ac:dyDescent="0.2">
      <c r="A371" s="94">
        <v>362</v>
      </c>
      <c r="B371" s="78" t="s">
        <v>741</v>
      </c>
      <c r="C371" s="145" t="s">
        <v>2040</v>
      </c>
      <c r="D371" s="146"/>
      <c r="E371" s="147"/>
      <c r="F371" s="121" t="s">
        <v>24</v>
      </c>
      <c r="G371" s="122"/>
      <c r="H371" s="155">
        <f>0.3+61-0.3-0.3-0.4+2.2</f>
        <v>62.500000000000007</v>
      </c>
      <c r="I371" s="156"/>
    </row>
    <row r="372" spans="1:9" ht="12.75" customHeight="1" x14ac:dyDescent="0.2">
      <c r="A372" s="94">
        <v>363</v>
      </c>
      <c r="B372" s="78" t="s">
        <v>2570</v>
      </c>
      <c r="C372" s="145" t="s">
        <v>4513</v>
      </c>
      <c r="D372" s="146"/>
      <c r="E372" s="147"/>
      <c r="F372" s="121" t="s">
        <v>1559</v>
      </c>
      <c r="G372" s="189"/>
      <c r="H372" s="155">
        <f>89-0.7-0.2-1.6-6.1-0.2-0.2-0.9-1-0.6-0.6-0.6-0.6-6.1-0.6-2.1-1.5</f>
        <v>65.400000000000034</v>
      </c>
      <c r="I372" s="156"/>
    </row>
    <row r="373" spans="1:9" ht="12.75" customHeight="1" x14ac:dyDescent="0.2">
      <c r="A373" s="94">
        <v>364</v>
      </c>
      <c r="B373" s="78" t="s">
        <v>3540</v>
      </c>
      <c r="C373" s="145" t="s">
        <v>4644</v>
      </c>
      <c r="D373" s="146"/>
      <c r="E373" s="147"/>
      <c r="F373" s="121" t="s">
        <v>1559</v>
      </c>
      <c r="G373" s="189"/>
      <c r="H373" s="155">
        <v>1.5</v>
      </c>
      <c r="I373" s="156"/>
    </row>
    <row r="374" spans="1:9" ht="12.75" customHeight="1" x14ac:dyDescent="0.2">
      <c r="A374" s="94">
        <v>365</v>
      </c>
      <c r="B374" s="78"/>
      <c r="C374" s="145" t="s">
        <v>1732</v>
      </c>
      <c r="D374" s="146"/>
      <c r="E374" s="147"/>
      <c r="F374" s="121" t="s">
        <v>111</v>
      </c>
      <c r="G374" s="122"/>
      <c r="H374" s="155">
        <f>38.6-5-2.4-2.4-2.5-2.4+2.4</f>
        <v>26.300000000000004</v>
      </c>
      <c r="I374" s="156"/>
    </row>
    <row r="375" spans="1:9" ht="12.75" customHeight="1" x14ac:dyDescent="0.2">
      <c r="A375" s="94">
        <v>366</v>
      </c>
      <c r="B375" s="78" t="s">
        <v>741</v>
      </c>
      <c r="C375" s="145" t="s">
        <v>2041</v>
      </c>
      <c r="D375" s="146"/>
      <c r="E375" s="147"/>
      <c r="F375" s="121" t="s">
        <v>111</v>
      </c>
      <c r="G375" s="122"/>
      <c r="H375" s="155">
        <f>314-74-70-1-1.1-1-1-2.1-2.5-2.7-1.1-1-1-1</f>
        <v>154.50000000000003</v>
      </c>
      <c r="I375" s="156"/>
    </row>
    <row r="376" spans="1:9" ht="12.75" customHeight="1" x14ac:dyDescent="0.2">
      <c r="A376" s="94">
        <v>367</v>
      </c>
      <c r="B376" s="78"/>
      <c r="C376" s="145" t="s">
        <v>3149</v>
      </c>
      <c r="D376" s="146"/>
      <c r="E376" s="147"/>
      <c r="F376" s="121" t="s">
        <v>111</v>
      </c>
      <c r="G376" s="122"/>
      <c r="H376" s="155">
        <f>4-0.9-0.6-0.6</f>
        <v>1.9</v>
      </c>
      <c r="I376" s="156"/>
    </row>
    <row r="377" spans="1:9" ht="12.75" customHeight="1" x14ac:dyDescent="0.2">
      <c r="A377" s="94">
        <v>368</v>
      </c>
      <c r="B377" s="78"/>
      <c r="C377" s="157" t="s">
        <v>2442</v>
      </c>
      <c r="D377" s="157"/>
      <c r="E377" s="157"/>
      <c r="F377" s="121" t="s">
        <v>18</v>
      </c>
      <c r="G377" s="189"/>
      <c r="H377" s="136">
        <f>114.2-1.2-2.4-1.4-1.1-1.5-2.8-1.1-2.1-1-1.1-3.3</f>
        <v>95.200000000000017</v>
      </c>
      <c r="I377" s="136"/>
    </row>
    <row r="378" spans="1:9" ht="12.75" customHeight="1" x14ac:dyDescent="0.2">
      <c r="A378" s="94">
        <v>369</v>
      </c>
      <c r="B378" s="78"/>
      <c r="C378" s="145" t="s">
        <v>2829</v>
      </c>
      <c r="D378" s="146"/>
      <c r="E378" s="147"/>
      <c r="F378" s="121" t="s">
        <v>24</v>
      </c>
      <c r="G378" s="122"/>
      <c r="H378" s="155">
        <f>933-2.8-17-2.8-153.6</f>
        <v>756.80000000000007</v>
      </c>
      <c r="I378" s="156"/>
    </row>
    <row r="379" spans="1:9" ht="12.75" customHeight="1" x14ac:dyDescent="0.2">
      <c r="A379" s="94">
        <v>370</v>
      </c>
      <c r="B379" s="78" t="s">
        <v>741</v>
      </c>
      <c r="C379" s="145" t="s">
        <v>2773</v>
      </c>
      <c r="D379" s="146"/>
      <c r="E379" s="147"/>
      <c r="F379" s="121" t="s">
        <v>24</v>
      </c>
      <c r="G379" s="122"/>
      <c r="H379" s="155">
        <f>7.1-0.9-1-1.5-2+0.9</f>
        <v>2.5999999999999992</v>
      </c>
      <c r="I379" s="156"/>
    </row>
    <row r="380" spans="1:9" ht="12.75" customHeight="1" x14ac:dyDescent="0.2">
      <c r="A380" s="94">
        <v>371</v>
      </c>
      <c r="B380" s="78"/>
      <c r="C380" s="145" t="s">
        <v>2363</v>
      </c>
      <c r="D380" s="146"/>
      <c r="E380" s="147"/>
      <c r="F380" s="121" t="s">
        <v>111</v>
      </c>
      <c r="G380" s="122"/>
      <c r="H380" s="155">
        <f>21.4+2.3-14.2</f>
        <v>9.5</v>
      </c>
      <c r="I380" s="156"/>
    </row>
    <row r="381" spans="1:9" ht="12.75" customHeight="1" x14ac:dyDescent="0.2">
      <c r="A381" s="94">
        <v>372</v>
      </c>
      <c r="B381" s="78" t="s">
        <v>3540</v>
      </c>
      <c r="C381" s="145" t="s">
        <v>3624</v>
      </c>
      <c r="D381" s="146"/>
      <c r="E381" s="147"/>
      <c r="F381" s="121" t="s">
        <v>111</v>
      </c>
      <c r="G381" s="122"/>
      <c r="H381" s="155">
        <v>3.2</v>
      </c>
      <c r="I381" s="156"/>
    </row>
    <row r="382" spans="1:9" ht="12.75" customHeight="1" x14ac:dyDescent="0.2">
      <c r="A382" s="94">
        <v>373</v>
      </c>
      <c r="B382" s="78" t="s">
        <v>741</v>
      </c>
      <c r="C382" s="145" t="s">
        <v>2039</v>
      </c>
      <c r="D382" s="146"/>
      <c r="E382" s="147"/>
      <c r="F382" s="121" t="s">
        <v>24</v>
      </c>
      <c r="G382" s="122"/>
      <c r="H382" s="155">
        <f>2.3+11.9+24.4</f>
        <v>38.599999999999994</v>
      </c>
      <c r="I382" s="156"/>
    </row>
    <row r="383" spans="1:9" ht="12.75" customHeight="1" x14ac:dyDescent="0.2">
      <c r="A383" s="94">
        <v>374</v>
      </c>
      <c r="B383" s="78" t="s">
        <v>741</v>
      </c>
      <c r="C383" s="145" t="s">
        <v>2827</v>
      </c>
      <c r="D383" s="146"/>
      <c r="E383" s="147"/>
      <c r="F383" s="121" t="s">
        <v>24</v>
      </c>
      <c r="G383" s="122"/>
      <c r="H383" s="155">
        <f>203.4+16.4-2.1</f>
        <v>217.70000000000002</v>
      </c>
      <c r="I383" s="156"/>
    </row>
    <row r="384" spans="1:9" ht="12.75" customHeight="1" x14ac:dyDescent="0.2">
      <c r="A384" s="94">
        <v>375</v>
      </c>
      <c r="B384" s="78"/>
      <c r="C384" s="145" t="s">
        <v>1391</v>
      </c>
      <c r="D384" s="146"/>
      <c r="E384" s="147"/>
      <c r="F384" s="121" t="s">
        <v>24</v>
      </c>
      <c r="G384" s="122"/>
      <c r="H384" s="155">
        <f>14.4-1.3-3.4-1-1.1-1.1-1.1-2.3+0.2</f>
        <v>3.3000000000000007</v>
      </c>
      <c r="I384" s="156"/>
    </row>
    <row r="385" spans="1:9" ht="12.75" customHeight="1" x14ac:dyDescent="0.2">
      <c r="A385" s="94">
        <v>376</v>
      </c>
      <c r="B385" s="78"/>
      <c r="C385" s="145" t="s">
        <v>2008</v>
      </c>
      <c r="D385" s="146"/>
      <c r="E385" s="147"/>
      <c r="F385" s="121" t="s">
        <v>24</v>
      </c>
      <c r="G385" s="122"/>
      <c r="H385" s="155">
        <f>1.3+0.8</f>
        <v>2.1</v>
      </c>
      <c r="I385" s="156"/>
    </row>
    <row r="386" spans="1:9" ht="12.75" customHeight="1" x14ac:dyDescent="0.2">
      <c r="A386" s="94">
        <v>377</v>
      </c>
      <c r="B386" s="78"/>
      <c r="C386" s="145" t="s">
        <v>3966</v>
      </c>
      <c r="D386" s="146"/>
      <c r="E386" s="147"/>
      <c r="F386" s="121" t="s">
        <v>111</v>
      </c>
      <c r="G386" s="122"/>
      <c r="H386" s="155">
        <f>27-5.4-2</f>
        <v>19.600000000000001</v>
      </c>
      <c r="I386" s="156"/>
    </row>
    <row r="387" spans="1:9" ht="12.75" customHeight="1" x14ac:dyDescent="0.2">
      <c r="A387" s="94">
        <v>378</v>
      </c>
      <c r="B387" s="78"/>
      <c r="C387" s="145" t="s">
        <v>1811</v>
      </c>
      <c r="D387" s="146"/>
      <c r="E387" s="147"/>
      <c r="F387" s="121" t="s">
        <v>111</v>
      </c>
      <c r="G387" s="122"/>
      <c r="H387" s="155">
        <v>4.5999999999999996</v>
      </c>
      <c r="I387" s="156"/>
    </row>
    <row r="388" spans="1:9" ht="12.75" customHeight="1" x14ac:dyDescent="0.2">
      <c r="A388" s="94">
        <v>379</v>
      </c>
      <c r="B388" s="78" t="s">
        <v>741</v>
      </c>
      <c r="C388" s="145" t="s">
        <v>4019</v>
      </c>
      <c r="D388" s="146"/>
      <c r="E388" s="147"/>
      <c r="F388" s="121" t="s">
        <v>111</v>
      </c>
      <c r="G388" s="122"/>
      <c r="H388" s="155">
        <f>33.5-2.1</f>
        <v>31.4</v>
      </c>
      <c r="I388" s="156"/>
    </row>
    <row r="389" spans="1:9" ht="12.75" customHeight="1" x14ac:dyDescent="0.2">
      <c r="A389" s="94">
        <v>380</v>
      </c>
      <c r="B389" s="78"/>
      <c r="C389" s="145" t="s">
        <v>3135</v>
      </c>
      <c r="D389" s="146"/>
      <c r="E389" s="147"/>
      <c r="F389" s="121" t="s">
        <v>1559</v>
      </c>
      <c r="G389" s="189"/>
      <c r="H389" s="155">
        <v>0.8</v>
      </c>
      <c r="I389" s="156"/>
    </row>
    <row r="390" spans="1:9" ht="12.75" customHeight="1" x14ac:dyDescent="0.2">
      <c r="A390" s="94">
        <v>381</v>
      </c>
      <c r="B390" s="78" t="s">
        <v>3540</v>
      </c>
      <c r="C390" s="145" t="s">
        <v>4742</v>
      </c>
      <c r="D390" s="146"/>
      <c r="E390" s="147"/>
      <c r="F390" s="121" t="s">
        <v>84</v>
      </c>
      <c r="G390" s="122"/>
      <c r="H390" s="155">
        <v>0.3</v>
      </c>
      <c r="I390" s="156"/>
    </row>
    <row r="391" spans="1:9" ht="12.75" customHeight="1" x14ac:dyDescent="0.2">
      <c r="A391" s="94">
        <v>382</v>
      </c>
      <c r="B391" s="78"/>
      <c r="C391" s="145" t="s">
        <v>2591</v>
      </c>
      <c r="D391" s="146"/>
      <c r="E391" s="147"/>
      <c r="F391" s="121" t="s">
        <v>24</v>
      </c>
      <c r="G391" s="122"/>
      <c r="H391" s="155">
        <f>26.2+2.6-1.4-2.5-1.2-0.4-20.1</f>
        <v>3.2000000000000028</v>
      </c>
      <c r="I391" s="156"/>
    </row>
    <row r="392" spans="1:9" ht="12.75" customHeight="1" x14ac:dyDescent="0.2">
      <c r="A392" s="94">
        <v>383</v>
      </c>
      <c r="B392" s="78" t="s">
        <v>741</v>
      </c>
      <c r="C392" s="145" t="s">
        <v>2883</v>
      </c>
      <c r="D392" s="146"/>
      <c r="E392" s="147"/>
      <c r="F392" s="121" t="s">
        <v>9</v>
      </c>
      <c r="G392" s="122"/>
      <c r="H392" s="155">
        <f>12-2.5+2.5</f>
        <v>12</v>
      </c>
      <c r="I392" s="156"/>
    </row>
    <row r="393" spans="1:9" ht="15.75" customHeight="1" x14ac:dyDescent="0.2">
      <c r="A393" s="94">
        <v>384</v>
      </c>
      <c r="B393" s="78"/>
      <c r="C393" s="175" t="s">
        <v>1395</v>
      </c>
      <c r="D393" s="176"/>
      <c r="E393" s="177"/>
      <c r="F393" s="190" t="s">
        <v>74</v>
      </c>
      <c r="G393" s="191"/>
      <c r="H393" s="193">
        <f>1621.6-19.7-11-0.6-16-2.8-2-2.1-1.8-1.7-1.8-1.6-3-1.8-5.5-3.7-0.4-5.3-2.9-37.7-2.1-1.5-27-1.8-2.7-1.7-1.6-1.8-5.4-3.7-5.4-0.4-3.7-25-1.8-100.5-72.4-21.6-1.8-2.1-10.6-2.7-2.9-10.8-5.4-10.9-16.7-22.1-10.8-1.8-32.5-11-5.6-32.6-21.7-5.4-1.8-41.6-5.4-0.9-41-1.8-1.8-0.9-5.4-0.9-41.5-41-5.5-5.6-1.3-5.5-1.2-5.5-5.6-0.9-19.9-0.7-9.2-1.8-5.4-8.7-10.8-3.5-1.9-16.2-28.7-1.8</f>
        <v>689.00000000000034</v>
      </c>
      <c r="I393" s="194"/>
    </row>
    <row r="394" spans="1:9" x14ac:dyDescent="0.2">
      <c r="A394" s="94">
        <v>385</v>
      </c>
      <c r="B394" s="78"/>
      <c r="C394" s="145" t="s">
        <v>3556</v>
      </c>
      <c r="D394" s="146"/>
      <c r="E394" s="147"/>
      <c r="F394" s="121" t="s">
        <v>24</v>
      </c>
      <c r="G394" s="122"/>
      <c r="H394" s="155">
        <f>61.8+6.8+14.4+28.6-13-4.2-0.5-10.3-15.1-2.1</f>
        <v>66.400000000000006</v>
      </c>
      <c r="I394" s="156"/>
    </row>
    <row r="395" spans="1:9" ht="12.75" customHeight="1" x14ac:dyDescent="0.2">
      <c r="A395" s="94">
        <v>386</v>
      </c>
      <c r="B395" s="78"/>
      <c r="C395" s="145" t="s">
        <v>4958</v>
      </c>
      <c r="D395" s="146"/>
      <c r="E395" s="147"/>
      <c r="F395" s="121" t="s">
        <v>111</v>
      </c>
      <c r="G395" s="122"/>
      <c r="H395" s="155">
        <f>2.8+66-4+7.5+4.2-8-10-2.8-2.7+0.9</f>
        <v>53.9</v>
      </c>
      <c r="I395" s="156"/>
    </row>
    <row r="396" spans="1:9" ht="12.75" customHeight="1" x14ac:dyDescent="0.2">
      <c r="A396" s="94">
        <v>387</v>
      </c>
      <c r="B396" s="78" t="s">
        <v>741</v>
      </c>
      <c r="C396" s="145" t="s">
        <v>1727</v>
      </c>
      <c r="D396" s="146"/>
      <c r="E396" s="147"/>
      <c r="F396" s="121" t="s">
        <v>84</v>
      </c>
      <c r="G396" s="122"/>
      <c r="H396" s="155">
        <f>18.5+47.5-1.7-15.5-1.6-3.8-2-3.8-2</f>
        <v>35.6</v>
      </c>
      <c r="I396" s="156"/>
    </row>
    <row r="397" spans="1:9" ht="12.75" customHeight="1" x14ac:dyDescent="0.2">
      <c r="A397" s="94">
        <v>388</v>
      </c>
      <c r="B397" s="78"/>
      <c r="C397" s="145" t="s">
        <v>5194</v>
      </c>
      <c r="D397" s="146"/>
      <c r="E397" s="147"/>
      <c r="F397" s="121" t="s">
        <v>84</v>
      </c>
      <c r="G397" s="122"/>
      <c r="H397" s="155">
        <f>0.8+4.2+1.3-1.2-0.7-0.8-0.8+0.1-0.8-1.3</f>
        <v>0.7999999999999996</v>
      </c>
      <c r="I397" s="156"/>
    </row>
    <row r="398" spans="1:9" ht="12.75" customHeight="1" x14ac:dyDescent="0.2">
      <c r="A398" s="94">
        <v>389</v>
      </c>
      <c r="B398" s="78"/>
      <c r="C398" s="145" t="s">
        <v>3009</v>
      </c>
      <c r="D398" s="146"/>
      <c r="E398" s="147"/>
      <c r="F398" s="121" t="s">
        <v>84</v>
      </c>
      <c r="G398" s="122"/>
      <c r="H398" s="155">
        <v>1.5</v>
      </c>
      <c r="I398" s="156"/>
    </row>
    <row r="399" spans="1:9" ht="12.75" customHeight="1" x14ac:dyDescent="0.2">
      <c r="A399" s="94">
        <v>390</v>
      </c>
      <c r="B399" s="78"/>
      <c r="C399" s="145" t="s">
        <v>2354</v>
      </c>
      <c r="D399" s="146"/>
      <c r="E399" s="147"/>
      <c r="F399" s="121" t="s">
        <v>111</v>
      </c>
      <c r="G399" s="122"/>
      <c r="H399" s="155">
        <v>1.7</v>
      </c>
      <c r="I399" s="156"/>
    </row>
    <row r="400" spans="1:9" ht="12.75" customHeight="1" x14ac:dyDescent="0.2">
      <c r="A400" s="94">
        <v>391</v>
      </c>
      <c r="B400" s="78" t="s">
        <v>741</v>
      </c>
      <c r="C400" s="145" t="s">
        <v>1701</v>
      </c>
      <c r="D400" s="146"/>
      <c r="E400" s="147"/>
      <c r="F400" s="121" t="s">
        <v>84</v>
      </c>
      <c r="G400" s="122"/>
      <c r="H400" s="155">
        <f>33+64+77.8-22.7-0.25-1.6-2.3-3.6+2.9-1</f>
        <v>146.25000000000003</v>
      </c>
      <c r="I400" s="156"/>
    </row>
    <row r="401" spans="1:9" ht="12.75" customHeight="1" x14ac:dyDescent="0.2">
      <c r="A401" s="94">
        <v>392</v>
      </c>
      <c r="B401" s="78"/>
      <c r="C401" s="145" t="s">
        <v>4509</v>
      </c>
      <c r="D401" s="146"/>
      <c r="E401" s="147"/>
      <c r="F401" s="121" t="s">
        <v>84</v>
      </c>
      <c r="G401" s="122"/>
      <c r="H401" s="155">
        <f>1.9+0.7-1+0.1</f>
        <v>1.6999999999999997</v>
      </c>
      <c r="I401" s="156"/>
    </row>
    <row r="402" spans="1:9" ht="12.75" customHeight="1" x14ac:dyDescent="0.2">
      <c r="A402" s="94">
        <v>393</v>
      </c>
      <c r="B402" s="78"/>
      <c r="C402" s="145" t="s">
        <v>3633</v>
      </c>
      <c r="D402" s="146"/>
      <c r="E402" s="147"/>
      <c r="F402" s="121" t="s">
        <v>111</v>
      </c>
      <c r="G402" s="122"/>
      <c r="H402" s="155"/>
      <c r="I402" s="156"/>
    </row>
    <row r="403" spans="1:9" ht="12.75" customHeight="1" x14ac:dyDescent="0.2">
      <c r="A403" s="94">
        <v>394</v>
      </c>
      <c r="B403" s="78"/>
      <c r="C403" s="145" t="s">
        <v>3239</v>
      </c>
      <c r="D403" s="146"/>
      <c r="E403" s="147"/>
      <c r="F403" s="121" t="s">
        <v>1559</v>
      </c>
      <c r="G403" s="189"/>
      <c r="H403" s="155">
        <f>74.5-2.5-2.4-10+1.5-1.5-5-7.3-2.2-2.4-4.6-11.7-4.7-8.4+0.2</f>
        <v>13.499999999999995</v>
      </c>
      <c r="I403" s="156"/>
    </row>
    <row r="404" spans="1:9" x14ac:dyDescent="0.2">
      <c r="A404" s="94">
        <v>395</v>
      </c>
      <c r="B404" s="78"/>
      <c r="C404" s="145" t="s">
        <v>4212</v>
      </c>
      <c r="D404" s="146"/>
      <c r="E404" s="147"/>
      <c r="F404" s="121" t="s">
        <v>24</v>
      </c>
      <c r="G404" s="122"/>
      <c r="H404" s="155">
        <v>5.6</v>
      </c>
      <c r="I404" s="156"/>
    </row>
    <row r="405" spans="1:9" ht="12.75" customHeight="1" x14ac:dyDescent="0.2">
      <c r="A405" s="94">
        <v>396</v>
      </c>
      <c r="B405" s="78"/>
      <c r="C405" s="145" t="s">
        <v>2661</v>
      </c>
      <c r="D405" s="146"/>
      <c r="E405" s="147"/>
      <c r="F405" s="121" t="s">
        <v>24</v>
      </c>
      <c r="G405" s="122"/>
      <c r="H405" s="155">
        <f>18.5-2.6-2.6-3.5</f>
        <v>9.8000000000000007</v>
      </c>
      <c r="I405" s="156"/>
    </row>
    <row r="406" spans="1:9" x14ac:dyDescent="0.2">
      <c r="A406" s="94">
        <v>397</v>
      </c>
      <c r="B406" s="78"/>
      <c r="C406" s="145" t="s">
        <v>4405</v>
      </c>
      <c r="D406" s="146"/>
      <c r="E406" s="147"/>
      <c r="F406" s="121" t="s">
        <v>24</v>
      </c>
      <c r="G406" s="122"/>
      <c r="H406" s="155">
        <f>17.8-11.8+3.5-6+7.7+1.9-4.2-3.5</f>
        <v>5.3999999999999986</v>
      </c>
      <c r="I406" s="156"/>
    </row>
    <row r="407" spans="1:9" ht="12.75" customHeight="1" x14ac:dyDescent="0.2">
      <c r="A407" s="94">
        <v>398</v>
      </c>
      <c r="B407" s="78"/>
      <c r="C407" s="145" t="s">
        <v>2507</v>
      </c>
      <c r="D407" s="146"/>
      <c r="E407" s="147"/>
      <c r="F407" s="121" t="s">
        <v>24</v>
      </c>
      <c r="G407" s="122"/>
      <c r="H407" s="155">
        <f>32-1.4-11.6-1.4-8</f>
        <v>9.6000000000000014</v>
      </c>
      <c r="I407" s="156"/>
    </row>
    <row r="408" spans="1:9" ht="12.75" customHeight="1" x14ac:dyDescent="0.2">
      <c r="A408" s="94">
        <v>399</v>
      </c>
      <c r="B408" s="78"/>
      <c r="C408" s="145" t="s">
        <v>2705</v>
      </c>
      <c r="D408" s="146"/>
      <c r="E408" s="147"/>
      <c r="F408" s="121" t="s">
        <v>24</v>
      </c>
      <c r="G408" s="122"/>
      <c r="H408" s="155">
        <f>20.2-4.4</f>
        <v>15.799999999999999</v>
      </c>
      <c r="I408" s="156"/>
    </row>
    <row r="409" spans="1:9" ht="12.75" customHeight="1" x14ac:dyDescent="0.2">
      <c r="A409" s="94">
        <v>400</v>
      </c>
      <c r="B409" s="78" t="s">
        <v>3540</v>
      </c>
      <c r="C409" s="145" t="s">
        <v>4528</v>
      </c>
      <c r="D409" s="146"/>
      <c r="E409" s="147"/>
      <c r="F409" s="121" t="s">
        <v>24</v>
      </c>
      <c r="G409" s="122"/>
      <c r="H409" s="155">
        <f>4.1+2.9</f>
        <v>7</v>
      </c>
      <c r="I409" s="156"/>
    </row>
    <row r="410" spans="1:9" ht="12.75" customHeight="1" x14ac:dyDescent="0.2">
      <c r="A410" s="94">
        <v>401</v>
      </c>
      <c r="B410" s="78"/>
      <c r="C410" s="145" t="s">
        <v>3591</v>
      </c>
      <c r="D410" s="146"/>
      <c r="E410" s="147"/>
      <c r="F410" s="121" t="s">
        <v>84</v>
      </c>
      <c r="G410" s="122"/>
      <c r="H410" s="155">
        <f>2.3+1.1+2.1-2.3-1.2</f>
        <v>2</v>
      </c>
      <c r="I410" s="156"/>
    </row>
    <row r="411" spans="1:9" ht="12.75" customHeight="1" x14ac:dyDescent="0.2">
      <c r="A411" s="94">
        <v>402</v>
      </c>
      <c r="B411" s="78"/>
      <c r="C411" s="145" t="s">
        <v>2064</v>
      </c>
      <c r="D411" s="146"/>
      <c r="E411" s="147"/>
      <c r="F411" s="121" t="s">
        <v>84</v>
      </c>
      <c r="G411" s="122"/>
      <c r="H411" s="155">
        <v>2.7</v>
      </c>
      <c r="I411" s="156"/>
    </row>
    <row r="412" spans="1:9" ht="12.75" customHeight="1" x14ac:dyDescent="0.2">
      <c r="A412" s="94">
        <v>403</v>
      </c>
      <c r="B412" s="78"/>
      <c r="C412" s="145" t="s">
        <v>3139</v>
      </c>
      <c r="D412" s="146"/>
      <c r="E412" s="147"/>
      <c r="F412" s="121" t="s">
        <v>84</v>
      </c>
      <c r="G412" s="122"/>
      <c r="H412" s="155">
        <f>67.7-13.5</f>
        <v>54.2</v>
      </c>
      <c r="I412" s="156"/>
    </row>
    <row r="413" spans="1:9" ht="12.75" customHeight="1" x14ac:dyDescent="0.2">
      <c r="A413" s="94">
        <v>404</v>
      </c>
      <c r="B413" s="78"/>
      <c r="C413" s="145" t="s">
        <v>3349</v>
      </c>
      <c r="D413" s="146"/>
      <c r="E413" s="147"/>
      <c r="F413" s="121" t="s">
        <v>84</v>
      </c>
      <c r="G413" s="122"/>
      <c r="H413" s="155">
        <v>138.6</v>
      </c>
      <c r="I413" s="156"/>
    </row>
    <row r="414" spans="1:9" ht="12.75" customHeight="1" x14ac:dyDescent="0.2">
      <c r="A414" s="94">
        <v>405</v>
      </c>
      <c r="B414" s="78"/>
      <c r="C414" s="145" t="s">
        <v>3140</v>
      </c>
      <c r="D414" s="146"/>
      <c r="E414" s="147"/>
      <c r="F414" s="121" t="s">
        <v>84</v>
      </c>
      <c r="G414" s="122"/>
      <c r="H414" s="155">
        <f>42+15.5-30+2.1-27.5</f>
        <v>2.1000000000000014</v>
      </c>
      <c r="I414" s="156"/>
    </row>
    <row r="415" spans="1:9" ht="12.75" customHeight="1" x14ac:dyDescent="0.2">
      <c r="A415" s="94">
        <v>406</v>
      </c>
      <c r="B415" s="78"/>
      <c r="C415" s="145" t="s">
        <v>3010</v>
      </c>
      <c r="D415" s="146"/>
      <c r="E415" s="147"/>
      <c r="F415" s="121" t="s">
        <v>84</v>
      </c>
      <c r="G415" s="122"/>
      <c r="H415" s="155">
        <v>6.3</v>
      </c>
      <c r="I415" s="156"/>
    </row>
    <row r="416" spans="1:9" ht="12.75" customHeight="1" x14ac:dyDescent="0.2">
      <c r="A416" s="94">
        <v>407</v>
      </c>
      <c r="B416" s="78" t="s">
        <v>741</v>
      </c>
      <c r="C416" s="145" t="s">
        <v>3350</v>
      </c>
      <c r="D416" s="146"/>
      <c r="E416" s="147"/>
      <c r="F416" s="121" t="s">
        <v>2696</v>
      </c>
      <c r="G416" s="122"/>
      <c r="H416" s="155">
        <v>20.8</v>
      </c>
      <c r="I416" s="156"/>
    </row>
    <row r="417" spans="1:9" ht="12.75" customHeight="1" x14ac:dyDescent="0.2">
      <c r="A417" s="94">
        <v>408</v>
      </c>
      <c r="B417" s="78"/>
      <c r="C417" s="145" t="s">
        <v>1941</v>
      </c>
      <c r="D417" s="146"/>
      <c r="E417" s="147"/>
      <c r="F417" s="121" t="s">
        <v>24</v>
      </c>
      <c r="G417" s="122"/>
      <c r="H417" s="155">
        <v>39.1</v>
      </c>
      <c r="I417" s="156"/>
    </row>
    <row r="418" spans="1:9" ht="12.75" customHeight="1" x14ac:dyDescent="0.2">
      <c r="A418" s="94">
        <v>409</v>
      </c>
      <c r="B418" s="78"/>
      <c r="C418" s="145" t="s">
        <v>1942</v>
      </c>
      <c r="D418" s="146"/>
      <c r="E418" s="147"/>
      <c r="F418" s="121" t="s">
        <v>24</v>
      </c>
      <c r="G418" s="122"/>
      <c r="H418" s="155">
        <v>38</v>
      </c>
      <c r="I418" s="156"/>
    </row>
    <row r="419" spans="1:9" ht="12.75" customHeight="1" x14ac:dyDescent="0.2">
      <c r="A419" s="94">
        <v>410</v>
      </c>
      <c r="B419" s="78" t="s">
        <v>3540</v>
      </c>
      <c r="C419" s="145" t="s">
        <v>3991</v>
      </c>
      <c r="D419" s="146"/>
      <c r="E419" s="147"/>
      <c r="F419" s="121" t="s">
        <v>24</v>
      </c>
      <c r="G419" s="122"/>
      <c r="H419" s="155">
        <v>7.1</v>
      </c>
      <c r="I419" s="156"/>
    </row>
    <row r="420" spans="1:9" ht="12.75" customHeight="1" x14ac:dyDescent="0.2">
      <c r="A420" s="94">
        <v>411</v>
      </c>
      <c r="B420" s="78"/>
      <c r="C420" s="145" t="s">
        <v>2163</v>
      </c>
      <c r="D420" s="146"/>
      <c r="E420" s="147"/>
      <c r="F420" s="121" t="s">
        <v>24</v>
      </c>
      <c r="G420" s="122"/>
      <c r="H420" s="155">
        <v>1.2</v>
      </c>
      <c r="I420" s="156"/>
    </row>
    <row r="421" spans="1:9" ht="12.75" customHeight="1" x14ac:dyDescent="0.2">
      <c r="A421" s="94">
        <v>412</v>
      </c>
      <c r="B421" s="78"/>
      <c r="C421" s="145" t="s">
        <v>5371</v>
      </c>
      <c r="D421" s="146"/>
      <c r="E421" s="147"/>
      <c r="F421" s="121" t="s">
        <v>111</v>
      </c>
      <c r="G421" s="122"/>
      <c r="H421" s="155">
        <f>249.5+21-50-9.8-3.2-1-6.4-1.7-1.7-1.7+30.4-9.5-5-0.7-3.2-4.8</f>
        <v>202.20000000000005</v>
      </c>
      <c r="I421" s="156"/>
    </row>
    <row r="422" spans="1:9" ht="12.75" customHeight="1" x14ac:dyDescent="0.2">
      <c r="A422" s="94">
        <v>413</v>
      </c>
      <c r="B422" s="78"/>
      <c r="C422" s="145" t="s">
        <v>2674</v>
      </c>
      <c r="D422" s="146"/>
      <c r="E422" s="147"/>
      <c r="F422" s="121" t="s">
        <v>84</v>
      </c>
      <c r="G422" s="122"/>
      <c r="H422" s="155">
        <f>1.2+2.7-0.9+2.7</f>
        <v>5.7000000000000011</v>
      </c>
      <c r="I422" s="156"/>
    </row>
    <row r="423" spans="1:9" ht="12.75" customHeight="1" x14ac:dyDescent="0.2">
      <c r="A423" s="94">
        <v>414</v>
      </c>
      <c r="B423" s="78" t="s">
        <v>3540</v>
      </c>
      <c r="C423" s="145" t="s">
        <v>4740</v>
      </c>
      <c r="D423" s="146"/>
      <c r="E423" s="147"/>
      <c r="F423" s="121" t="s">
        <v>90</v>
      </c>
      <c r="G423" s="122"/>
      <c r="H423" s="155">
        <v>1.7</v>
      </c>
      <c r="I423" s="156"/>
    </row>
    <row r="424" spans="1:9" ht="12.75" customHeight="1" x14ac:dyDescent="0.2">
      <c r="A424" s="94">
        <v>415</v>
      </c>
      <c r="B424" s="78"/>
      <c r="C424" s="145" t="s">
        <v>2476</v>
      </c>
      <c r="D424" s="146"/>
      <c r="E424" s="147"/>
      <c r="F424" s="121" t="s">
        <v>431</v>
      </c>
      <c r="G424" s="122"/>
      <c r="H424" s="155">
        <v>10.3</v>
      </c>
      <c r="I424" s="156"/>
    </row>
    <row r="425" spans="1:9" ht="12.75" customHeight="1" x14ac:dyDescent="0.2">
      <c r="A425" s="94">
        <v>416</v>
      </c>
      <c r="B425" s="78"/>
      <c r="C425" s="145" t="s">
        <v>2761</v>
      </c>
      <c r="D425" s="146"/>
      <c r="E425" s="147"/>
      <c r="F425" s="121" t="s">
        <v>431</v>
      </c>
      <c r="G425" s="122"/>
      <c r="H425" s="155">
        <v>33.799999999999997</v>
      </c>
      <c r="I425" s="156"/>
    </row>
    <row r="426" spans="1:9" ht="12.75" customHeight="1" x14ac:dyDescent="0.2">
      <c r="A426" s="94">
        <v>417</v>
      </c>
      <c r="B426" s="78"/>
      <c r="C426" s="145" t="s">
        <v>3420</v>
      </c>
      <c r="D426" s="146"/>
      <c r="E426" s="147"/>
      <c r="F426" s="121" t="s">
        <v>24</v>
      </c>
      <c r="G426" s="122"/>
      <c r="H426" s="155">
        <f>17.3-4.1</f>
        <v>13.200000000000001</v>
      </c>
      <c r="I426" s="156"/>
    </row>
    <row r="427" spans="1:9" ht="12.75" customHeight="1" x14ac:dyDescent="0.2">
      <c r="A427" s="94">
        <v>418</v>
      </c>
      <c r="B427" s="78"/>
      <c r="C427" s="145" t="s">
        <v>3421</v>
      </c>
      <c r="D427" s="146"/>
      <c r="E427" s="147"/>
      <c r="F427" s="121" t="s">
        <v>24</v>
      </c>
      <c r="G427" s="122"/>
      <c r="H427" s="155">
        <f>33-6.8</f>
        <v>26.2</v>
      </c>
      <c r="I427" s="156"/>
    </row>
    <row r="428" spans="1:9" ht="12.75" customHeight="1" x14ac:dyDescent="0.2">
      <c r="A428" s="94">
        <v>419</v>
      </c>
      <c r="B428" s="78"/>
      <c r="C428" s="145" t="s">
        <v>1530</v>
      </c>
      <c r="D428" s="146"/>
      <c r="E428" s="147"/>
      <c r="F428" s="121" t="s">
        <v>1559</v>
      </c>
      <c r="G428" s="189"/>
      <c r="H428" s="155">
        <v>0.9</v>
      </c>
      <c r="I428" s="156"/>
    </row>
    <row r="429" spans="1:9" ht="12.75" customHeight="1" x14ac:dyDescent="0.2">
      <c r="A429" s="94">
        <v>420</v>
      </c>
      <c r="B429" s="78"/>
      <c r="C429" s="145" t="s">
        <v>4994</v>
      </c>
      <c r="D429" s="146"/>
      <c r="E429" s="147"/>
      <c r="F429" s="121" t="s">
        <v>111</v>
      </c>
      <c r="G429" s="122"/>
      <c r="H429" s="155">
        <f>4.6+9.5-2+8.9-2.1-4.6+5.4-7.5+0.1-2.3</f>
        <v>10</v>
      </c>
      <c r="I429" s="156"/>
    </row>
    <row r="430" spans="1:9" ht="12.75" customHeight="1" x14ac:dyDescent="0.2">
      <c r="A430" s="94">
        <v>421</v>
      </c>
      <c r="B430" s="78" t="s">
        <v>741</v>
      </c>
      <c r="C430" s="145" t="s">
        <v>2560</v>
      </c>
      <c r="D430" s="146"/>
      <c r="E430" s="147"/>
      <c r="F430" s="121" t="s">
        <v>111</v>
      </c>
      <c r="G430" s="122"/>
      <c r="H430" s="155">
        <f>9.7-5</f>
        <v>4.6999999999999993</v>
      </c>
      <c r="I430" s="156"/>
    </row>
    <row r="431" spans="1:9" ht="12.75" customHeight="1" x14ac:dyDescent="0.2">
      <c r="A431" s="94">
        <v>422</v>
      </c>
      <c r="B431" s="78"/>
      <c r="C431" s="145" t="s">
        <v>1825</v>
      </c>
      <c r="D431" s="146"/>
      <c r="E431" s="147"/>
      <c r="F431" s="121" t="s">
        <v>111</v>
      </c>
      <c r="G431" s="122"/>
      <c r="H431" s="155">
        <v>7.6</v>
      </c>
      <c r="I431" s="156"/>
    </row>
    <row r="432" spans="1:9" ht="12.75" customHeight="1" x14ac:dyDescent="0.2">
      <c r="A432" s="94">
        <v>423</v>
      </c>
      <c r="B432" s="78"/>
      <c r="C432" s="145" t="s">
        <v>3740</v>
      </c>
      <c r="D432" s="146"/>
      <c r="E432" s="147"/>
      <c r="F432" s="121" t="s">
        <v>24</v>
      </c>
      <c r="G432" s="122"/>
      <c r="H432" s="155">
        <f>28.4-6.4-0.3</f>
        <v>21.7</v>
      </c>
      <c r="I432" s="156"/>
    </row>
    <row r="433" spans="1:9" ht="12.75" customHeight="1" x14ac:dyDescent="0.2">
      <c r="A433" s="94">
        <v>424</v>
      </c>
      <c r="B433" s="78"/>
      <c r="C433" s="145" t="s">
        <v>3269</v>
      </c>
      <c r="D433" s="146"/>
      <c r="E433" s="147"/>
      <c r="F433" s="121" t="s">
        <v>24</v>
      </c>
      <c r="G433" s="122"/>
      <c r="H433" s="155">
        <f>33.2-4.9</f>
        <v>28.300000000000004</v>
      </c>
      <c r="I433" s="156"/>
    </row>
    <row r="434" spans="1:9" ht="12.75" customHeight="1" x14ac:dyDescent="0.2">
      <c r="A434" s="94">
        <v>425</v>
      </c>
      <c r="B434" s="78"/>
      <c r="C434" s="145" t="s">
        <v>2557</v>
      </c>
      <c r="D434" s="146"/>
      <c r="E434" s="147"/>
      <c r="F434" s="121" t="s">
        <v>24</v>
      </c>
      <c r="G434" s="122"/>
      <c r="H434" s="155">
        <f>39-8.4</f>
        <v>30.6</v>
      </c>
      <c r="I434" s="156"/>
    </row>
    <row r="435" spans="1:9" ht="12.75" customHeight="1" x14ac:dyDescent="0.2">
      <c r="A435" s="94">
        <v>426</v>
      </c>
      <c r="B435" s="78"/>
      <c r="C435" s="145" t="s">
        <v>5301</v>
      </c>
      <c r="D435" s="146"/>
      <c r="E435" s="147"/>
      <c r="F435" s="121" t="s">
        <v>24</v>
      </c>
      <c r="G435" s="122"/>
      <c r="H435" s="155">
        <f>64.6-2.6-12.4-6.2+4+17+9.5-2.5+12.6-2.1-12.3-6.2+6.2-4.2-4-3-1.6-4.1-2.6-1.7-4.1-2.8-2.9-9-1.1-9-12.4+0.9-4.2+2.2-0.9</f>
        <v>5.0999999999999854</v>
      </c>
      <c r="I435" s="156"/>
    </row>
    <row r="436" spans="1:9" ht="12.75" customHeight="1" x14ac:dyDescent="0.2">
      <c r="A436" s="94">
        <v>427</v>
      </c>
      <c r="B436" s="78" t="s">
        <v>3540</v>
      </c>
      <c r="C436" s="145" t="s">
        <v>4965</v>
      </c>
      <c r="D436" s="146"/>
      <c r="E436" s="147"/>
      <c r="F436" s="121" t="s">
        <v>24</v>
      </c>
      <c r="G436" s="122"/>
      <c r="H436" s="155">
        <f>5.9-4.3</f>
        <v>1.6000000000000005</v>
      </c>
      <c r="I436" s="156"/>
    </row>
    <row r="437" spans="1:9" ht="12.75" customHeight="1" x14ac:dyDescent="0.2">
      <c r="A437" s="94">
        <v>428</v>
      </c>
      <c r="B437" s="78"/>
      <c r="C437" s="145" t="s">
        <v>1910</v>
      </c>
      <c r="D437" s="146"/>
      <c r="E437" s="147"/>
      <c r="F437" s="121" t="s">
        <v>24</v>
      </c>
      <c r="G437" s="122"/>
      <c r="H437" s="155">
        <f>5.6-2.6</f>
        <v>2.9999999999999996</v>
      </c>
      <c r="I437" s="156"/>
    </row>
    <row r="438" spans="1:9" ht="12.75" customHeight="1" x14ac:dyDescent="0.2">
      <c r="A438" s="94">
        <v>429</v>
      </c>
      <c r="B438" s="78"/>
      <c r="C438" s="145" t="s">
        <v>3404</v>
      </c>
      <c r="D438" s="146"/>
      <c r="E438" s="147"/>
      <c r="F438" s="121" t="s">
        <v>84</v>
      </c>
      <c r="G438" s="122"/>
      <c r="H438" s="155">
        <f>32-3.6-1.8-3.6-1.3-6.2-3.6+89.4-10.4+10.7+118.5-20-3.7-12.1-3.3</f>
        <v>181</v>
      </c>
      <c r="I438" s="156"/>
    </row>
    <row r="439" spans="1:9" ht="12.75" customHeight="1" x14ac:dyDescent="0.2">
      <c r="A439" s="94">
        <v>430</v>
      </c>
      <c r="B439" s="78"/>
      <c r="C439" s="145" t="s">
        <v>3090</v>
      </c>
      <c r="D439" s="146"/>
      <c r="E439" s="147"/>
      <c r="F439" s="121" t="s">
        <v>84</v>
      </c>
      <c r="G439" s="122"/>
      <c r="H439" s="155">
        <f>3.4-0.2</f>
        <v>3.1999999999999997</v>
      </c>
      <c r="I439" s="156"/>
    </row>
    <row r="440" spans="1:9" ht="12.75" customHeight="1" x14ac:dyDescent="0.2">
      <c r="A440" s="94">
        <v>431</v>
      </c>
      <c r="B440" s="78" t="s">
        <v>3557</v>
      </c>
      <c r="C440" s="145" t="s">
        <v>4542</v>
      </c>
      <c r="D440" s="146"/>
      <c r="E440" s="147"/>
      <c r="F440" s="121" t="s">
        <v>84</v>
      </c>
      <c r="G440" s="122"/>
      <c r="H440" s="155">
        <v>10.199999999999999</v>
      </c>
      <c r="I440" s="156"/>
    </row>
    <row r="441" spans="1:9" ht="12.75" customHeight="1" x14ac:dyDescent="0.2">
      <c r="A441" s="94">
        <v>432</v>
      </c>
      <c r="B441" s="78" t="s">
        <v>3540</v>
      </c>
      <c r="C441" s="145" t="s">
        <v>4741</v>
      </c>
      <c r="D441" s="146"/>
      <c r="E441" s="147"/>
      <c r="F441" s="121" t="s">
        <v>90</v>
      </c>
      <c r="G441" s="122"/>
      <c r="H441" s="155">
        <v>1.1000000000000001</v>
      </c>
      <c r="I441" s="156"/>
    </row>
    <row r="442" spans="1:9" ht="12.75" customHeight="1" x14ac:dyDescent="0.2">
      <c r="A442" s="94">
        <v>433</v>
      </c>
      <c r="B442" s="78"/>
      <c r="C442" s="145" t="s">
        <v>2050</v>
      </c>
      <c r="D442" s="146"/>
      <c r="E442" s="147"/>
      <c r="F442" s="121" t="s">
        <v>431</v>
      </c>
      <c r="G442" s="122"/>
      <c r="H442" s="155">
        <v>0.7</v>
      </c>
      <c r="I442" s="156"/>
    </row>
    <row r="443" spans="1:9" ht="12.75" customHeight="1" x14ac:dyDescent="0.2">
      <c r="A443" s="94">
        <v>434</v>
      </c>
      <c r="B443" s="78" t="s">
        <v>3540</v>
      </c>
      <c r="C443" s="145" t="s">
        <v>3968</v>
      </c>
      <c r="D443" s="146"/>
      <c r="E443" s="147"/>
      <c r="F443" s="121" t="s">
        <v>84</v>
      </c>
      <c r="G443" s="122"/>
      <c r="H443" s="155">
        <f>3.9+1.2-1.2-1.2</f>
        <v>2.6999999999999993</v>
      </c>
      <c r="I443" s="156"/>
    </row>
    <row r="444" spans="1:9" ht="12.75" customHeight="1" x14ac:dyDescent="0.2">
      <c r="A444" s="94">
        <v>435</v>
      </c>
      <c r="B444" s="78"/>
      <c r="C444" s="145" t="s">
        <v>3087</v>
      </c>
      <c r="D444" s="146"/>
      <c r="E444" s="147"/>
      <c r="F444" s="121" t="s">
        <v>1559</v>
      </c>
      <c r="G444" s="189"/>
      <c r="H444" s="155">
        <f>150.7-2.7-11.7-1.2-7.8-0.6</f>
        <v>126.70000000000003</v>
      </c>
      <c r="I444" s="156"/>
    </row>
    <row r="445" spans="1:9" ht="12.75" customHeight="1" x14ac:dyDescent="0.2">
      <c r="A445" s="94">
        <v>436</v>
      </c>
      <c r="B445" s="78"/>
      <c r="C445" s="145" t="s">
        <v>3011</v>
      </c>
      <c r="D445" s="146"/>
      <c r="E445" s="147"/>
      <c r="F445" s="121" t="s">
        <v>84</v>
      </c>
      <c r="G445" s="122"/>
      <c r="H445" s="155">
        <v>13.9</v>
      </c>
      <c r="I445" s="156"/>
    </row>
    <row r="446" spans="1:9" ht="12.75" customHeight="1" x14ac:dyDescent="0.2">
      <c r="A446" s="94">
        <v>437</v>
      </c>
      <c r="B446" s="78" t="s">
        <v>3540</v>
      </c>
      <c r="C446" s="145" t="s">
        <v>5361</v>
      </c>
      <c r="D446" s="146"/>
      <c r="E446" s="147"/>
      <c r="F446" s="121" t="s">
        <v>90</v>
      </c>
      <c r="G446" s="122"/>
      <c r="H446" s="155">
        <f>3+1-3</f>
        <v>1</v>
      </c>
      <c r="I446" s="156"/>
    </row>
    <row r="447" spans="1:9" ht="12.75" customHeight="1" x14ac:dyDescent="0.2">
      <c r="A447" s="94">
        <v>438</v>
      </c>
      <c r="B447" s="78"/>
      <c r="C447" s="145" t="s">
        <v>3112</v>
      </c>
      <c r="D447" s="146"/>
      <c r="E447" s="147"/>
      <c r="F447" s="121" t="s">
        <v>84</v>
      </c>
      <c r="G447" s="122"/>
      <c r="H447" s="155">
        <v>2.2999999999999998</v>
      </c>
      <c r="I447" s="156"/>
    </row>
    <row r="448" spans="1:9" ht="12.75" customHeight="1" x14ac:dyDescent="0.2">
      <c r="A448" s="94">
        <v>439</v>
      </c>
      <c r="B448" s="78"/>
      <c r="C448" s="145" t="s">
        <v>2888</v>
      </c>
      <c r="D448" s="146"/>
      <c r="E448" s="147"/>
      <c r="F448" s="121" t="s">
        <v>84</v>
      </c>
      <c r="G448" s="122"/>
      <c r="H448" s="155">
        <f>5.6+45+8.1+6.8+6.8+1.5+5.5+15.8+10.2+1.7-5.5+1.9-1.5-1.9+2.8-26-55.2+1.2-20+0.1+1.4-3.6+2.7-2.7+3.6-3.6</f>
        <v>0.69999999999999352</v>
      </c>
      <c r="I448" s="156"/>
    </row>
    <row r="449" spans="1:9" ht="12.75" customHeight="1" x14ac:dyDescent="0.2">
      <c r="A449" s="94">
        <v>440</v>
      </c>
      <c r="B449" s="78"/>
      <c r="C449" s="145" t="s">
        <v>5360</v>
      </c>
      <c r="D449" s="146"/>
      <c r="E449" s="147"/>
      <c r="F449" s="121" t="s">
        <v>84</v>
      </c>
      <c r="G449" s="122"/>
      <c r="H449" s="155">
        <f>14-3.5-3.6+2.1-3.6-2.1</f>
        <v>3.3000000000000003</v>
      </c>
      <c r="I449" s="156"/>
    </row>
    <row r="450" spans="1:9" ht="12.75" customHeight="1" x14ac:dyDescent="0.2">
      <c r="A450" s="94">
        <v>441</v>
      </c>
      <c r="B450" s="78" t="s">
        <v>3540</v>
      </c>
      <c r="C450" s="145" t="s">
        <v>4738</v>
      </c>
      <c r="D450" s="146"/>
      <c r="E450" s="147"/>
      <c r="F450" s="121" t="s">
        <v>90</v>
      </c>
      <c r="G450" s="122"/>
      <c r="H450" s="155">
        <f>1.5+1.3</f>
        <v>2.8</v>
      </c>
      <c r="I450" s="156"/>
    </row>
    <row r="451" spans="1:9" ht="12.75" customHeight="1" x14ac:dyDescent="0.2">
      <c r="A451" s="94">
        <v>442</v>
      </c>
      <c r="B451" s="78" t="s">
        <v>3540</v>
      </c>
      <c r="C451" s="145" t="s">
        <v>4912</v>
      </c>
      <c r="D451" s="146"/>
      <c r="E451" s="147"/>
      <c r="F451" s="121" t="s">
        <v>18</v>
      </c>
      <c r="G451" s="122"/>
      <c r="H451" s="155">
        <f>1.7+3.6+3.3-6.6-1</f>
        <v>1</v>
      </c>
      <c r="I451" s="156"/>
    </row>
    <row r="452" spans="1:9" ht="12.75" customHeight="1" x14ac:dyDescent="0.2">
      <c r="A452" s="94">
        <v>443</v>
      </c>
      <c r="B452" s="78"/>
      <c r="C452" s="145" t="s">
        <v>5259</v>
      </c>
      <c r="D452" s="146"/>
      <c r="E452" s="147"/>
      <c r="F452" s="121" t="s">
        <v>111</v>
      </c>
      <c r="G452" s="122"/>
      <c r="H452" s="155">
        <f>16.2+1.6-3.3+2.5-6.3-3.9+1.8-6.1</f>
        <v>2.5</v>
      </c>
      <c r="I452" s="156"/>
    </row>
    <row r="453" spans="1:9" ht="12.75" customHeight="1" x14ac:dyDescent="0.2">
      <c r="A453" s="94">
        <v>444</v>
      </c>
      <c r="B453" s="78"/>
      <c r="C453" s="145" t="s">
        <v>2090</v>
      </c>
      <c r="D453" s="146"/>
      <c r="E453" s="147"/>
      <c r="F453" s="121" t="s">
        <v>1559</v>
      </c>
      <c r="G453" s="189"/>
      <c r="H453" s="155">
        <f>17.3-6.1-3.9</f>
        <v>7.3000000000000007</v>
      </c>
      <c r="I453" s="156"/>
    </row>
    <row r="454" spans="1:9" ht="12.75" customHeight="1" x14ac:dyDescent="0.2">
      <c r="A454" s="94">
        <v>445</v>
      </c>
      <c r="B454" s="78"/>
      <c r="C454" s="145" t="s">
        <v>3513</v>
      </c>
      <c r="D454" s="146"/>
      <c r="E454" s="147"/>
      <c r="F454" s="121" t="s">
        <v>84</v>
      </c>
      <c r="G454" s="122"/>
      <c r="H454" s="155">
        <f>8-1.9</f>
        <v>6.1</v>
      </c>
      <c r="I454" s="156"/>
    </row>
    <row r="455" spans="1:9" ht="12.75" customHeight="1" x14ac:dyDescent="0.2">
      <c r="A455" s="94">
        <v>446</v>
      </c>
      <c r="B455" s="78"/>
      <c r="C455" s="145" t="s">
        <v>2229</v>
      </c>
      <c r="D455" s="146"/>
      <c r="E455" s="147"/>
      <c r="F455" s="121" t="s">
        <v>111</v>
      </c>
      <c r="G455" s="122"/>
      <c r="H455" s="155">
        <v>5.3</v>
      </c>
      <c r="I455" s="156"/>
    </row>
    <row r="456" spans="1:9" ht="12.75" customHeight="1" x14ac:dyDescent="0.2">
      <c r="A456" s="94">
        <v>447</v>
      </c>
      <c r="B456" s="78"/>
      <c r="C456" s="145" t="s">
        <v>3348</v>
      </c>
      <c r="D456" s="146"/>
      <c r="E456" s="147"/>
      <c r="F456" s="121" t="s">
        <v>84</v>
      </c>
      <c r="G456" s="122"/>
      <c r="H456" s="155">
        <f>4.9-3.7+5+1.5+1.8</f>
        <v>9.5</v>
      </c>
      <c r="I456" s="156"/>
    </row>
    <row r="457" spans="1:9" ht="12.75" customHeight="1" x14ac:dyDescent="0.2">
      <c r="A457" s="94">
        <v>448</v>
      </c>
      <c r="B457" s="78" t="s">
        <v>3540</v>
      </c>
      <c r="C457" s="145" t="s">
        <v>4739</v>
      </c>
      <c r="D457" s="146"/>
      <c r="E457" s="147"/>
      <c r="F457" s="121" t="s">
        <v>90</v>
      </c>
      <c r="G457" s="122"/>
      <c r="H457" s="155">
        <f>6.8+1.2</f>
        <v>8</v>
      </c>
      <c r="I457" s="156"/>
    </row>
    <row r="458" spans="1:9" ht="12.75" customHeight="1" x14ac:dyDescent="0.2">
      <c r="A458" s="94">
        <v>449</v>
      </c>
      <c r="B458" s="78" t="s">
        <v>3540</v>
      </c>
      <c r="C458" s="145" t="s">
        <v>4446</v>
      </c>
      <c r="D458" s="146"/>
      <c r="E458" s="147"/>
      <c r="F458" s="121" t="s">
        <v>90</v>
      </c>
      <c r="G458" s="122"/>
      <c r="H458" s="155">
        <v>6.5</v>
      </c>
      <c r="I458" s="156"/>
    </row>
    <row r="459" spans="1:9" ht="12.75" customHeight="1" x14ac:dyDescent="0.2">
      <c r="A459" s="94">
        <v>450</v>
      </c>
      <c r="B459" s="78"/>
      <c r="C459" s="145" t="s">
        <v>1227</v>
      </c>
      <c r="D459" s="146"/>
      <c r="E459" s="147"/>
      <c r="F459" s="121" t="s">
        <v>431</v>
      </c>
      <c r="G459" s="122"/>
      <c r="H459" s="155">
        <v>10.5</v>
      </c>
      <c r="I459" s="156"/>
    </row>
    <row r="460" spans="1:9" ht="12.75" customHeight="1" x14ac:dyDescent="0.2">
      <c r="A460" s="94">
        <v>451</v>
      </c>
      <c r="B460" s="78"/>
      <c r="C460" s="145" t="s">
        <v>2079</v>
      </c>
      <c r="D460" s="146"/>
      <c r="E460" s="147"/>
      <c r="F460" s="121" t="s">
        <v>431</v>
      </c>
      <c r="G460" s="122"/>
      <c r="H460" s="155">
        <v>2.1</v>
      </c>
      <c r="I460" s="156"/>
    </row>
    <row r="461" spans="1:9" ht="12.75" customHeight="1" x14ac:dyDescent="0.2">
      <c r="A461" s="94">
        <v>452</v>
      </c>
      <c r="B461" s="78"/>
      <c r="C461" s="145" t="s">
        <v>2355</v>
      </c>
      <c r="D461" s="146"/>
      <c r="E461" s="147"/>
      <c r="F461" s="121" t="s">
        <v>431</v>
      </c>
      <c r="G461" s="122"/>
      <c r="H461" s="155">
        <v>6.7</v>
      </c>
      <c r="I461" s="156"/>
    </row>
    <row r="462" spans="1:9" ht="12.75" customHeight="1" x14ac:dyDescent="0.2">
      <c r="A462" s="94">
        <v>453</v>
      </c>
      <c r="B462" s="78"/>
      <c r="C462" s="145" t="s">
        <v>2477</v>
      </c>
      <c r="D462" s="146"/>
      <c r="E462" s="147"/>
      <c r="F462" s="121" t="s">
        <v>431</v>
      </c>
      <c r="G462" s="122"/>
      <c r="H462" s="155">
        <v>8.4</v>
      </c>
      <c r="I462" s="156"/>
    </row>
    <row r="463" spans="1:9" ht="12.75" customHeight="1" x14ac:dyDescent="0.2">
      <c r="A463" s="94">
        <v>454</v>
      </c>
      <c r="B463" s="78"/>
      <c r="C463" s="145" t="s">
        <v>5262</v>
      </c>
      <c r="D463" s="146"/>
      <c r="E463" s="147"/>
      <c r="F463" s="121" t="s">
        <v>90</v>
      </c>
      <c r="G463" s="122"/>
      <c r="H463" s="155">
        <f>5.9-2.9+1.1-3</f>
        <v>1.1000000000000005</v>
      </c>
      <c r="I463" s="156"/>
    </row>
    <row r="464" spans="1:9" ht="12.75" customHeight="1" x14ac:dyDescent="0.2">
      <c r="A464" s="94">
        <v>455</v>
      </c>
      <c r="B464" s="78" t="s">
        <v>3540</v>
      </c>
      <c r="C464" s="145" t="s">
        <v>4763</v>
      </c>
      <c r="D464" s="146"/>
      <c r="E464" s="147"/>
      <c r="F464" s="121" t="s">
        <v>84</v>
      </c>
      <c r="G464" s="122"/>
      <c r="H464" s="155">
        <f>1.4+1.3</f>
        <v>2.7</v>
      </c>
      <c r="I464" s="156"/>
    </row>
    <row r="465" spans="1:9" ht="12.75" customHeight="1" x14ac:dyDescent="0.2">
      <c r="A465" s="94">
        <v>456</v>
      </c>
      <c r="B465" s="78"/>
      <c r="C465" s="145" t="s">
        <v>2125</v>
      </c>
      <c r="D465" s="146"/>
      <c r="E465" s="147"/>
      <c r="F465" s="121" t="s">
        <v>18</v>
      </c>
      <c r="G465" s="122"/>
      <c r="H465" s="155">
        <v>1.8</v>
      </c>
      <c r="I465" s="156"/>
    </row>
    <row r="466" spans="1:9" ht="12.75" customHeight="1" x14ac:dyDescent="0.2">
      <c r="A466" s="94">
        <v>457</v>
      </c>
      <c r="B466" s="78" t="s">
        <v>3540</v>
      </c>
      <c r="C466" s="145" t="s">
        <v>4686</v>
      </c>
      <c r="D466" s="146"/>
      <c r="E466" s="147"/>
      <c r="F466" s="121" t="s">
        <v>18</v>
      </c>
      <c r="G466" s="122"/>
      <c r="H466" s="155">
        <f>8.1+4.6</f>
        <v>12.7</v>
      </c>
      <c r="I466" s="156"/>
    </row>
    <row r="467" spans="1:9" ht="12.75" customHeight="1" x14ac:dyDescent="0.2">
      <c r="A467" s="94">
        <v>458</v>
      </c>
      <c r="B467" s="78"/>
      <c r="C467" s="145" t="s">
        <v>2437</v>
      </c>
      <c r="D467" s="146"/>
      <c r="E467" s="147"/>
      <c r="F467" s="121" t="s">
        <v>273</v>
      </c>
      <c r="G467" s="122"/>
      <c r="H467" s="155">
        <v>1.1000000000000001</v>
      </c>
      <c r="I467" s="156"/>
    </row>
    <row r="468" spans="1:9" ht="12.75" customHeight="1" x14ac:dyDescent="0.2">
      <c r="A468" s="94">
        <v>459</v>
      </c>
      <c r="B468" s="78" t="s">
        <v>3540</v>
      </c>
      <c r="C468" s="145" t="s">
        <v>4940</v>
      </c>
      <c r="D468" s="146"/>
      <c r="E468" s="147"/>
      <c r="F468" s="121" t="s">
        <v>18</v>
      </c>
      <c r="G468" s="122"/>
      <c r="H468" s="155">
        <v>3.8</v>
      </c>
      <c r="I468" s="156"/>
    </row>
    <row r="469" spans="1:9" ht="12.75" customHeight="1" x14ac:dyDescent="0.2">
      <c r="A469" s="94">
        <v>460</v>
      </c>
      <c r="B469" s="78"/>
      <c r="C469" s="145" t="s">
        <v>4662</v>
      </c>
      <c r="D469" s="146"/>
      <c r="E469" s="147"/>
      <c r="F469" s="121" t="s">
        <v>18</v>
      </c>
      <c r="G469" s="122"/>
      <c r="H469" s="155">
        <v>9</v>
      </c>
      <c r="I469" s="156"/>
    </row>
    <row r="470" spans="1:9" ht="12.75" customHeight="1" x14ac:dyDescent="0.2">
      <c r="A470" s="94">
        <v>461</v>
      </c>
      <c r="B470" s="78" t="s">
        <v>741</v>
      </c>
      <c r="C470" s="145" t="s">
        <v>3295</v>
      </c>
      <c r="D470" s="146"/>
      <c r="E470" s="147"/>
      <c r="F470" s="121" t="s">
        <v>18</v>
      </c>
      <c r="G470" s="122"/>
      <c r="H470" s="155">
        <f>44.5-27.9-6.3</f>
        <v>10.3</v>
      </c>
      <c r="I470" s="156"/>
    </row>
    <row r="471" spans="1:9" ht="12.75" customHeight="1" x14ac:dyDescent="0.2">
      <c r="A471" s="94">
        <v>462</v>
      </c>
      <c r="B471" s="78" t="s">
        <v>741</v>
      </c>
      <c r="C471" s="145" t="s">
        <v>3880</v>
      </c>
      <c r="D471" s="146"/>
      <c r="E471" s="147"/>
      <c r="F471" s="121" t="s">
        <v>18</v>
      </c>
      <c r="G471" s="122"/>
      <c r="H471" s="155">
        <f>41.6+95.5-32.3-31.8+2.7+2.3</f>
        <v>78</v>
      </c>
      <c r="I471" s="156"/>
    </row>
    <row r="472" spans="1:9" ht="12.75" customHeight="1" x14ac:dyDescent="0.2">
      <c r="A472" s="94">
        <v>463</v>
      </c>
      <c r="B472" s="78" t="s">
        <v>741</v>
      </c>
      <c r="C472" s="145" t="s">
        <v>3605</v>
      </c>
      <c r="D472" s="146"/>
      <c r="E472" s="147"/>
      <c r="F472" s="121" t="s">
        <v>18</v>
      </c>
      <c r="G472" s="122"/>
      <c r="H472" s="155">
        <f>44.3-31+2.7+1.6+2.8</f>
        <v>20.399999999999999</v>
      </c>
      <c r="I472" s="156"/>
    </row>
    <row r="473" spans="1:9" ht="12.75" customHeight="1" x14ac:dyDescent="0.2">
      <c r="A473" s="94">
        <v>464</v>
      </c>
      <c r="B473" s="78" t="s">
        <v>741</v>
      </c>
      <c r="C473" s="145" t="s">
        <v>4971</v>
      </c>
      <c r="D473" s="146"/>
      <c r="E473" s="147"/>
      <c r="F473" s="121" t="s">
        <v>18</v>
      </c>
      <c r="G473" s="122"/>
      <c r="H473" s="155">
        <v>12.1</v>
      </c>
      <c r="I473" s="156"/>
    </row>
    <row r="474" spans="1:9" ht="12.75" customHeight="1" x14ac:dyDescent="0.2">
      <c r="A474" s="94">
        <v>465</v>
      </c>
      <c r="B474" s="78" t="s">
        <v>3540</v>
      </c>
      <c r="C474" s="145" t="s">
        <v>4970</v>
      </c>
      <c r="D474" s="146"/>
      <c r="E474" s="147"/>
      <c r="F474" s="121" t="s">
        <v>18</v>
      </c>
      <c r="G474" s="122"/>
      <c r="H474" s="155">
        <v>77.400000000000006</v>
      </c>
      <c r="I474" s="156"/>
    </row>
    <row r="475" spans="1:9" ht="12.75" customHeight="1" x14ac:dyDescent="0.2">
      <c r="A475" s="94">
        <v>466</v>
      </c>
      <c r="B475" s="78"/>
      <c r="C475" s="145" t="s">
        <v>4015</v>
      </c>
      <c r="D475" s="146"/>
      <c r="E475" s="147"/>
      <c r="F475" s="121" t="s">
        <v>18</v>
      </c>
      <c r="G475" s="122"/>
      <c r="H475" s="155">
        <v>124.3</v>
      </c>
      <c r="I475" s="156"/>
    </row>
    <row r="476" spans="1:9" ht="12.75" customHeight="1" x14ac:dyDescent="0.2">
      <c r="A476" s="94">
        <v>467</v>
      </c>
      <c r="B476" s="78" t="s">
        <v>3540</v>
      </c>
      <c r="C476" s="145" t="s">
        <v>4586</v>
      </c>
      <c r="D476" s="146"/>
      <c r="E476" s="147"/>
      <c r="F476" s="121" t="s">
        <v>18</v>
      </c>
      <c r="G476" s="122"/>
      <c r="H476" s="155">
        <f>9.7+2.5</f>
        <v>12.2</v>
      </c>
      <c r="I476" s="156"/>
    </row>
    <row r="477" spans="1:9" ht="12.75" customHeight="1" x14ac:dyDescent="0.2">
      <c r="A477" s="94">
        <v>468</v>
      </c>
      <c r="B477" s="78"/>
      <c r="C477" s="145" t="s">
        <v>2373</v>
      </c>
      <c r="D477" s="146"/>
      <c r="E477" s="147"/>
      <c r="F477" s="121" t="s">
        <v>18</v>
      </c>
      <c r="G477" s="122"/>
      <c r="H477" s="155">
        <f>25.1-3.5-13.1+16.8-16.8-3.4</f>
        <v>5.1000000000000032</v>
      </c>
      <c r="I477" s="156"/>
    </row>
    <row r="478" spans="1:9" x14ac:dyDescent="0.2">
      <c r="A478" s="94">
        <v>469</v>
      </c>
      <c r="B478" s="78"/>
      <c r="C478" s="145" t="s">
        <v>2929</v>
      </c>
      <c r="D478" s="146"/>
      <c r="E478" s="147"/>
      <c r="F478" s="121" t="s">
        <v>18</v>
      </c>
      <c r="G478" s="122"/>
      <c r="H478" s="155">
        <f>10.9+2.2+2.1-1.8+1.6+2.2-1.6-5+2.3-2.3+1.7+2.5-2.2-1.7+6</f>
        <v>16.899999999999999</v>
      </c>
      <c r="I478" s="156"/>
    </row>
    <row r="479" spans="1:9" ht="12.75" customHeight="1" x14ac:dyDescent="0.2">
      <c r="A479" s="94">
        <v>470</v>
      </c>
      <c r="B479" s="78"/>
      <c r="C479" s="145" t="s">
        <v>2634</v>
      </c>
      <c r="D479" s="146"/>
      <c r="E479" s="147"/>
      <c r="F479" s="121" t="s">
        <v>18</v>
      </c>
      <c r="G479" s="122"/>
      <c r="H479" s="155">
        <f>14.4-1.8</f>
        <v>12.6</v>
      </c>
      <c r="I479" s="156"/>
    </row>
    <row r="480" spans="1:9" ht="12.75" customHeight="1" x14ac:dyDescent="0.2">
      <c r="A480" s="94">
        <v>471</v>
      </c>
      <c r="B480" s="78" t="s">
        <v>741</v>
      </c>
      <c r="C480" s="145" t="s">
        <v>3402</v>
      </c>
      <c r="D480" s="146"/>
      <c r="E480" s="147"/>
      <c r="F480" s="121" t="s">
        <v>84</v>
      </c>
      <c r="G480" s="122"/>
      <c r="H480" s="155">
        <f>136.8-28</f>
        <v>108.80000000000001</v>
      </c>
      <c r="I480" s="156"/>
    </row>
    <row r="481" spans="1:9" ht="12.75" customHeight="1" x14ac:dyDescent="0.2">
      <c r="A481" s="94">
        <v>472</v>
      </c>
      <c r="B481" s="78" t="s">
        <v>3540</v>
      </c>
      <c r="C481" s="145" t="s">
        <v>3774</v>
      </c>
      <c r="D481" s="146"/>
      <c r="E481" s="147"/>
      <c r="F481" s="121" t="s">
        <v>84</v>
      </c>
      <c r="G481" s="122"/>
      <c r="H481" s="155">
        <v>21.2</v>
      </c>
      <c r="I481" s="156"/>
    </row>
    <row r="482" spans="1:9" ht="12.75" customHeight="1" x14ac:dyDescent="0.2">
      <c r="A482" s="94">
        <v>473</v>
      </c>
      <c r="B482" s="78"/>
      <c r="C482" s="145" t="s">
        <v>3432</v>
      </c>
      <c r="D482" s="146"/>
      <c r="E482" s="147"/>
      <c r="F482" s="121" t="s">
        <v>84</v>
      </c>
      <c r="G482" s="122"/>
      <c r="H482" s="155">
        <f>2.8+1.3+1.5</f>
        <v>5.6</v>
      </c>
      <c r="I482" s="156"/>
    </row>
    <row r="483" spans="1:9" ht="12.75" customHeight="1" x14ac:dyDescent="0.2">
      <c r="A483" s="94">
        <v>474</v>
      </c>
      <c r="B483" s="78" t="s">
        <v>3540</v>
      </c>
      <c r="C483" s="145" t="s">
        <v>3555</v>
      </c>
      <c r="D483" s="146"/>
      <c r="E483" s="147"/>
      <c r="F483" s="121" t="s">
        <v>84</v>
      </c>
      <c r="G483" s="122"/>
      <c r="H483" s="155">
        <v>2</v>
      </c>
      <c r="I483" s="156"/>
    </row>
    <row r="484" spans="1:9" ht="29.25" customHeight="1" x14ac:dyDescent="0.2">
      <c r="A484" s="94">
        <v>475</v>
      </c>
      <c r="B484" s="78"/>
      <c r="C484" s="145" t="s">
        <v>1971</v>
      </c>
      <c r="D484" s="146"/>
      <c r="E484" s="147"/>
      <c r="F484" s="121" t="s">
        <v>84</v>
      </c>
      <c r="G484" s="122"/>
      <c r="H484" s="155">
        <f>4-1</f>
        <v>3</v>
      </c>
      <c r="I484" s="156"/>
    </row>
    <row r="485" spans="1:9" ht="12.75" customHeight="1" x14ac:dyDescent="0.2">
      <c r="A485" s="94">
        <v>476</v>
      </c>
      <c r="B485" s="78"/>
      <c r="C485" s="145" t="s">
        <v>4209</v>
      </c>
      <c r="D485" s="146"/>
      <c r="E485" s="147"/>
      <c r="F485" s="121" t="s">
        <v>90</v>
      </c>
      <c r="G485" s="122"/>
      <c r="H485" s="155">
        <f>7.6+2.9</f>
        <v>10.5</v>
      </c>
      <c r="I485" s="156"/>
    </row>
    <row r="486" spans="1:9" ht="12.75" customHeight="1" x14ac:dyDescent="0.2">
      <c r="A486" s="94">
        <v>477</v>
      </c>
      <c r="B486" s="78"/>
      <c r="C486" s="145" t="s">
        <v>3391</v>
      </c>
      <c r="D486" s="146"/>
      <c r="E486" s="147"/>
      <c r="F486" s="121" t="s">
        <v>90</v>
      </c>
      <c r="G486" s="122"/>
      <c r="H486" s="155">
        <f>8+2.5</f>
        <v>10.5</v>
      </c>
      <c r="I486" s="156"/>
    </row>
    <row r="487" spans="1:9" ht="12.75" customHeight="1" x14ac:dyDescent="0.2">
      <c r="A487" s="94">
        <v>478</v>
      </c>
      <c r="B487" s="78"/>
      <c r="C487" s="145" t="s">
        <v>3548</v>
      </c>
      <c r="D487" s="146"/>
      <c r="E487" s="147"/>
      <c r="F487" s="121" t="s">
        <v>90</v>
      </c>
      <c r="G487" s="122"/>
      <c r="H487" s="155">
        <f>10.5-3.6+5.6-5.6</f>
        <v>6.9</v>
      </c>
      <c r="I487" s="156"/>
    </row>
    <row r="488" spans="1:9" x14ac:dyDescent="0.2">
      <c r="A488" s="94">
        <v>479</v>
      </c>
      <c r="B488" s="78"/>
      <c r="C488" s="145" t="s">
        <v>4850</v>
      </c>
      <c r="D488" s="146"/>
      <c r="E488" s="147"/>
      <c r="F488" s="121" t="s">
        <v>84</v>
      </c>
      <c r="G488" s="122"/>
      <c r="H488" s="155">
        <f>16.8-2-6-1.1-3.3-3.2+0.3+7.5+5.9+3-3.9</f>
        <v>14.000000000000002</v>
      </c>
      <c r="I488" s="156"/>
    </row>
    <row r="489" spans="1:9" ht="12.75" customHeight="1" x14ac:dyDescent="0.2">
      <c r="A489" s="94">
        <v>480</v>
      </c>
      <c r="B489" s="78"/>
      <c r="C489" s="145" t="s">
        <v>2049</v>
      </c>
      <c r="D489" s="146"/>
      <c r="E489" s="147"/>
      <c r="F489" s="121" t="s">
        <v>84</v>
      </c>
      <c r="G489" s="122"/>
      <c r="H489" s="155">
        <v>1.5</v>
      </c>
      <c r="I489" s="156"/>
    </row>
    <row r="490" spans="1:9" ht="12.75" customHeight="1" x14ac:dyDescent="0.2">
      <c r="A490" s="94">
        <v>481</v>
      </c>
      <c r="B490" s="78" t="s">
        <v>3540</v>
      </c>
      <c r="C490" s="145" t="s">
        <v>3879</v>
      </c>
      <c r="D490" s="146"/>
      <c r="E490" s="147"/>
      <c r="F490" s="121" t="s">
        <v>431</v>
      </c>
      <c r="G490" s="122"/>
      <c r="H490" s="155">
        <v>1.5</v>
      </c>
      <c r="I490" s="156"/>
    </row>
    <row r="491" spans="1:9" ht="12.75" customHeight="1" x14ac:dyDescent="0.2">
      <c r="A491" s="94">
        <v>482</v>
      </c>
      <c r="B491" s="78"/>
      <c r="C491" s="145" t="s">
        <v>2123</v>
      </c>
      <c r="D491" s="146"/>
      <c r="E491" s="147"/>
      <c r="F491" s="121" t="s">
        <v>431</v>
      </c>
      <c r="G491" s="122"/>
      <c r="H491" s="155">
        <v>1.3</v>
      </c>
      <c r="I491" s="156"/>
    </row>
    <row r="492" spans="1:9" ht="12.75" customHeight="1" x14ac:dyDescent="0.2">
      <c r="A492" s="94">
        <v>483</v>
      </c>
      <c r="B492" s="78"/>
      <c r="C492" s="145" t="s">
        <v>1833</v>
      </c>
      <c r="D492" s="146"/>
      <c r="E492" s="147"/>
      <c r="F492" s="121" t="s">
        <v>2696</v>
      </c>
      <c r="G492" s="122"/>
      <c r="H492" s="155">
        <v>2.6</v>
      </c>
      <c r="I492" s="156"/>
    </row>
    <row r="493" spans="1:9" ht="12.75" customHeight="1" x14ac:dyDescent="0.2">
      <c r="A493" s="94">
        <v>484</v>
      </c>
      <c r="B493" s="78"/>
      <c r="C493" s="145" t="s">
        <v>1634</v>
      </c>
      <c r="D493" s="146"/>
      <c r="E493" s="147"/>
      <c r="F493" s="121" t="s">
        <v>2696</v>
      </c>
      <c r="G493" s="122"/>
      <c r="H493" s="155">
        <v>2.6</v>
      </c>
      <c r="I493" s="156"/>
    </row>
    <row r="494" spans="1:9" ht="12.75" customHeight="1" x14ac:dyDescent="0.2">
      <c r="A494" s="94">
        <v>485</v>
      </c>
      <c r="B494" s="78"/>
      <c r="C494" s="145" t="s">
        <v>4526</v>
      </c>
      <c r="D494" s="146"/>
      <c r="E494" s="147"/>
      <c r="F494" s="121" t="s">
        <v>111</v>
      </c>
      <c r="G494" s="122"/>
      <c r="H494" s="74">
        <f>200.4+3.5-10.6-110-17.2-10-20.5</f>
        <v>35.600000000000009</v>
      </c>
      <c r="I494" s="74"/>
    </row>
    <row r="495" spans="1:9" x14ac:dyDescent="0.2">
      <c r="A495" s="94">
        <v>486</v>
      </c>
      <c r="B495" s="78" t="s">
        <v>2225</v>
      </c>
      <c r="C495" s="145" t="s">
        <v>4527</v>
      </c>
      <c r="D495" s="146"/>
      <c r="E495" s="147"/>
      <c r="F495" s="121" t="s">
        <v>111</v>
      </c>
      <c r="G495" s="122"/>
      <c r="H495" s="136">
        <v>43.7</v>
      </c>
      <c r="I495" s="136"/>
    </row>
    <row r="496" spans="1:9" x14ac:dyDescent="0.2">
      <c r="A496" s="94">
        <v>487</v>
      </c>
      <c r="B496" s="78" t="s">
        <v>3540</v>
      </c>
      <c r="C496" s="145" t="s">
        <v>5372</v>
      </c>
      <c r="D496" s="146"/>
      <c r="E496" s="147"/>
      <c r="F496" s="121" t="s">
        <v>111</v>
      </c>
      <c r="G496" s="122"/>
      <c r="H496" s="136">
        <f>5.3+8-5.4</f>
        <v>7.9</v>
      </c>
      <c r="I496" s="136"/>
    </row>
    <row r="497" spans="1:9" ht="12.75" customHeight="1" x14ac:dyDescent="0.2">
      <c r="A497" s="94">
        <v>488</v>
      </c>
      <c r="B497" s="78"/>
      <c r="C497" s="145" t="s">
        <v>2286</v>
      </c>
      <c r="D497" s="146"/>
      <c r="E497" s="147"/>
      <c r="F497" s="121" t="s">
        <v>1559</v>
      </c>
      <c r="G497" s="189"/>
      <c r="H497" s="155">
        <v>8.3000000000000007</v>
      </c>
      <c r="I497" s="156"/>
    </row>
    <row r="498" spans="1:9" ht="12.75" customHeight="1" x14ac:dyDescent="0.2">
      <c r="A498" s="94">
        <v>489</v>
      </c>
      <c r="B498" s="78" t="s">
        <v>741</v>
      </c>
      <c r="C498" s="145" t="s">
        <v>3322</v>
      </c>
      <c r="D498" s="146"/>
      <c r="E498" s="147"/>
      <c r="F498" s="121" t="s">
        <v>1559</v>
      </c>
      <c r="G498" s="189"/>
      <c r="H498" s="155">
        <f>101.5-2.3</f>
        <v>99.2</v>
      </c>
      <c r="I498" s="156"/>
    </row>
    <row r="499" spans="1:9" ht="12.75" customHeight="1" x14ac:dyDescent="0.2">
      <c r="A499" s="94">
        <v>490</v>
      </c>
      <c r="B499" s="78"/>
      <c r="C499" s="145" t="s">
        <v>756</v>
      </c>
      <c r="D499" s="146"/>
      <c r="E499" s="147"/>
      <c r="F499" s="121" t="s">
        <v>111</v>
      </c>
      <c r="G499" s="122"/>
      <c r="H499" s="74">
        <v>21.2</v>
      </c>
      <c r="I499" s="74"/>
    </row>
    <row r="500" spans="1:9" ht="12.75" customHeight="1" x14ac:dyDescent="0.2">
      <c r="A500" s="94">
        <v>491</v>
      </c>
      <c r="B500" s="78"/>
      <c r="C500" s="145" t="s">
        <v>3171</v>
      </c>
      <c r="D500" s="146"/>
      <c r="E500" s="147"/>
      <c r="F500" s="121" t="s">
        <v>84</v>
      </c>
      <c r="G500" s="122"/>
      <c r="H500" s="155">
        <f>2.5+6.1+1.3</f>
        <v>9.9</v>
      </c>
      <c r="I500" s="156"/>
    </row>
    <row r="501" spans="1:9" ht="12.75" customHeight="1" x14ac:dyDescent="0.2">
      <c r="A501" s="94">
        <v>492</v>
      </c>
      <c r="B501" s="78" t="s">
        <v>3540</v>
      </c>
      <c r="C501" s="145" t="s">
        <v>4001</v>
      </c>
      <c r="D501" s="146"/>
      <c r="E501" s="147"/>
      <c r="F501" s="121" t="s">
        <v>18</v>
      </c>
      <c r="G501" s="122"/>
      <c r="H501" s="136">
        <v>13.3</v>
      </c>
      <c r="I501" s="136"/>
    </row>
    <row r="502" spans="1:9" ht="12.75" customHeight="1" x14ac:dyDescent="0.2">
      <c r="A502" s="94">
        <v>493</v>
      </c>
      <c r="B502" s="78"/>
      <c r="C502" s="145" t="s">
        <v>2966</v>
      </c>
      <c r="D502" s="146"/>
      <c r="E502" s="147"/>
      <c r="F502" s="121" t="s">
        <v>18</v>
      </c>
      <c r="G502" s="122"/>
      <c r="H502" s="155">
        <f>8.6+5.7+2.9-8.6-5.7</f>
        <v>2.8999999999999995</v>
      </c>
      <c r="I502" s="156"/>
    </row>
    <row r="503" spans="1:9" ht="12.75" customHeight="1" x14ac:dyDescent="0.2">
      <c r="A503" s="94">
        <v>494</v>
      </c>
      <c r="B503" s="78" t="s">
        <v>3540</v>
      </c>
      <c r="C503" s="145" t="s">
        <v>3606</v>
      </c>
      <c r="D503" s="146"/>
      <c r="E503" s="147"/>
      <c r="F503" s="121" t="s">
        <v>18</v>
      </c>
      <c r="G503" s="122"/>
      <c r="H503" s="155">
        <v>2.4</v>
      </c>
      <c r="I503" s="156"/>
    </row>
    <row r="504" spans="1:9" ht="12.75" customHeight="1" x14ac:dyDescent="0.2">
      <c r="A504" s="94">
        <v>495</v>
      </c>
      <c r="B504" s="78"/>
      <c r="C504" s="145" t="s">
        <v>2830</v>
      </c>
      <c r="D504" s="146"/>
      <c r="E504" s="147"/>
      <c r="F504" s="121" t="s">
        <v>18</v>
      </c>
      <c r="G504" s="122"/>
      <c r="H504" s="155">
        <f>5.4-1.6-1.8</f>
        <v>2</v>
      </c>
      <c r="I504" s="156"/>
    </row>
    <row r="505" spans="1:9" ht="12.75" customHeight="1" x14ac:dyDescent="0.2">
      <c r="A505" s="94">
        <v>496</v>
      </c>
      <c r="B505" s="78"/>
      <c r="C505" s="145" t="s">
        <v>836</v>
      </c>
      <c r="D505" s="146"/>
      <c r="E505" s="147"/>
      <c r="F505" s="121" t="s">
        <v>18</v>
      </c>
      <c r="G505" s="122"/>
      <c r="H505" s="155"/>
      <c r="I505" s="156"/>
    </row>
    <row r="506" spans="1:9" ht="12.75" customHeight="1" x14ac:dyDescent="0.2">
      <c r="A506" s="94">
        <v>497</v>
      </c>
      <c r="B506" s="78" t="s">
        <v>741</v>
      </c>
      <c r="C506" s="145" t="s">
        <v>3333</v>
      </c>
      <c r="D506" s="146"/>
      <c r="E506" s="147"/>
      <c r="F506" s="121" t="s">
        <v>1559</v>
      </c>
      <c r="G506" s="189"/>
      <c r="H506" s="155">
        <f>114.8-12.3-50.9-6-2.6-17.2-2.5-6-2.5</f>
        <v>14.8</v>
      </c>
      <c r="I506" s="156"/>
    </row>
    <row r="507" spans="1:9" ht="12.75" customHeight="1" x14ac:dyDescent="0.2">
      <c r="A507" s="94">
        <v>498</v>
      </c>
      <c r="B507" s="78"/>
      <c r="C507" s="145" t="s">
        <v>3522</v>
      </c>
      <c r="D507" s="146"/>
      <c r="E507" s="147"/>
      <c r="F507" s="121" t="s">
        <v>1559</v>
      </c>
      <c r="G507" s="189"/>
      <c r="H507" s="155">
        <v>10.6</v>
      </c>
      <c r="I507" s="156"/>
    </row>
    <row r="508" spans="1:9" ht="15.75" customHeight="1" x14ac:dyDescent="0.2">
      <c r="A508" s="94">
        <v>499</v>
      </c>
      <c r="B508" s="78" t="s">
        <v>3540</v>
      </c>
      <c r="C508" s="175" t="s">
        <v>4023</v>
      </c>
      <c r="D508" s="176"/>
      <c r="E508" s="177"/>
      <c r="F508" s="190" t="s">
        <v>74</v>
      </c>
      <c r="G508" s="191"/>
      <c r="H508" s="193">
        <v>8.1</v>
      </c>
      <c r="I508" s="194"/>
    </row>
    <row r="509" spans="1:9" ht="12.75" customHeight="1" x14ac:dyDescent="0.2">
      <c r="A509" s="94">
        <v>500</v>
      </c>
      <c r="B509" s="78"/>
      <c r="C509" s="145" t="s">
        <v>3342</v>
      </c>
      <c r="D509" s="146"/>
      <c r="E509" s="147"/>
      <c r="F509" s="121" t="s">
        <v>18</v>
      </c>
      <c r="G509" s="122"/>
      <c r="H509" s="155">
        <f>15.3+11.3-15.3-5.3+5.7+3.5-11.7</f>
        <v>3.5000000000000018</v>
      </c>
      <c r="I509" s="156"/>
    </row>
    <row r="510" spans="1:9" ht="12.75" customHeight="1" x14ac:dyDescent="0.2">
      <c r="A510" s="94">
        <v>501</v>
      </c>
      <c r="B510" s="78" t="s">
        <v>3557</v>
      </c>
      <c r="C510" s="145" t="s">
        <v>4022</v>
      </c>
      <c r="D510" s="146"/>
      <c r="E510" s="147"/>
      <c r="F510" s="121" t="s">
        <v>18</v>
      </c>
      <c r="G510" s="122"/>
      <c r="H510" s="155">
        <v>16.100000000000001</v>
      </c>
      <c r="I510" s="156"/>
    </row>
    <row r="511" spans="1:9" ht="12.75" customHeight="1" x14ac:dyDescent="0.2">
      <c r="A511" s="94">
        <v>502</v>
      </c>
      <c r="B511" s="78" t="s">
        <v>741</v>
      </c>
      <c r="C511" s="145" t="s">
        <v>2675</v>
      </c>
      <c r="D511" s="146"/>
      <c r="E511" s="147"/>
      <c r="F511" s="121" t="s">
        <v>18</v>
      </c>
      <c r="G511" s="122"/>
      <c r="H511" s="155">
        <v>26.3</v>
      </c>
      <c r="I511" s="156"/>
    </row>
    <row r="512" spans="1:9" ht="12.75" customHeight="1" x14ac:dyDescent="0.2">
      <c r="A512" s="94">
        <v>503</v>
      </c>
      <c r="B512" s="78" t="s">
        <v>3540</v>
      </c>
      <c r="C512" s="145" t="s">
        <v>3607</v>
      </c>
      <c r="D512" s="146"/>
      <c r="E512" s="147"/>
      <c r="F512" s="121" t="s">
        <v>18</v>
      </c>
      <c r="G512" s="122"/>
      <c r="H512" s="155">
        <v>5.6</v>
      </c>
      <c r="I512" s="156"/>
    </row>
    <row r="513" spans="1:9" ht="12.75" customHeight="1" x14ac:dyDescent="0.2">
      <c r="A513" s="94">
        <v>504</v>
      </c>
      <c r="B513" s="78" t="s">
        <v>3540</v>
      </c>
      <c r="C513" s="145" t="s">
        <v>4972</v>
      </c>
      <c r="D513" s="146"/>
      <c r="E513" s="147"/>
      <c r="F513" s="121" t="s">
        <v>18</v>
      </c>
      <c r="G513" s="122"/>
      <c r="H513" s="155">
        <v>6</v>
      </c>
      <c r="I513" s="156"/>
    </row>
    <row r="514" spans="1:9" ht="12.75" customHeight="1" x14ac:dyDescent="0.2">
      <c r="A514" s="94">
        <v>505</v>
      </c>
      <c r="B514" s="78"/>
      <c r="C514" s="145" t="s">
        <v>1917</v>
      </c>
      <c r="D514" s="146"/>
      <c r="E514" s="147"/>
      <c r="F514" s="121" t="s">
        <v>18</v>
      </c>
      <c r="G514" s="122"/>
      <c r="H514" s="155">
        <v>2.1</v>
      </c>
      <c r="I514" s="156"/>
    </row>
    <row r="515" spans="1:9" ht="12.75" customHeight="1" x14ac:dyDescent="0.2">
      <c r="A515" s="94">
        <v>506</v>
      </c>
      <c r="B515" s="78" t="s">
        <v>741</v>
      </c>
      <c r="C515" s="145" t="s">
        <v>5260</v>
      </c>
      <c r="D515" s="146"/>
      <c r="E515" s="147"/>
      <c r="F515" s="121" t="s">
        <v>273</v>
      </c>
      <c r="G515" s="122"/>
      <c r="H515" s="155">
        <f>35.7-8.8-8.8</f>
        <v>18.100000000000001</v>
      </c>
      <c r="I515" s="156"/>
    </row>
    <row r="516" spans="1:9" ht="12.75" customHeight="1" x14ac:dyDescent="0.2">
      <c r="A516" s="94">
        <v>507</v>
      </c>
      <c r="B516" s="78" t="s">
        <v>3540</v>
      </c>
      <c r="C516" s="145" t="s">
        <v>4496</v>
      </c>
      <c r="D516" s="146"/>
      <c r="E516" s="147"/>
      <c r="F516" s="121" t="s">
        <v>90</v>
      </c>
      <c r="G516" s="122"/>
      <c r="H516" s="155">
        <v>1.4</v>
      </c>
      <c r="I516" s="156"/>
    </row>
    <row r="517" spans="1:9" ht="12.75" customHeight="1" x14ac:dyDescent="0.2">
      <c r="A517" s="94">
        <v>508</v>
      </c>
      <c r="B517" s="78" t="s">
        <v>741</v>
      </c>
      <c r="C517" s="145" t="s">
        <v>3403</v>
      </c>
      <c r="D517" s="146"/>
      <c r="E517" s="147"/>
      <c r="F517" s="121" t="s">
        <v>84</v>
      </c>
      <c r="G517" s="122"/>
      <c r="H517" s="155">
        <f>153.8-10.2-10.8</f>
        <v>132.80000000000001</v>
      </c>
      <c r="I517" s="156"/>
    </row>
    <row r="518" spans="1:9" ht="12.75" customHeight="1" x14ac:dyDescent="0.2">
      <c r="A518" s="94">
        <v>509</v>
      </c>
      <c r="B518" s="78" t="s">
        <v>3540</v>
      </c>
      <c r="C518" s="145" t="s">
        <v>3937</v>
      </c>
      <c r="D518" s="146"/>
      <c r="E518" s="147"/>
      <c r="F518" s="121" t="s">
        <v>90</v>
      </c>
      <c r="G518" s="122"/>
      <c r="H518" s="155">
        <v>1.5</v>
      </c>
      <c r="I518" s="156"/>
    </row>
    <row r="519" spans="1:9" ht="12.75" customHeight="1" x14ac:dyDescent="0.2">
      <c r="A519" s="94">
        <v>510</v>
      </c>
      <c r="B519" s="78"/>
      <c r="C519" s="145" t="s">
        <v>3379</v>
      </c>
      <c r="D519" s="146"/>
      <c r="E519" s="147"/>
      <c r="F519" s="121" t="s">
        <v>84</v>
      </c>
      <c r="G519" s="122"/>
      <c r="H519" s="155">
        <f>110.3-14.7-11.5-4.1</f>
        <v>80</v>
      </c>
      <c r="I519" s="156"/>
    </row>
    <row r="520" spans="1:9" ht="12.75" customHeight="1" x14ac:dyDescent="0.2">
      <c r="A520" s="94">
        <v>511</v>
      </c>
      <c r="B520" s="78"/>
      <c r="C520" s="145" t="s">
        <v>425</v>
      </c>
      <c r="D520" s="146"/>
      <c r="E520" s="147"/>
      <c r="F520" s="121" t="s">
        <v>18</v>
      </c>
      <c r="G520" s="122"/>
      <c r="H520" s="155">
        <f>41.8-19</f>
        <v>22.799999999999997</v>
      </c>
      <c r="I520" s="156"/>
    </row>
    <row r="521" spans="1:9" ht="12.75" customHeight="1" x14ac:dyDescent="0.2">
      <c r="A521" s="94">
        <v>512</v>
      </c>
      <c r="B521" s="78" t="s">
        <v>3540</v>
      </c>
      <c r="C521" s="145" t="s">
        <v>3608</v>
      </c>
      <c r="D521" s="146"/>
      <c r="E521" s="147"/>
      <c r="F521" s="121" t="s">
        <v>431</v>
      </c>
      <c r="G521" s="122"/>
      <c r="H521" s="155">
        <v>86.3</v>
      </c>
      <c r="I521" s="156"/>
    </row>
    <row r="522" spans="1:9" ht="12.75" customHeight="1" x14ac:dyDescent="0.2">
      <c r="A522" s="94">
        <v>513</v>
      </c>
      <c r="B522" s="78" t="s">
        <v>3557</v>
      </c>
      <c r="C522" s="145" t="s">
        <v>4255</v>
      </c>
      <c r="D522" s="146"/>
      <c r="E522" s="147"/>
      <c r="F522" s="121" t="s">
        <v>431</v>
      </c>
      <c r="G522" s="122"/>
      <c r="H522" s="155">
        <f>20.2+12-12-4.3</f>
        <v>15.900000000000002</v>
      </c>
      <c r="I522" s="156"/>
    </row>
    <row r="523" spans="1:9" ht="12.75" customHeight="1" x14ac:dyDescent="0.2">
      <c r="A523" s="94">
        <v>514</v>
      </c>
      <c r="B523" s="78" t="s">
        <v>3540</v>
      </c>
      <c r="C523" s="145" t="s">
        <v>4495</v>
      </c>
      <c r="D523" s="146"/>
      <c r="E523" s="147"/>
      <c r="F523" s="121" t="s">
        <v>431</v>
      </c>
      <c r="G523" s="122"/>
      <c r="H523" s="155">
        <v>8</v>
      </c>
      <c r="I523" s="156"/>
    </row>
    <row r="524" spans="1:9" ht="12.75" customHeight="1" x14ac:dyDescent="0.2">
      <c r="A524" s="94">
        <v>515</v>
      </c>
      <c r="B524" s="78" t="s">
        <v>3557</v>
      </c>
      <c r="C524" s="145" t="s">
        <v>5197</v>
      </c>
      <c r="D524" s="146"/>
      <c r="E524" s="147"/>
      <c r="F524" s="121" t="s">
        <v>431</v>
      </c>
      <c r="G524" s="122"/>
      <c r="H524" s="155">
        <v>11.5</v>
      </c>
      <c r="I524" s="156"/>
    </row>
    <row r="525" spans="1:9" ht="12.75" customHeight="1" x14ac:dyDescent="0.2">
      <c r="A525" s="94">
        <v>516</v>
      </c>
      <c r="B525" s="78"/>
      <c r="C525" s="145" t="s">
        <v>2203</v>
      </c>
      <c r="D525" s="146"/>
      <c r="E525" s="147"/>
      <c r="F525" s="121" t="s">
        <v>1559</v>
      </c>
      <c r="G525" s="189"/>
      <c r="H525" s="155">
        <f>192.8-13.6-14.3-9.2</f>
        <v>155.70000000000002</v>
      </c>
      <c r="I525" s="156"/>
    </row>
    <row r="526" spans="1:9" ht="12.75" customHeight="1" x14ac:dyDescent="0.2">
      <c r="A526" s="94">
        <v>517</v>
      </c>
      <c r="B526" s="78"/>
      <c r="C526" s="145" t="s">
        <v>3696</v>
      </c>
      <c r="D526" s="146"/>
      <c r="E526" s="147"/>
      <c r="F526" s="121" t="s">
        <v>84</v>
      </c>
      <c r="G526" s="122"/>
      <c r="H526" s="155">
        <f>24+9.5-9.5+23+14.5+14.7+4.9-14.7</f>
        <v>66.400000000000006</v>
      </c>
      <c r="I526" s="156"/>
    </row>
    <row r="527" spans="1:9" ht="12.75" customHeight="1" x14ac:dyDescent="0.2">
      <c r="A527" s="94">
        <v>518</v>
      </c>
      <c r="B527" s="78"/>
      <c r="C527" s="145" t="s">
        <v>2394</v>
      </c>
      <c r="D527" s="146"/>
      <c r="E527" s="147"/>
      <c r="F527" s="121" t="s">
        <v>90</v>
      </c>
      <c r="G527" s="122"/>
      <c r="H527" s="155">
        <f>87.7-11.4</f>
        <v>76.3</v>
      </c>
      <c r="I527" s="156"/>
    </row>
    <row r="528" spans="1:9" ht="12.75" customHeight="1" x14ac:dyDescent="0.2">
      <c r="A528" s="94">
        <v>519</v>
      </c>
      <c r="B528" s="78"/>
      <c r="C528" s="145" t="s">
        <v>4851</v>
      </c>
      <c r="D528" s="146"/>
      <c r="E528" s="147"/>
      <c r="F528" s="121" t="s">
        <v>84</v>
      </c>
      <c r="G528" s="122"/>
      <c r="H528" s="155">
        <f>34.2-6.6-9.2-9.2</f>
        <v>9.2000000000000028</v>
      </c>
      <c r="I528" s="156"/>
    </row>
    <row r="529" spans="1:9" ht="12.75" customHeight="1" x14ac:dyDescent="0.2">
      <c r="A529" s="94">
        <v>520</v>
      </c>
      <c r="B529" s="78"/>
      <c r="C529" s="145" t="s">
        <v>3196</v>
      </c>
      <c r="D529" s="146"/>
      <c r="E529" s="147"/>
      <c r="F529" s="121" t="s">
        <v>84</v>
      </c>
      <c r="G529" s="122"/>
      <c r="H529" s="155">
        <f>10+30.8</f>
        <v>40.799999999999997</v>
      </c>
      <c r="I529" s="156"/>
    </row>
    <row r="530" spans="1:9" ht="12.75" customHeight="1" x14ac:dyDescent="0.2">
      <c r="A530" s="94">
        <v>521</v>
      </c>
      <c r="B530" s="78"/>
      <c r="C530" s="145" t="s">
        <v>3503</v>
      </c>
      <c r="D530" s="146"/>
      <c r="E530" s="147"/>
      <c r="F530" s="121" t="s">
        <v>84</v>
      </c>
      <c r="G530" s="122"/>
      <c r="H530" s="155">
        <f>7.5+3.6+2.7-7.5+5+3.7+3.6+3.5-3.7-3.6-7.1-2.7</f>
        <v>5.0000000000000027</v>
      </c>
      <c r="I530" s="156"/>
    </row>
    <row r="531" spans="1:9" ht="12.75" customHeight="1" x14ac:dyDescent="0.2">
      <c r="A531" s="94">
        <v>522</v>
      </c>
      <c r="B531" s="78" t="s">
        <v>3540</v>
      </c>
      <c r="C531" s="145" t="s">
        <v>3682</v>
      </c>
      <c r="D531" s="146"/>
      <c r="E531" s="147"/>
      <c r="F531" s="121" t="s">
        <v>84</v>
      </c>
      <c r="G531" s="122"/>
      <c r="H531" s="155">
        <v>2.9</v>
      </c>
      <c r="I531" s="156"/>
    </row>
    <row r="532" spans="1:9" ht="29.25" customHeight="1" x14ac:dyDescent="0.2">
      <c r="A532" s="94">
        <v>523</v>
      </c>
      <c r="B532" s="78"/>
      <c r="C532" s="145" t="s">
        <v>4615</v>
      </c>
      <c r="D532" s="146"/>
      <c r="E532" s="147"/>
      <c r="F532" s="121" t="s">
        <v>84</v>
      </c>
      <c r="G532" s="122"/>
      <c r="H532" s="155">
        <f>4.4+7.9+2.5+3+3.8-2.5-3-3.8</f>
        <v>12.3</v>
      </c>
      <c r="I532" s="156"/>
    </row>
    <row r="533" spans="1:9" ht="30" customHeight="1" x14ac:dyDescent="0.2">
      <c r="A533" s="94">
        <v>524</v>
      </c>
      <c r="B533" s="78"/>
      <c r="C533" s="145" t="s">
        <v>5409</v>
      </c>
      <c r="D533" s="146"/>
      <c r="E533" s="147"/>
      <c r="F533" s="121" t="s">
        <v>84</v>
      </c>
      <c r="G533" s="122"/>
      <c r="H533" s="155">
        <f>34.7+1.3+8.2-1.8-3+2.9-1.3-1.5-1.6-1.5-3.2-1.5+2.8+3.7-1.5+2.7+2.2+4.5-1.6-2.3+3.6-1.6+4-7.6+5.1-5.1+4.7-1.9-4.5-4.7-1.9-2.9-1.9+2-1.9+2-2.7+1.8-2-2.2-3-3-1.8</f>
        <v>16.700000000000017</v>
      </c>
      <c r="I533" s="156"/>
    </row>
    <row r="534" spans="1:9" ht="12.75" customHeight="1" x14ac:dyDescent="0.2">
      <c r="A534" s="94">
        <v>525</v>
      </c>
      <c r="B534" s="78"/>
      <c r="C534" s="145" t="s">
        <v>2531</v>
      </c>
      <c r="D534" s="146"/>
      <c r="E534" s="147"/>
      <c r="F534" s="121" t="s">
        <v>84</v>
      </c>
      <c r="G534" s="122"/>
      <c r="H534" s="155">
        <f>6.1+5.8</f>
        <v>11.899999999999999</v>
      </c>
      <c r="I534" s="156"/>
    </row>
    <row r="535" spans="1:9" ht="12.75" customHeight="1" x14ac:dyDescent="0.2">
      <c r="A535" s="94">
        <v>526</v>
      </c>
      <c r="B535" s="78"/>
      <c r="C535" s="145" t="s">
        <v>2475</v>
      </c>
      <c r="D535" s="146"/>
      <c r="E535" s="147"/>
      <c r="F535" s="121" t="s">
        <v>111</v>
      </c>
      <c r="G535" s="122"/>
      <c r="H535" s="155">
        <f>106.3+32.2</f>
        <v>138.5</v>
      </c>
      <c r="I535" s="156"/>
    </row>
    <row r="536" spans="1:9" ht="12.75" customHeight="1" x14ac:dyDescent="0.2">
      <c r="A536" s="94">
        <v>527</v>
      </c>
      <c r="B536" s="78"/>
      <c r="C536" s="145" t="s">
        <v>942</v>
      </c>
      <c r="D536" s="146"/>
      <c r="E536" s="147"/>
      <c r="F536" s="121" t="s">
        <v>111</v>
      </c>
      <c r="G536" s="122"/>
      <c r="H536" s="155">
        <f>7.7+16.3+7.8</f>
        <v>31.8</v>
      </c>
      <c r="I536" s="156"/>
    </row>
    <row r="537" spans="1:9" ht="12.75" customHeight="1" x14ac:dyDescent="0.2">
      <c r="A537" s="94">
        <v>528</v>
      </c>
      <c r="B537" s="78"/>
      <c r="C537" s="145" t="s">
        <v>2623</v>
      </c>
      <c r="D537" s="146"/>
      <c r="E537" s="147"/>
      <c r="F537" s="121" t="s">
        <v>111</v>
      </c>
      <c r="G537" s="122"/>
      <c r="H537" s="155">
        <f>6.5+8.4-6.5</f>
        <v>8.4</v>
      </c>
      <c r="I537" s="156"/>
    </row>
    <row r="538" spans="1:9" ht="12.75" customHeight="1" x14ac:dyDescent="0.2">
      <c r="A538" s="94">
        <v>529</v>
      </c>
      <c r="B538" s="78" t="s">
        <v>3540</v>
      </c>
      <c r="C538" s="145" t="s">
        <v>4685</v>
      </c>
      <c r="D538" s="146"/>
      <c r="E538" s="147"/>
      <c r="F538" s="121" t="s">
        <v>111</v>
      </c>
      <c r="G538" s="122"/>
      <c r="H538" s="155">
        <f>4.8+5.7</f>
        <v>10.5</v>
      </c>
      <c r="I538" s="156"/>
    </row>
    <row r="539" spans="1:9" ht="44.25" customHeight="1" x14ac:dyDescent="0.2">
      <c r="A539" s="94">
        <v>530</v>
      </c>
      <c r="B539" s="78"/>
      <c r="C539" s="145" t="s">
        <v>3655</v>
      </c>
      <c r="D539" s="146"/>
      <c r="E539" s="147"/>
      <c r="F539" s="121" t="s">
        <v>18</v>
      </c>
      <c r="G539" s="122"/>
      <c r="H539" s="155">
        <f>11.4-4.4+4.9+9.8+24+13.5-9.8+3.5+3.4+11.1+10.8+43.5+6.7+4.4+6.9-3.5-18.1-5.2+14.6-18.4+3.4+3.5-14.5-4.4+14.7-29-28.2+2.2+2-4.2-10.8-2-3.4-4.9+2+7.4-6.9+1.9+4.5+5.7+7.7+8.8+7-7.6-5.7+4.8+5.6-2-5.6-8.8</f>
        <v>52.300000000000026</v>
      </c>
      <c r="I539" s="156"/>
    </row>
    <row r="540" spans="1:9" ht="12.75" customHeight="1" x14ac:dyDescent="0.2">
      <c r="A540" s="94">
        <v>531</v>
      </c>
      <c r="B540" s="78" t="s">
        <v>3557</v>
      </c>
      <c r="C540" s="145" t="s">
        <v>4497</v>
      </c>
      <c r="D540" s="146"/>
      <c r="E540" s="147"/>
      <c r="F540" s="121" t="s">
        <v>18</v>
      </c>
      <c r="G540" s="122"/>
      <c r="H540" s="155">
        <v>18.7</v>
      </c>
      <c r="I540" s="156"/>
    </row>
    <row r="541" spans="1:9" ht="12.75" customHeight="1" x14ac:dyDescent="0.2">
      <c r="A541" s="94">
        <v>532</v>
      </c>
      <c r="B541" s="78" t="s">
        <v>741</v>
      </c>
      <c r="C541" s="145" t="s">
        <v>2637</v>
      </c>
      <c r="D541" s="146"/>
      <c r="E541" s="147"/>
      <c r="F541" s="121" t="s">
        <v>18</v>
      </c>
      <c r="G541" s="122"/>
      <c r="H541" s="155">
        <f>169.9-29-29-72.5</f>
        <v>39.400000000000006</v>
      </c>
      <c r="I541" s="156"/>
    </row>
    <row r="542" spans="1:9" ht="12.75" customHeight="1" x14ac:dyDescent="0.2">
      <c r="A542" s="94">
        <v>533</v>
      </c>
      <c r="B542" s="78" t="s">
        <v>741</v>
      </c>
      <c r="C542" s="145" t="s">
        <v>4184</v>
      </c>
      <c r="D542" s="146"/>
      <c r="E542" s="147"/>
      <c r="F542" s="121" t="s">
        <v>18</v>
      </c>
      <c r="G542" s="122"/>
      <c r="H542" s="155">
        <v>10.1</v>
      </c>
      <c r="I542" s="156"/>
    </row>
    <row r="543" spans="1:9" ht="12.75" customHeight="1" x14ac:dyDescent="0.2">
      <c r="A543" s="94">
        <v>534</v>
      </c>
      <c r="B543" s="78" t="s">
        <v>3540</v>
      </c>
      <c r="C543" s="145" t="s">
        <v>3716</v>
      </c>
      <c r="D543" s="146"/>
      <c r="E543" s="147"/>
      <c r="F543" s="121" t="s">
        <v>18</v>
      </c>
      <c r="G543" s="122"/>
      <c r="H543" s="155">
        <v>4</v>
      </c>
      <c r="I543" s="156"/>
    </row>
    <row r="544" spans="1:9" ht="12.75" customHeight="1" x14ac:dyDescent="0.2">
      <c r="A544" s="94">
        <v>535</v>
      </c>
      <c r="B544" s="78"/>
      <c r="C544" s="145" t="s">
        <v>2124</v>
      </c>
      <c r="D544" s="146"/>
      <c r="E544" s="147"/>
      <c r="F544" s="121" t="s">
        <v>18</v>
      </c>
      <c r="G544" s="122"/>
      <c r="H544" s="155">
        <v>2.1</v>
      </c>
      <c r="I544" s="156"/>
    </row>
    <row r="545" spans="1:9" ht="12.75" customHeight="1" x14ac:dyDescent="0.2">
      <c r="A545" s="94">
        <v>536</v>
      </c>
      <c r="B545" s="78"/>
      <c r="C545" s="145" t="s">
        <v>2492</v>
      </c>
      <c r="D545" s="146"/>
      <c r="E545" s="147"/>
      <c r="F545" s="121" t="s">
        <v>24</v>
      </c>
      <c r="G545" s="122"/>
      <c r="H545" s="155">
        <v>1.3</v>
      </c>
      <c r="I545" s="156"/>
    </row>
    <row r="546" spans="1:9" ht="12.75" customHeight="1" x14ac:dyDescent="0.2">
      <c r="A546" s="94">
        <v>537</v>
      </c>
      <c r="B546" s="78"/>
      <c r="C546" s="145" t="s">
        <v>954</v>
      </c>
      <c r="D546" s="146"/>
      <c r="E546" s="147"/>
      <c r="F546" s="121" t="s">
        <v>24</v>
      </c>
      <c r="G546" s="122"/>
      <c r="H546" s="155">
        <v>1.8</v>
      </c>
      <c r="I546" s="156"/>
    </row>
    <row r="547" spans="1:9" ht="12.75" customHeight="1" x14ac:dyDescent="0.2">
      <c r="A547" s="94">
        <v>538</v>
      </c>
      <c r="B547" s="78"/>
      <c r="C547" s="145" t="s">
        <v>3371</v>
      </c>
      <c r="D547" s="146"/>
      <c r="E547" s="147"/>
      <c r="F547" s="121" t="s">
        <v>18</v>
      </c>
      <c r="G547" s="122"/>
      <c r="H547" s="155">
        <v>8.3000000000000007</v>
      </c>
      <c r="I547" s="156"/>
    </row>
    <row r="548" spans="1:9" x14ac:dyDescent="0.2">
      <c r="A548" s="94">
        <v>539</v>
      </c>
      <c r="B548" s="78"/>
      <c r="C548" s="145" t="s">
        <v>4919</v>
      </c>
      <c r="D548" s="146"/>
      <c r="E548" s="147"/>
      <c r="F548" s="121" t="s">
        <v>24</v>
      </c>
      <c r="G548" s="122"/>
      <c r="H548" s="155">
        <f>27.2+31.5-27.2+21.4+33.7-4+31.2-7.7-29.7-23.8-9.8-9.7-0.1</f>
        <v>33.000000000000007</v>
      </c>
      <c r="I548" s="156"/>
    </row>
    <row r="549" spans="1:9" ht="12.75" customHeight="1" x14ac:dyDescent="0.2">
      <c r="A549" s="94">
        <v>540</v>
      </c>
      <c r="B549" s="78" t="s">
        <v>3540</v>
      </c>
      <c r="C549" s="145" t="s">
        <v>4141</v>
      </c>
      <c r="D549" s="146"/>
      <c r="E549" s="147"/>
      <c r="F549" s="121" t="s">
        <v>24</v>
      </c>
      <c r="G549" s="122"/>
      <c r="H549" s="155">
        <v>4.5</v>
      </c>
      <c r="I549" s="156"/>
    </row>
    <row r="550" spans="1:9" ht="12.75" customHeight="1" x14ac:dyDescent="0.2">
      <c r="A550" s="94">
        <v>541</v>
      </c>
      <c r="B550" s="78"/>
      <c r="C550" s="145" t="s">
        <v>3111</v>
      </c>
      <c r="D550" s="146"/>
      <c r="E550" s="147"/>
      <c r="F550" s="121" t="s">
        <v>84</v>
      </c>
      <c r="G550" s="122"/>
      <c r="H550" s="155">
        <f>48.7+6.7-6.7+3.4-3.4+2.6+5.7-5.5-8.6</f>
        <v>42.900000000000006</v>
      </c>
      <c r="I550" s="156"/>
    </row>
    <row r="551" spans="1:9" ht="12.75" customHeight="1" x14ac:dyDescent="0.2">
      <c r="A551" s="94">
        <v>542</v>
      </c>
      <c r="B551" s="78" t="s">
        <v>741</v>
      </c>
      <c r="C551" s="145" t="s">
        <v>1159</v>
      </c>
      <c r="D551" s="146"/>
      <c r="E551" s="147"/>
      <c r="F551" s="121" t="s">
        <v>18</v>
      </c>
      <c r="G551" s="122"/>
      <c r="H551" s="155">
        <v>87.7</v>
      </c>
      <c r="I551" s="156"/>
    </row>
    <row r="552" spans="1:9" ht="12.75" customHeight="1" x14ac:dyDescent="0.2">
      <c r="A552" s="94">
        <v>543</v>
      </c>
      <c r="B552" s="78"/>
      <c r="C552" s="145" t="s">
        <v>3158</v>
      </c>
      <c r="D552" s="146"/>
      <c r="E552" s="147"/>
      <c r="F552" s="121" t="s">
        <v>18</v>
      </c>
      <c r="G552" s="122"/>
      <c r="H552" s="155">
        <f>17.2-8.4</f>
        <v>8.7999999999999989</v>
      </c>
      <c r="I552" s="156"/>
    </row>
    <row r="553" spans="1:9" ht="12.75" customHeight="1" x14ac:dyDescent="0.2">
      <c r="A553" s="94">
        <v>544</v>
      </c>
      <c r="B553" s="78"/>
      <c r="C553" s="145" t="s">
        <v>2917</v>
      </c>
      <c r="D553" s="146"/>
      <c r="E553" s="147"/>
      <c r="F553" s="121" t="s">
        <v>111</v>
      </c>
      <c r="G553" s="122"/>
      <c r="H553" s="155">
        <v>5.7</v>
      </c>
      <c r="I553" s="156"/>
    </row>
    <row r="554" spans="1:9" ht="12.75" customHeight="1" x14ac:dyDescent="0.2">
      <c r="A554" s="94">
        <v>545</v>
      </c>
      <c r="B554" s="78" t="s">
        <v>3540</v>
      </c>
      <c r="C554" s="145" t="s">
        <v>4142</v>
      </c>
      <c r="D554" s="146"/>
      <c r="E554" s="147"/>
      <c r="F554" s="121" t="s">
        <v>24</v>
      </c>
      <c r="G554" s="122"/>
      <c r="H554" s="155">
        <v>8.1</v>
      </c>
      <c r="I554" s="156"/>
    </row>
    <row r="555" spans="1:9" ht="12.75" customHeight="1" x14ac:dyDescent="0.2">
      <c r="A555" s="94">
        <v>546</v>
      </c>
      <c r="B555" s="78" t="s">
        <v>3540</v>
      </c>
      <c r="C555" s="145" t="s">
        <v>4143</v>
      </c>
      <c r="D555" s="146"/>
      <c r="E555" s="147"/>
      <c r="F555" s="121" t="s">
        <v>24</v>
      </c>
      <c r="G555" s="122"/>
      <c r="H555" s="155">
        <v>3.6</v>
      </c>
      <c r="I555" s="156"/>
    </row>
    <row r="556" spans="1:9" ht="12.75" customHeight="1" x14ac:dyDescent="0.2">
      <c r="A556" s="94">
        <v>547</v>
      </c>
      <c r="B556" s="78"/>
      <c r="C556" s="145" t="s">
        <v>3826</v>
      </c>
      <c r="D556" s="146"/>
      <c r="E556" s="147"/>
      <c r="F556" s="121" t="s">
        <v>9</v>
      </c>
      <c r="G556" s="122"/>
      <c r="H556" s="155">
        <f>230.2-12.3+7.6-7.6-31-26.3-12.5-13.2-86-24.9</f>
        <v>23.999999999999979</v>
      </c>
      <c r="I556" s="156"/>
    </row>
    <row r="557" spans="1:9" ht="12.75" customHeight="1" x14ac:dyDescent="0.2">
      <c r="A557" s="94">
        <v>548</v>
      </c>
      <c r="B557" s="78"/>
      <c r="C557" s="145" t="s">
        <v>1850</v>
      </c>
      <c r="D557" s="146"/>
      <c r="E557" s="147"/>
      <c r="F557" s="121" t="s">
        <v>9</v>
      </c>
      <c r="G557" s="122"/>
      <c r="H557" s="155">
        <v>20.100000000000001</v>
      </c>
      <c r="I557" s="156"/>
    </row>
    <row r="558" spans="1:9" ht="15.75" customHeight="1" x14ac:dyDescent="0.2">
      <c r="A558" s="94">
        <v>549</v>
      </c>
      <c r="B558" s="78"/>
      <c r="C558" s="175" t="s">
        <v>3184</v>
      </c>
      <c r="D558" s="176"/>
      <c r="E558" s="177"/>
      <c r="F558" s="190" t="s">
        <v>74</v>
      </c>
      <c r="G558" s="191"/>
      <c r="H558" s="193">
        <f>19.2-1.3</f>
        <v>17.899999999999999</v>
      </c>
      <c r="I558" s="194"/>
    </row>
    <row r="559" spans="1:9" ht="12.75" customHeight="1" x14ac:dyDescent="0.2">
      <c r="A559" s="94">
        <v>550</v>
      </c>
      <c r="B559" s="78"/>
      <c r="C559" s="145" t="s">
        <v>2011</v>
      </c>
      <c r="D559" s="146"/>
      <c r="E559" s="147"/>
      <c r="F559" s="121" t="s">
        <v>18</v>
      </c>
      <c r="G559" s="122"/>
      <c r="H559" s="155">
        <f>19.2+18.8+5.8-5.8-19.2</f>
        <v>18.8</v>
      </c>
      <c r="I559" s="156"/>
    </row>
    <row r="560" spans="1:9" ht="12.75" customHeight="1" x14ac:dyDescent="0.2">
      <c r="A560" s="94">
        <v>551</v>
      </c>
      <c r="B560" s="78"/>
      <c r="C560" s="145" t="s">
        <v>1591</v>
      </c>
      <c r="D560" s="146"/>
      <c r="E560" s="147"/>
      <c r="F560" s="121" t="s">
        <v>18</v>
      </c>
      <c r="G560" s="122"/>
      <c r="H560" s="155">
        <v>6.3</v>
      </c>
      <c r="I560" s="156"/>
    </row>
    <row r="561" spans="1:9" ht="41.25" customHeight="1" x14ac:dyDescent="0.2">
      <c r="A561" s="94">
        <v>552</v>
      </c>
      <c r="B561" s="78"/>
      <c r="C561" s="145" t="s">
        <v>4577</v>
      </c>
      <c r="D561" s="146"/>
      <c r="E561" s="147"/>
      <c r="F561" s="121" t="s">
        <v>18</v>
      </c>
      <c r="G561" s="122"/>
      <c r="H561" s="155">
        <f>51.3+4.5+40.4+3.5+19.9+2.3+4.5+4.3+11+5.3+19.9+19.5+7.4+6.6+5-2.3-7.4+13.7-3.7-3.5+3.2+17.8-11+20.1+21.1+7.3+16.6+20.4-4.3-18.8-3.2-4.5-5+20.1-16.6-6.6+20.2+7.6-4.3-4.5-13.7-60-20.4-20.1+29.4-12.6+21.1+6.6-16.9-51.8-7.6-6.6-2.7+17.8+10.6-3.5-6.3-5.3-6.5+4.4+21.2-4.4-21.2+11.2+19.9+22.2+5.4+20.6+6.5+266.6-5.4+81.1+5.4-5.4+3.7-19-21.1+10.5-10.5-13.2-3.7-8.3+3.4-20.6+7.4+4.4-3.4+4+2.2-2.2-41.2+3.8-10.6+8.4-20.6-4-3.8</f>
        <v>422.99999999999989</v>
      </c>
      <c r="I561" s="156"/>
    </row>
    <row r="562" spans="1:9" ht="30.75" customHeight="1" x14ac:dyDescent="0.2">
      <c r="A562" s="94">
        <v>553</v>
      </c>
      <c r="B562" s="78"/>
      <c r="C562" s="145" t="s">
        <v>3450</v>
      </c>
      <c r="D562" s="146"/>
      <c r="E562" s="147"/>
      <c r="F562" s="121" t="s">
        <v>18</v>
      </c>
      <c r="G562" s="122"/>
      <c r="H562" s="155">
        <f>47+7.8</f>
        <v>54.8</v>
      </c>
      <c r="I562" s="156"/>
    </row>
    <row r="563" spans="1:9" x14ac:dyDescent="0.2">
      <c r="A563" s="94">
        <v>554</v>
      </c>
      <c r="B563" s="78"/>
      <c r="C563" s="145" t="s">
        <v>4826</v>
      </c>
      <c r="D563" s="146"/>
      <c r="E563" s="147"/>
      <c r="F563" s="121" t="s">
        <v>18</v>
      </c>
      <c r="G563" s="122"/>
      <c r="H563" s="155">
        <f>39.5+6.4+4.2-4.2</f>
        <v>45.9</v>
      </c>
      <c r="I563" s="156"/>
    </row>
    <row r="564" spans="1:9" x14ac:dyDescent="0.2">
      <c r="A564" s="94">
        <v>555</v>
      </c>
      <c r="B564" s="78" t="s">
        <v>3540</v>
      </c>
      <c r="C564" s="145" t="s">
        <v>3647</v>
      </c>
      <c r="D564" s="146"/>
      <c r="E564" s="147"/>
      <c r="F564" s="121" t="s">
        <v>18</v>
      </c>
      <c r="G564" s="122"/>
      <c r="H564" s="155">
        <v>10.1</v>
      </c>
      <c r="I564" s="156"/>
    </row>
    <row r="565" spans="1:9" ht="12.75" customHeight="1" x14ac:dyDescent="0.2">
      <c r="A565" s="94">
        <v>556</v>
      </c>
      <c r="B565" s="78"/>
      <c r="C565" s="145" t="s">
        <v>2857</v>
      </c>
      <c r="D565" s="146"/>
      <c r="E565" s="147"/>
      <c r="F565" s="121" t="s">
        <v>18</v>
      </c>
      <c r="G565" s="122"/>
      <c r="H565" s="155">
        <f>76+102.3-26-51.6-25.2-24.8</f>
        <v>50.700000000000017</v>
      </c>
      <c r="I565" s="156"/>
    </row>
    <row r="566" spans="1:9" ht="12.75" customHeight="1" x14ac:dyDescent="0.2">
      <c r="A566" s="94">
        <v>557</v>
      </c>
      <c r="B566" s="78" t="s">
        <v>3540</v>
      </c>
      <c r="C566" s="145" t="s">
        <v>3990</v>
      </c>
      <c r="D566" s="146"/>
      <c r="E566" s="147"/>
      <c r="F566" s="121" t="s">
        <v>24</v>
      </c>
      <c r="G566" s="122"/>
      <c r="H566" s="155">
        <v>6.2</v>
      </c>
      <c r="I566" s="156"/>
    </row>
    <row r="567" spans="1:9" ht="12.75" customHeight="1" x14ac:dyDescent="0.2">
      <c r="A567" s="94">
        <v>558</v>
      </c>
      <c r="B567" s="78"/>
      <c r="C567" s="145" t="s">
        <v>3141</v>
      </c>
      <c r="D567" s="146"/>
      <c r="E567" s="147"/>
      <c r="F567" s="121" t="s">
        <v>84</v>
      </c>
      <c r="G567" s="122"/>
      <c r="H567" s="155">
        <f>100.8+11.3+5.1+31.9+31-31.9+105.7+5.2-11.3-5.2-5.1-153.8-7.5-31</f>
        <v>45.19999999999996</v>
      </c>
      <c r="I567" s="156"/>
    </row>
    <row r="568" spans="1:9" ht="12.75" customHeight="1" x14ac:dyDescent="0.2">
      <c r="A568" s="94">
        <v>559</v>
      </c>
      <c r="B568" s="78"/>
      <c r="C568" s="145" t="s">
        <v>3163</v>
      </c>
      <c r="D568" s="146"/>
      <c r="E568" s="147"/>
      <c r="F568" s="121" t="s">
        <v>90</v>
      </c>
      <c r="G568" s="122"/>
      <c r="H568" s="155">
        <f>9.8+13.4+21.2+48.8+2.8+47.3-48.8+34.6+15.7-21.2-9.8-2.8-34.6-4-6.8+5.9-5.9+15.2-5.6-6.6-6.1</f>
        <v>62.500000000000021</v>
      </c>
      <c r="I568" s="156"/>
    </row>
    <row r="569" spans="1:9" ht="12.75" customHeight="1" x14ac:dyDescent="0.2">
      <c r="A569" s="94">
        <v>560</v>
      </c>
      <c r="B569" s="78" t="s">
        <v>741</v>
      </c>
      <c r="C569" s="145" t="s">
        <v>4391</v>
      </c>
      <c r="D569" s="146"/>
      <c r="E569" s="147"/>
      <c r="F569" s="121" t="s">
        <v>90</v>
      </c>
      <c r="G569" s="122"/>
      <c r="H569" s="155">
        <f>83-17.8-22.3</f>
        <v>42.900000000000006</v>
      </c>
      <c r="I569" s="156"/>
    </row>
    <row r="570" spans="1:9" ht="12.75" customHeight="1" x14ac:dyDescent="0.2">
      <c r="A570" s="94">
        <v>561</v>
      </c>
      <c r="B570" s="78"/>
      <c r="C570" s="145" t="s">
        <v>3462</v>
      </c>
      <c r="D570" s="146"/>
      <c r="E570" s="147"/>
      <c r="F570" s="121" t="s">
        <v>90</v>
      </c>
      <c r="G570" s="122"/>
      <c r="H570" s="155">
        <f>26.1+9.2-12.3-9.2</f>
        <v>13.799999999999997</v>
      </c>
      <c r="I570" s="156"/>
    </row>
    <row r="571" spans="1:9" ht="12.75" customHeight="1" x14ac:dyDescent="0.2">
      <c r="A571" s="94">
        <v>562</v>
      </c>
      <c r="B571" s="78"/>
      <c r="C571" s="145" t="s">
        <v>3007</v>
      </c>
      <c r="D571" s="146"/>
      <c r="E571" s="147"/>
      <c r="F571" s="121" t="s">
        <v>90</v>
      </c>
      <c r="G571" s="122"/>
      <c r="H571" s="155">
        <f>16.6+2</f>
        <v>18.600000000000001</v>
      </c>
      <c r="I571" s="156"/>
    </row>
    <row r="572" spans="1:9" ht="12.75" customHeight="1" x14ac:dyDescent="0.2">
      <c r="A572" s="94">
        <v>563</v>
      </c>
      <c r="B572" s="78" t="s">
        <v>3540</v>
      </c>
      <c r="C572" s="145" t="s">
        <v>5080</v>
      </c>
      <c r="D572" s="146"/>
      <c r="E572" s="147"/>
      <c r="F572" s="121" t="s">
        <v>90</v>
      </c>
      <c r="G572" s="122"/>
      <c r="H572" s="155">
        <f>2.8+5.2+2.1+2.9+2.7-2.9</f>
        <v>12.799999999999999</v>
      </c>
      <c r="I572" s="156"/>
    </row>
    <row r="573" spans="1:9" ht="12.75" customHeight="1" x14ac:dyDescent="0.2">
      <c r="A573" s="94">
        <v>564</v>
      </c>
      <c r="B573" s="78" t="s">
        <v>3540</v>
      </c>
      <c r="C573" s="145" t="s">
        <v>4907</v>
      </c>
      <c r="D573" s="146"/>
      <c r="E573" s="147"/>
      <c r="F573" s="121" t="s">
        <v>90</v>
      </c>
      <c r="G573" s="122"/>
      <c r="H573" s="155">
        <v>5.3</v>
      </c>
      <c r="I573" s="156"/>
    </row>
    <row r="574" spans="1:9" ht="12.75" customHeight="1" x14ac:dyDescent="0.2">
      <c r="A574" s="94">
        <v>565</v>
      </c>
      <c r="B574" s="78" t="s">
        <v>3540</v>
      </c>
      <c r="C574" s="145" t="s">
        <v>3560</v>
      </c>
      <c r="D574" s="146"/>
      <c r="E574" s="147"/>
      <c r="F574" s="121" t="s">
        <v>90</v>
      </c>
      <c r="G574" s="122"/>
      <c r="H574" s="155">
        <v>2</v>
      </c>
      <c r="I574" s="156"/>
    </row>
    <row r="575" spans="1:9" ht="12.75" customHeight="1" x14ac:dyDescent="0.2">
      <c r="A575" s="94">
        <v>566</v>
      </c>
      <c r="B575" s="78"/>
      <c r="C575" s="145" t="s">
        <v>640</v>
      </c>
      <c r="D575" s="146"/>
      <c r="E575" s="147"/>
      <c r="F575" s="121" t="s">
        <v>84</v>
      </c>
      <c r="G575" s="122"/>
      <c r="H575" s="155"/>
      <c r="I575" s="156"/>
    </row>
    <row r="576" spans="1:9" ht="12.75" customHeight="1" x14ac:dyDescent="0.2">
      <c r="A576" s="94">
        <v>567</v>
      </c>
      <c r="B576" s="78"/>
      <c r="C576" s="145" t="s">
        <v>1536</v>
      </c>
      <c r="D576" s="146"/>
      <c r="E576" s="147"/>
      <c r="F576" s="121" t="s">
        <v>18</v>
      </c>
      <c r="G576" s="122"/>
      <c r="H576" s="155">
        <f>4.7+10.4-10.4</f>
        <v>4.7000000000000011</v>
      </c>
      <c r="I576" s="156"/>
    </row>
    <row r="577" spans="1:9" ht="12.75" customHeight="1" x14ac:dyDescent="0.2">
      <c r="A577" s="94">
        <v>568</v>
      </c>
      <c r="B577" s="78" t="s">
        <v>3540</v>
      </c>
      <c r="C577" s="145" t="s">
        <v>3773</v>
      </c>
      <c r="D577" s="146"/>
      <c r="E577" s="147"/>
      <c r="F577" s="121" t="s">
        <v>90</v>
      </c>
      <c r="G577" s="122"/>
      <c r="H577" s="155">
        <v>6.4</v>
      </c>
      <c r="I577" s="156"/>
    </row>
    <row r="578" spans="1:9" ht="12.75" customHeight="1" x14ac:dyDescent="0.2">
      <c r="A578" s="94">
        <v>569</v>
      </c>
      <c r="B578" s="78"/>
      <c r="C578" s="145" t="s">
        <v>926</v>
      </c>
      <c r="D578" s="146"/>
      <c r="E578" s="147"/>
      <c r="F578" s="121" t="s">
        <v>431</v>
      </c>
      <c r="G578" s="122"/>
      <c r="H578" s="155">
        <v>13</v>
      </c>
      <c r="I578" s="156"/>
    </row>
    <row r="579" spans="1:9" ht="12.75" customHeight="1" x14ac:dyDescent="0.2">
      <c r="A579" s="94">
        <v>570</v>
      </c>
      <c r="B579" s="78"/>
      <c r="C579" s="145" t="s">
        <v>4733</v>
      </c>
      <c r="D579" s="146"/>
      <c r="E579" s="147"/>
      <c r="F579" s="121" t="s">
        <v>431</v>
      </c>
      <c r="G579" s="122"/>
      <c r="H579" s="155">
        <f>60.1-9-7.3</f>
        <v>43.800000000000004</v>
      </c>
      <c r="I579" s="156"/>
    </row>
    <row r="580" spans="1:9" ht="12.75" customHeight="1" x14ac:dyDescent="0.2">
      <c r="A580" s="94">
        <v>571</v>
      </c>
      <c r="B580" s="78" t="s">
        <v>3557</v>
      </c>
      <c r="C580" s="145" t="s">
        <v>3582</v>
      </c>
      <c r="D580" s="146"/>
      <c r="E580" s="147"/>
      <c r="F580" s="121" t="s">
        <v>431</v>
      </c>
      <c r="G580" s="122"/>
      <c r="H580" s="155">
        <v>92.4</v>
      </c>
      <c r="I580" s="156"/>
    </row>
    <row r="581" spans="1:9" x14ac:dyDescent="0.2">
      <c r="A581" s="94">
        <v>572</v>
      </c>
      <c r="B581" s="78"/>
      <c r="C581" s="145" t="s">
        <v>5034</v>
      </c>
      <c r="D581" s="146"/>
      <c r="E581" s="147"/>
      <c r="F581" s="121" t="s">
        <v>18</v>
      </c>
      <c r="G581" s="122"/>
      <c r="H581" s="155">
        <f>4.9+55.1+27.6+8.2+4.8+11.5+7.6-11.5+6+223.2-35.6-4.8+10.1-10.1-27.4-4.9+27-14.2-11.6-84-16.3</f>
        <v>165.59999999999997</v>
      </c>
      <c r="I581" s="156"/>
    </row>
    <row r="582" spans="1:9" x14ac:dyDescent="0.2">
      <c r="A582" s="94">
        <v>573</v>
      </c>
      <c r="B582" s="78"/>
      <c r="C582" s="145" t="s">
        <v>4648</v>
      </c>
      <c r="D582" s="146"/>
      <c r="E582" s="147"/>
      <c r="F582" s="121" t="s">
        <v>18</v>
      </c>
      <c r="G582" s="122"/>
      <c r="H582" s="155">
        <f>26.5-11.8+13.2-14.7+6.4-13.2+6.2-6.4</f>
        <v>6.2000000000000011</v>
      </c>
      <c r="I582" s="156"/>
    </row>
    <row r="583" spans="1:9" ht="12.75" customHeight="1" x14ac:dyDescent="0.2">
      <c r="A583" s="94">
        <v>574</v>
      </c>
      <c r="B583" s="78"/>
      <c r="C583" s="145" t="s">
        <v>1891</v>
      </c>
      <c r="D583" s="146"/>
      <c r="E583" s="147"/>
      <c r="F583" s="121" t="s">
        <v>111</v>
      </c>
      <c r="G583" s="122"/>
      <c r="H583" s="155">
        <f>62.8-44</f>
        <v>18.799999999999997</v>
      </c>
      <c r="I583" s="156"/>
    </row>
    <row r="584" spans="1:9" ht="12.75" customHeight="1" x14ac:dyDescent="0.2">
      <c r="A584" s="94">
        <v>575</v>
      </c>
      <c r="B584" s="78"/>
      <c r="C584" s="145" t="s">
        <v>5133</v>
      </c>
      <c r="D584" s="146"/>
      <c r="E584" s="147"/>
      <c r="F584" s="121" t="s">
        <v>90</v>
      </c>
      <c r="G584" s="122"/>
      <c r="H584" s="155">
        <v>34.5</v>
      </c>
      <c r="I584" s="156"/>
    </row>
    <row r="585" spans="1:9" ht="12.75" customHeight="1" x14ac:dyDescent="0.2">
      <c r="A585" s="94">
        <v>576</v>
      </c>
      <c r="B585" s="78"/>
      <c r="C585" s="145" t="s">
        <v>4308</v>
      </c>
      <c r="D585" s="146"/>
      <c r="E585" s="147"/>
      <c r="F585" s="121" t="s">
        <v>632</v>
      </c>
      <c r="G585" s="122"/>
      <c r="H585" s="155">
        <f>234-23-23.1-23.3-11.6+14.6-14.6+11-68+6+18.6-6-23.6-3.7-18.6-19.7-23.1-2</f>
        <v>23.899999999999984</v>
      </c>
      <c r="I585" s="156"/>
    </row>
    <row r="586" spans="1:9" ht="12.75" customHeight="1" x14ac:dyDescent="0.2">
      <c r="A586" s="94">
        <v>577</v>
      </c>
      <c r="B586" s="78"/>
      <c r="C586" s="145" t="s">
        <v>2438</v>
      </c>
      <c r="D586" s="146"/>
      <c r="E586" s="147"/>
      <c r="F586" s="121" t="s">
        <v>90</v>
      </c>
      <c r="G586" s="122"/>
      <c r="H586" s="155">
        <f>309.5-56.7-29.3-32.7-32.8+12.4-12.4-27.1+75.5+82.5-6-6.3-65.4-32.5+26.8+19.5-35+13.1-13.1+7.3-7.3+10.1-11.6-26.8-10.1-6-8.8-6.2</f>
        <v>130.59999999999997</v>
      </c>
      <c r="I586" s="156"/>
    </row>
    <row r="587" spans="1:9" ht="30.75" customHeight="1" x14ac:dyDescent="0.2">
      <c r="A587" s="94">
        <v>578</v>
      </c>
      <c r="B587" s="78"/>
      <c r="C587" s="145" t="s">
        <v>4939</v>
      </c>
      <c r="D587" s="146"/>
      <c r="E587" s="147"/>
      <c r="F587" s="121" t="s">
        <v>90</v>
      </c>
      <c r="G587" s="122"/>
      <c r="H587" s="155">
        <f>4+15.4-4+10.4+2.6-10.4-15.4+4.9+7.7</f>
        <v>15.2</v>
      </c>
      <c r="I587" s="156"/>
    </row>
    <row r="588" spans="1:9" ht="12.75" customHeight="1" x14ac:dyDescent="0.2">
      <c r="A588" s="94">
        <v>579</v>
      </c>
      <c r="B588" s="78"/>
      <c r="C588" s="145" t="s">
        <v>4699</v>
      </c>
      <c r="D588" s="146"/>
      <c r="E588" s="147"/>
      <c r="F588" s="121" t="s">
        <v>431</v>
      </c>
      <c r="G588" s="122"/>
      <c r="H588" s="155">
        <v>41.2</v>
      </c>
      <c r="I588" s="156"/>
    </row>
    <row r="589" spans="1:9" ht="30.75" customHeight="1" x14ac:dyDescent="0.2">
      <c r="A589" s="94">
        <v>580</v>
      </c>
      <c r="B589" s="78" t="s">
        <v>741</v>
      </c>
      <c r="C589" s="145" t="s">
        <v>4698</v>
      </c>
      <c r="D589" s="146"/>
      <c r="E589" s="147"/>
      <c r="F589" s="121" t="s">
        <v>90</v>
      </c>
      <c r="G589" s="122"/>
      <c r="H589" s="155">
        <v>83</v>
      </c>
      <c r="I589" s="156"/>
    </row>
    <row r="590" spans="1:9" x14ac:dyDescent="0.2">
      <c r="A590" s="94">
        <v>581</v>
      </c>
      <c r="B590" s="78"/>
      <c r="C590" s="145" t="s">
        <v>3065</v>
      </c>
      <c r="D590" s="146"/>
      <c r="E590" s="147"/>
      <c r="F590" s="121" t="s">
        <v>18</v>
      </c>
      <c r="G590" s="122"/>
      <c r="H590" s="155">
        <v>13.9</v>
      </c>
      <c r="I590" s="156"/>
    </row>
    <row r="591" spans="1:9" ht="12.75" customHeight="1" x14ac:dyDescent="0.2">
      <c r="A591" s="94">
        <v>582</v>
      </c>
      <c r="B591" s="78"/>
      <c r="C591" s="145" t="s">
        <v>4680</v>
      </c>
      <c r="D591" s="146"/>
      <c r="E591" s="147"/>
      <c r="F591" s="121" t="s">
        <v>90</v>
      </c>
      <c r="G591" s="122"/>
      <c r="H591" s="155">
        <f>62.2-33.7+16.5-16.5+9.9-9.9+9.7+7.3-7.3</f>
        <v>38.200000000000003</v>
      </c>
      <c r="I591" s="156"/>
    </row>
    <row r="592" spans="1:9" ht="12.75" customHeight="1" x14ac:dyDescent="0.2">
      <c r="A592" s="94">
        <v>583</v>
      </c>
      <c r="B592" s="78" t="s">
        <v>3540</v>
      </c>
      <c r="C592" s="145" t="s">
        <v>4210</v>
      </c>
      <c r="D592" s="146"/>
      <c r="E592" s="147"/>
      <c r="F592" s="121" t="s">
        <v>90</v>
      </c>
      <c r="G592" s="122"/>
      <c r="H592" s="155">
        <v>3.2</v>
      </c>
      <c r="I592" s="156"/>
    </row>
    <row r="593" spans="1:9" ht="12.75" customHeight="1" x14ac:dyDescent="0.2">
      <c r="A593" s="94">
        <v>584</v>
      </c>
      <c r="B593" s="78"/>
      <c r="C593" s="145" t="s">
        <v>5134</v>
      </c>
      <c r="D593" s="146"/>
      <c r="E593" s="147"/>
      <c r="F593" s="121" t="s">
        <v>24</v>
      </c>
      <c r="G593" s="122"/>
      <c r="H593" s="155">
        <v>39.6</v>
      </c>
      <c r="I593" s="156"/>
    </row>
    <row r="594" spans="1:9" ht="12.75" customHeight="1" x14ac:dyDescent="0.2">
      <c r="A594" s="94">
        <v>585</v>
      </c>
      <c r="B594" s="78"/>
      <c r="C594" s="145" t="s">
        <v>3231</v>
      </c>
      <c r="D594" s="146"/>
      <c r="E594" s="147"/>
      <c r="F594" s="121" t="s">
        <v>90</v>
      </c>
      <c r="G594" s="122"/>
      <c r="H594" s="155">
        <f>69-30+39.2+37.5+60.8+32+19-37.5-9.3+44.4-39.2-39-44.4-9.7-14.7</f>
        <v>78.099999999999966</v>
      </c>
      <c r="I594" s="156"/>
    </row>
    <row r="595" spans="1:9" ht="35.25" customHeight="1" x14ac:dyDescent="0.2">
      <c r="A595" s="94">
        <v>586</v>
      </c>
      <c r="B595" s="78"/>
      <c r="C595" s="145" t="s">
        <v>5252</v>
      </c>
      <c r="D595" s="146"/>
      <c r="E595" s="147"/>
      <c r="F595" s="121" t="s">
        <v>84</v>
      </c>
      <c r="G595" s="122"/>
      <c r="H595" s="155">
        <f>119.1-14.2-18.1-16.5</f>
        <v>70.299999999999983</v>
      </c>
      <c r="I595" s="156"/>
    </row>
    <row r="596" spans="1:9" ht="31.5" customHeight="1" x14ac:dyDescent="0.2">
      <c r="A596" s="94">
        <v>587</v>
      </c>
      <c r="B596" s="78"/>
      <c r="C596" s="145" t="s">
        <v>3529</v>
      </c>
      <c r="D596" s="146"/>
      <c r="E596" s="147"/>
      <c r="F596" s="121" t="s">
        <v>90</v>
      </c>
      <c r="G596" s="122"/>
      <c r="H596" s="155">
        <f>7.4+8.8+7.1-3.5-8.8-3.6+3.9+3.8-3.9+5.6-5.6</f>
        <v>11.200000000000005</v>
      </c>
      <c r="I596" s="156"/>
    </row>
    <row r="597" spans="1:9" ht="12.75" customHeight="1" x14ac:dyDescent="0.2">
      <c r="A597" s="94">
        <v>588</v>
      </c>
      <c r="B597" s="78"/>
      <c r="C597" s="145" t="s">
        <v>4803</v>
      </c>
      <c r="D597" s="146"/>
      <c r="E597" s="147"/>
      <c r="F597" s="121" t="s">
        <v>431</v>
      </c>
      <c r="G597" s="122"/>
      <c r="H597" s="155">
        <v>63.9</v>
      </c>
      <c r="I597" s="156"/>
    </row>
    <row r="598" spans="1:9" ht="12.75" customHeight="1" x14ac:dyDescent="0.2">
      <c r="A598" s="94">
        <v>589</v>
      </c>
      <c r="B598" s="78"/>
      <c r="C598" s="145" t="s">
        <v>3632</v>
      </c>
      <c r="D598" s="146"/>
      <c r="E598" s="147"/>
      <c r="F598" s="121" t="s">
        <v>431</v>
      </c>
      <c r="G598" s="122"/>
      <c r="H598" s="155">
        <f>75+14-37-38</f>
        <v>14</v>
      </c>
      <c r="I598" s="156"/>
    </row>
    <row r="599" spans="1:9" ht="12.75" customHeight="1" x14ac:dyDescent="0.2">
      <c r="A599" s="94">
        <v>590</v>
      </c>
      <c r="B599" s="78"/>
      <c r="C599" s="145" t="s">
        <v>2697</v>
      </c>
      <c r="D599" s="146"/>
      <c r="E599" s="147"/>
      <c r="F599" s="121" t="s">
        <v>2696</v>
      </c>
      <c r="G599" s="122"/>
      <c r="H599" s="155">
        <v>7.9</v>
      </c>
      <c r="I599" s="156"/>
    </row>
    <row r="600" spans="1:9" ht="12.75" customHeight="1" x14ac:dyDescent="0.2">
      <c r="A600" s="94">
        <v>591</v>
      </c>
      <c r="B600" s="78"/>
      <c r="C600" s="145" t="s">
        <v>784</v>
      </c>
      <c r="D600" s="146"/>
      <c r="E600" s="147"/>
      <c r="F600" s="121" t="s">
        <v>90</v>
      </c>
      <c r="G600" s="122"/>
      <c r="H600" s="155"/>
      <c r="I600" s="156"/>
    </row>
    <row r="601" spans="1:9" ht="12.75" customHeight="1" x14ac:dyDescent="0.2">
      <c r="A601" s="94">
        <v>592</v>
      </c>
      <c r="B601" s="78"/>
      <c r="C601" s="145" t="s">
        <v>1771</v>
      </c>
      <c r="D601" s="146"/>
      <c r="E601" s="147"/>
      <c r="F601" s="121" t="s">
        <v>18</v>
      </c>
      <c r="G601" s="122"/>
      <c r="H601" s="155">
        <f>13.9+27-13.9</f>
        <v>27</v>
      </c>
      <c r="I601" s="156"/>
    </row>
    <row r="602" spans="1:9" ht="12.75" customHeight="1" x14ac:dyDescent="0.2">
      <c r="A602" s="94">
        <v>593</v>
      </c>
      <c r="B602" s="78"/>
      <c r="C602" s="145" t="s">
        <v>1916</v>
      </c>
      <c r="D602" s="146"/>
      <c r="E602" s="147"/>
      <c r="F602" s="121" t="s">
        <v>18</v>
      </c>
      <c r="G602" s="122"/>
      <c r="H602" s="155">
        <f>37.2+34.2-37.2+20.8+22.8+36.3+33.9-20.8+16.5-16.5+21.1-21.1+9.8-9.8-22.8-36.3-33.9+10.4-10.4-15.5+36+29.3+18+27.4+22.5+109.5+73+28.6+22.7+15.1-22.7-51.6-164.7-45.4-22.5-28.6</f>
        <v>65.300000000000011</v>
      </c>
      <c r="I602" s="156"/>
    </row>
    <row r="603" spans="1:9" ht="12.75" customHeight="1" x14ac:dyDescent="0.2">
      <c r="A603" s="94">
        <v>594</v>
      </c>
      <c r="B603" s="78"/>
      <c r="C603" s="145" t="s">
        <v>3461</v>
      </c>
      <c r="D603" s="146"/>
      <c r="E603" s="147"/>
      <c r="F603" s="121" t="s">
        <v>18</v>
      </c>
      <c r="G603" s="122"/>
      <c r="H603" s="155">
        <f>86.6-18.2-12.2-8-10-18.2+8.5+4.2-4.2+4.2-8.5-4.2</f>
        <v>19.999999999999989</v>
      </c>
      <c r="I603" s="156"/>
    </row>
    <row r="604" spans="1:9" x14ac:dyDescent="0.2">
      <c r="A604" s="94">
        <v>595</v>
      </c>
      <c r="B604" s="78"/>
      <c r="C604" s="145" t="s">
        <v>3066</v>
      </c>
      <c r="D604" s="146"/>
      <c r="E604" s="147"/>
      <c r="F604" s="121" t="s">
        <v>18</v>
      </c>
      <c r="G604" s="122"/>
      <c r="H604" s="155">
        <v>10</v>
      </c>
      <c r="I604" s="156"/>
    </row>
    <row r="605" spans="1:9" x14ac:dyDescent="0.2">
      <c r="A605" s="94">
        <v>596</v>
      </c>
      <c r="B605" s="78" t="s">
        <v>3540</v>
      </c>
      <c r="C605" s="145" t="s">
        <v>4762</v>
      </c>
      <c r="D605" s="146"/>
      <c r="E605" s="147"/>
      <c r="F605" s="121" t="s">
        <v>18</v>
      </c>
      <c r="G605" s="122"/>
      <c r="H605" s="155">
        <v>3.3</v>
      </c>
      <c r="I605" s="156"/>
    </row>
    <row r="606" spans="1:9" ht="15.75" customHeight="1" x14ac:dyDescent="0.2">
      <c r="A606" s="94">
        <v>597</v>
      </c>
      <c r="B606" s="78"/>
      <c r="C606" s="175" t="s">
        <v>4304</v>
      </c>
      <c r="D606" s="176"/>
      <c r="E606" s="177"/>
      <c r="F606" s="190" t="s">
        <v>4305</v>
      </c>
      <c r="G606" s="191"/>
      <c r="H606" s="193">
        <v>46.8</v>
      </c>
      <c r="I606" s="194"/>
    </row>
    <row r="607" spans="1:9" ht="12.75" customHeight="1" x14ac:dyDescent="0.2">
      <c r="A607" s="94">
        <v>598</v>
      </c>
      <c r="B607" s="78" t="s">
        <v>3540</v>
      </c>
      <c r="C607" s="145" t="s">
        <v>3623</v>
      </c>
      <c r="D607" s="146"/>
      <c r="E607" s="147"/>
      <c r="F607" s="121" t="s">
        <v>273</v>
      </c>
      <c r="G607" s="122"/>
      <c r="H607" s="155">
        <v>8.5</v>
      </c>
      <c r="I607" s="156"/>
    </row>
    <row r="608" spans="1:9" ht="12.75" customHeight="1" x14ac:dyDescent="0.2">
      <c r="A608" s="94">
        <v>599</v>
      </c>
      <c r="B608" s="78"/>
      <c r="C608" s="145" t="s">
        <v>1500</v>
      </c>
      <c r="D608" s="146"/>
      <c r="E608" s="147"/>
      <c r="F608" s="121" t="s">
        <v>84</v>
      </c>
      <c r="G608" s="122"/>
      <c r="H608" s="155">
        <v>46.1</v>
      </c>
      <c r="I608" s="156"/>
    </row>
    <row r="609" spans="1:9" ht="12.75" customHeight="1" x14ac:dyDescent="0.2">
      <c r="A609" s="94">
        <v>600</v>
      </c>
      <c r="B609" s="78"/>
      <c r="C609" s="145" t="s">
        <v>881</v>
      </c>
      <c r="D609" s="146"/>
      <c r="E609" s="147"/>
      <c r="F609" s="121" t="s">
        <v>84</v>
      </c>
      <c r="G609" s="122"/>
      <c r="H609" s="155">
        <v>9</v>
      </c>
      <c r="I609" s="156"/>
    </row>
    <row r="610" spans="1:9" ht="12.75" customHeight="1" x14ac:dyDescent="0.2">
      <c r="A610" s="94">
        <v>601</v>
      </c>
      <c r="B610" s="78"/>
      <c r="C610" s="145" t="s">
        <v>3286</v>
      </c>
      <c r="D610" s="146"/>
      <c r="E610" s="147"/>
      <c r="F610" s="121" t="s">
        <v>84</v>
      </c>
      <c r="G610" s="122"/>
      <c r="H610" s="155">
        <v>21.3</v>
      </c>
      <c r="I610" s="156"/>
    </row>
    <row r="611" spans="1:9" ht="12.75" customHeight="1" x14ac:dyDescent="0.2">
      <c r="A611" s="94">
        <v>602</v>
      </c>
      <c r="B611" s="78"/>
      <c r="C611" s="145" t="s">
        <v>1369</v>
      </c>
      <c r="D611" s="146"/>
      <c r="E611" s="147"/>
      <c r="F611" s="121" t="s">
        <v>84</v>
      </c>
      <c r="G611" s="122"/>
      <c r="H611" s="155">
        <v>5.8</v>
      </c>
      <c r="I611" s="156"/>
    </row>
    <row r="612" spans="1:9" ht="12.75" customHeight="1" x14ac:dyDescent="0.2">
      <c r="A612" s="94">
        <v>603</v>
      </c>
      <c r="B612" s="78" t="s">
        <v>741</v>
      </c>
      <c r="C612" s="145" t="s">
        <v>1141</v>
      </c>
      <c r="D612" s="146"/>
      <c r="E612" s="147"/>
      <c r="F612" s="121" t="s">
        <v>18</v>
      </c>
      <c r="G612" s="122"/>
      <c r="H612" s="155">
        <v>30.9</v>
      </c>
      <c r="I612" s="156"/>
    </row>
    <row r="613" spans="1:9" ht="12.75" customHeight="1" x14ac:dyDescent="0.2">
      <c r="A613" s="94">
        <v>604</v>
      </c>
      <c r="B613" s="78"/>
      <c r="C613" s="145" t="s">
        <v>2233</v>
      </c>
      <c r="D613" s="146"/>
      <c r="E613" s="147"/>
      <c r="F613" s="121" t="s">
        <v>18</v>
      </c>
      <c r="G613" s="122"/>
      <c r="H613" s="155">
        <v>12.6</v>
      </c>
      <c r="I613" s="156"/>
    </row>
    <row r="614" spans="1:9" ht="12.75" customHeight="1" x14ac:dyDescent="0.2">
      <c r="A614" s="94">
        <v>605</v>
      </c>
      <c r="B614" s="78"/>
      <c r="C614" s="145" t="s">
        <v>2573</v>
      </c>
      <c r="D614" s="146"/>
      <c r="E614" s="147"/>
      <c r="F614" s="121" t="s">
        <v>18</v>
      </c>
      <c r="G614" s="122"/>
      <c r="H614" s="155">
        <v>202.8</v>
      </c>
      <c r="I614" s="156"/>
    </row>
    <row r="615" spans="1:9" ht="12.75" customHeight="1" x14ac:dyDescent="0.2">
      <c r="A615" s="94">
        <v>606</v>
      </c>
      <c r="B615" s="78"/>
      <c r="C615" s="145" t="s">
        <v>1127</v>
      </c>
      <c r="D615" s="146"/>
      <c r="E615" s="147"/>
      <c r="F615" s="121" t="s">
        <v>84</v>
      </c>
      <c r="G615" s="122"/>
      <c r="H615" s="155">
        <f>3.6+30.7+10.9-3.6-30.7+7.3-10.9+5.9-5.9+10.9-10.9</f>
        <v>7.2999999999999954</v>
      </c>
      <c r="I615" s="156"/>
    </row>
    <row r="616" spans="1:9" ht="12.75" customHeight="1" x14ac:dyDescent="0.2">
      <c r="A616" s="94">
        <v>607</v>
      </c>
      <c r="B616" s="78"/>
      <c r="C616" s="145" t="s">
        <v>2341</v>
      </c>
      <c r="D616" s="146"/>
      <c r="E616" s="147"/>
      <c r="F616" s="121" t="s">
        <v>192</v>
      </c>
      <c r="G616" s="122"/>
      <c r="H616" s="155">
        <f>13.5-4.5-4.6+0.1</f>
        <v>4.5</v>
      </c>
      <c r="I616" s="156"/>
    </row>
    <row r="617" spans="1:9" ht="12.75" customHeight="1" x14ac:dyDescent="0.2">
      <c r="A617" s="94">
        <v>608</v>
      </c>
      <c r="B617" s="78"/>
      <c r="C617" s="145" t="s">
        <v>3013</v>
      </c>
      <c r="D617" s="146"/>
      <c r="E617" s="147"/>
      <c r="F617" s="121" t="s">
        <v>90</v>
      </c>
      <c r="G617" s="122"/>
      <c r="H617" s="155">
        <f>78.3+5.8-58.7+23.6-5.8+49.8+46.4+14.2-19.6-14.2+14.6-14.6-73.4</f>
        <v>46.400000000000006</v>
      </c>
      <c r="I617" s="156"/>
    </row>
    <row r="618" spans="1:9" ht="12.75" customHeight="1" x14ac:dyDescent="0.2">
      <c r="A618" s="94">
        <v>609</v>
      </c>
      <c r="B618" s="78"/>
      <c r="C618" s="145" t="s">
        <v>1814</v>
      </c>
      <c r="D618" s="146"/>
      <c r="E618" s="147"/>
      <c r="F618" s="121" t="s">
        <v>84</v>
      </c>
      <c r="G618" s="122"/>
      <c r="H618" s="155">
        <v>39.299999999999997</v>
      </c>
      <c r="I618" s="156"/>
    </row>
    <row r="619" spans="1:9" ht="12.75" customHeight="1" x14ac:dyDescent="0.2">
      <c r="A619" s="94">
        <v>610</v>
      </c>
      <c r="B619" s="78" t="s">
        <v>3540</v>
      </c>
      <c r="C619" s="145" t="s">
        <v>4764</v>
      </c>
      <c r="D619" s="146"/>
      <c r="E619" s="147"/>
      <c r="F619" s="121" t="s">
        <v>84</v>
      </c>
      <c r="G619" s="122"/>
      <c r="H619" s="155">
        <f>3.4+2.8</f>
        <v>6.1999999999999993</v>
      </c>
      <c r="I619" s="156"/>
    </row>
    <row r="620" spans="1:9" ht="12.75" customHeight="1" x14ac:dyDescent="0.2">
      <c r="A620" s="94">
        <v>611</v>
      </c>
      <c r="B620" s="78"/>
      <c r="C620" s="145" t="s">
        <v>1359</v>
      </c>
      <c r="D620" s="146"/>
      <c r="E620" s="147"/>
      <c r="F620" s="121" t="s">
        <v>84</v>
      </c>
      <c r="G620" s="122"/>
      <c r="H620" s="155">
        <f>9.2+4.9-9.2+4.8+5.6-5.6-4.8+8.8-4.9</f>
        <v>8.7999999999999989</v>
      </c>
      <c r="I620" s="156"/>
    </row>
    <row r="621" spans="1:9" ht="12.75" customHeight="1" x14ac:dyDescent="0.2">
      <c r="A621" s="94">
        <v>612</v>
      </c>
      <c r="B621" s="78"/>
      <c r="C621" s="145" t="s">
        <v>5390</v>
      </c>
      <c r="D621" s="146"/>
      <c r="E621" s="147"/>
      <c r="F621" s="121" t="s">
        <v>431</v>
      </c>
      <c r="G621" s="122"/>
      <c r="H621" s="155">
        <f>46.1-14.4</f>
        <v>31.700000000000003</v>
      </c>
      <c r="I621" s="156"/>
    </row>
    <row r="622" spans="1:9" ht="12.75" customHeight="1" x14ac:dyDescent="0.2">
      <c r="A622" s="94">
        <v>613</v>
      </c>
      <c r="B622" s="78"/>
      <c r="C622" s="145" t="s">
        <v>4418</v>
      </c>
      <c r="D622" s="146"/>
      <c r="E622" s="147"/>
      <c r="F622" s="121" t="s">
        <v>273</v>
      </c>
      <c r="G622" s="122"/>
      <c r="H622" s="155">
        <f>78.8-12.5-13.8-23.2</f>
        <v>29.3</v>
      </c>
      <c r="I622" s="156"/>
    </row>
    <row r="623" spans="1:9" ht="12.75" customHeight="1" x14ac:dyDescent="0.2">
      <c r="A623" s="94">
        <v>614</v>
      </c>
      <c r="B623" s="78"/>
      <c r="C623" s="145" t="s">
        <v>3473</v>
      </c>
      <c r="D623" s="146"/>
      <c r="E623" s="147"/>
      <c r="F623" s="121" t="s">
        <v>18</v>
      </c>
      <c r="G623" s="122"/>
      <c r="H623" s="155">
        <f>46.6+17.2+46-46+133.8-17.2+6.8-6.8-46.6+45.4-41.6-46.1</f>
        <v>91.500000000000057</v>
      </c>
      <c r="I623" s="156"/>
    </row>
    <row r="624" spans="1:9" ht="12.75" customHeight="1" x14ac:dyDescent="0.2">
      <c r="A624" s="94">
        <v>615</v>
      </c>
      <c r="B624" s="78"/>
      <c r="C624" s="145" t="s">
        <v>2856</v>
      </c>
      <c r="D624" s="146"/>
      <c r="E624" s="147"/>
      <c r="F624" s="121" t="s">
        <v>18</v>
      </c>
      <c r="G624" s="122"/>
      <c r="H624" s="155">
        <f>43-15</f>
        <v>28</v>
      </c>
      <c r="I624" s="156"/>
    </row>
    <row r="625" spans="1:9" ht="12.75" customHeight="1" x14ac:dyDescent="0.2">
      <c r="A625" s="94">
        <v>616</v>
      </c>
      <c r="B625" s="78" t="s">
        <v>3540</v>
      </c>
      <c r="C625" s="145" t="s">
        <v>4444</v>
      </c>
      <c r="D625" s="146"/>
      <c r="E625" s="147"/>
      <c r="F625" s="121" t="s">
        <v>18</v>
      </c>
      <c r="G625" s="122"/>
      <c r="H625" s="155">
        <v>40.4</v>
      </c>
      <c r="I625" s="156"/>
    </row>
    <row r="626" spans="1:9" ht="12.75" customHeight="1" x14ac:dyDescent="0.2">
      <c r="A626" s="94">
        <v>617</v>
      </c>
      <c r="B626" s="78"/>
      <c r="C626" s="145" t="s">
        <v>2527</v>
      </c>
      <c r="D626" s="146"/>
      <c r="E626" s="147"/>
      <c r="F626" s="121" t="s">
        <v>18</v>
      </c>
      <c r="G626" s="122"/>
      <c r="H626" s="155">
        <f>16.9-6.2</f>
        <v>10.7</v>
      </c>
      <c r="I626" s="156"/>
    </row>
    <row r="627" spans="1:9" ht="12.75" customHeight="1" x14ac:dyDescent="0.2">
      <c r="A627" s="94">
        <v>618</v>
      </c>
      <c r="B627" s="78"/>
      <c r="C627" s="145" t="s">
        <v>3620</v>
      </c>
      <c r="D627" s="146"/>
      <c r="E627" s="147"/>
      <c r="F627" s="121" t="s">
        <v>273</v>
      </c>
      <c r="G627" s="122"/>
      <c r="H627" s="155">
        <f>63.3-18.8-0.3</f>
        <v>44.2</v>
      </c>
      <c r="I627" s="156"/>
    </row>
    <row r="628" spans="1:9" ht="12.75" customHeight="1" x14ac:dyDescent="0.2">
      <c r="A628" s="94">
        <v>619</v>
      </c>
      <c r="B628" s="78"/>
      <c r="C628" s="145" t="s">
        <v>4362</v>
      </c>
      <c r="D628" s="146"/>
      <c r="E628" s="147"/>
      <c r="F628" s="121" t="s">
        <v>90</v>
      </c>
      <c r="G628" s="122"/>
      <c r="H628" s="155">
        <f>40.4+9.4+30.4+17.2-40.4</f>
        <v>56.999999999999993</v>
      </c>
      <c r="I628" s="156"/>
    </row>
    <row r="629" spans="1:9" x14ac:dyDescent="0.2">
      <c r="A629" s="94">
        <v>620</v>
      </c>
      <c r="B629" s="78"/>
      <c r="C629" s="211" t="s">
        <v>5291</v>
      </c>
      <c r="D629" s="212"/>
      <c r="E629" s="213"/>
      <c r="F629" s="201" t="s">
        <v>84</v>
      </c>
      <c r="G629" s="198"/>
      <c r="H629" s="155">
        <v>4.2</v>
      </c>
      <c r="I629" s="198"/>
    </row>
    <row r="630" spans="1:9" ht="12.75" customHeight="1" x14ac:dyDescent="0.2">
      <c r="A630" s="94">
        <v>621</v>
      </c>
      <c r="B630" s="78"/>
      <c r="C630" s="145" t="s">
        <v>5132</v>
      </c>
      <c r="D630" s="146"/>
      <c r="E630" s="147"/>
      <c r="F630" s="121" t="s">
        <v>90</v>
      </c>
      <c r="G630" s="122"/>
      <c r="H630" s="155">
        <v>39.4</v>
      </c>
      <c r="I630" s="156"/>
    </row>
    <row r="631" spans="1:9" ht="22.5" customHeight="1" x14ac:dyDescent="0.2">
      <c r="A631" s="94">
        <v>622</v>
      </c>
      <c r="B631" s="78"/>
      <c r="C631" s="145" t="s">
        <v>2867</v>
      </c>
      <c r="D631" s="146"/>
      <c r="E631" s="147"/>
      <c r="F631" s="121" t="s">
        <v>90</v>
      </c>
      <c r="G631" s="122"/>
      <c r="H631" s="155">
        <f>72.5+24.4-6-16.5-11.3-3.2+47.1+9.6+3.5+15.4+12.5+11-13.1-3.2+47.9+11.6-32.3+42.9-15.4+12.9+8.8-12.5-22.6+20.3-24.4-12.9-90.8+40.2-19.8+12.7-20.3-10.9-20.4-12.7-23.1</f>
        <v>21.90000000000007</v>
      </c>
      <c r="I631" s="156"/>
    </row>
    <row r="632" spans="1:9" x14ac:dyDescent="0.2">
      <c r="A632" s="94">
        <v>623</v>
      </c>
      <c r="B632" s="78"/>
      <c r="C632" s="145" t="s">
        <v>4561</v>
      </c>
      <c r="D632" s="146"/>
      <c r="E632" s="147"/>
      <c r="F632" s="121" t="s">
        <v>90</v>
      </c>
      <c r="G632" s="122"/>
      <c r="H632" s="155">
        <f>61-27.3+20.7+33.8-29.2+10.2+12.4+5.2+6.1+47.8+46.1+8.1-20.7+47.4-46.1-24-33.8+27.7-47.6-10.2+5.6+12.7-12.7-23.6+10.5-6.1-12.4-8.1-5.2+5.2+7-5.6-27.7-7</f>
        <v>20.2</v>
      </c>
      <c r="I632" s="156"/>
    </row>
    <row r="633" spans="1:9" ht="12.75" customHeight="1" x14ac:dyDescent="0.2">
      <c r="A633" s="94">
        <v>624</v>
      </c>
      <c r="B633" s="78"/>
      <c r="C633" s="145" t="s">
        <v>2885</v>
      </c>
      <c r="D633" s="146"/>
      <c r="E633" s="147"/>
      <c r="F633" s="121" t="s">
        <v>90</v>
      </c>
      <c r="G633" s="122"/>
      <c r="H633" s="155">
        <f>78.4+8-78.4+10.7+20.2-20.2-8+13.6-6.5+19</f>
        <v>36.799999999999997</v>
      </c>
      <c r="I633" s="156"/>
    </row>
    <row r="634" spans="1:9" ht="28.15" customHeight="1" x14ac:dyDescent="0.2">
      <c r="A634" s="94">
        <v>625</v>
      </c>
      <c r="B634" s="78"/>
      <c r="C634" s="145" t="s">
        <v>2602</v>
      </c>
      <c r="D634" s="146"/>
      <c r="E634" s="147"/>
      <c r="F634" s="121" t="s">
        <v>18</v>
      </c>
      <c r="G634" s="122"/>
      <c r="H634" s="155">
        <f>8.4+24.5-8.4+55.4+26-55.4+13.6+56+25+23.8+8.5+23.5+6.8+53.1-13.6+42+54.5+26.2+25.3-41-110.5+45.3+51.4-24.5-8.5+22.4+11.1+20.8+18+8.3+39.3+12.6+106.4-15.1-50.3+38.2+54+12.8-11.1-38.2-71.5-51.4-25-12.6-54-18-92.7+13.5-13.5-13.3+41.1-23.5</f>
        <v>215.6999999999999</v>
      </c>
      <c r="I634" s="156"/>
    </row>
    <row r="635" spans="1:9" ht="12.75" customHeight="1" x14ac:dyDescent="0.2">
      <c r="A635" s="94">
        <v>626</v>
      </c>
      <c r="B635" s="78"/>
      <c r="C635" s="145" t="s">
        <v>3169</v>
      </c>
      <c r="D635" s="146"/>
      <c r="E635" s="147"/>
      <c r="F635" s="121" t="s">
        <v>18</v>
      </c>
      <c r="G635" s="122"/>
      <c r="H635" s="155">
        <f>41.2+40.4+44.4-41.2-19.6</f>
        <v>65.199999999999989</v>
      </c>
      <c r="I635" s="156"/>
    </row>
    <row r="636" spans="1:9" ht="12.75" customHeight="1" x14ac:dyDescent="0.2">
      <c r="A636" s="94">
        <v>627</v>
      </c>
      <c r="B636" s="78"/>
      <c r="C636" s="145" t="s">
        <v>1064</v>
      </c>
      <c r="D636" s="146"/>
      <c r="E636" s="147"/>
      <c r="F636" s="121" t="s">
        <v>18</v>
      </c>
      <c r="G636" s="122"/>
      <c r="H636" s="155">
        <f>30.1-5.8+4.8-4.7-10.2+4.4</f>
        <v>18.600000000000001</v>
      </c>
      <c r="I636" s="156"/>
    </row>
    <row r="637" spans="1:9" ht="12.75" customHeight="1" x14ac:dyDescent="0.2">
      <c r="A637" s="94">
        <v>628</v>
      </c>
      <c r="B637" s="78"/>
      <c r="C637" s="145" t="s">
        <v>678</v>
      </c>
      <c r="D637" s="146"/>
      <c r="E637" s="147"/>
      <c r="F637" s="121" t="s">
        <v>18</v>
      </c>
      <c r="G637" s="122"/>
      <c r="H637" s="155">
        <v>2.8</v>
      </c>
      <c r="I637" s="156"/>
    </row>
    <row r="638" spans="1:9" ht="12.75" customHeight="1" x14ac:dyDescent="0.2">
      <c r="A638" s="94">
        <v>629</v>
      </c>
      <c r="B638" s="78"/>
      <c r="C638" s="145" t="s">
        <v>1063</v>
      </c>
      <c r="D638" s="146"/>
      <c r="E638" s="147"/>
      <c r="F638" s="121" t="s">
        <v>18</v>
      </c>
      <c r="G638" s="122"/>
      <c r="H638" s="155"/>
      <c r="I638" s="156"/>
    </row>
    <row r="639" spans="1:9" ht="12.75" customHeight="1" x14ac:dyDescent="0.2">
      <c r="A639" s="94">
        <v>630</v>
      </c>
      <c r="B639" s="78"/>
      <c r="C639" s="145" t="s">
        <v>2872</v>
      </c>
      <c r="D639" s="146"/>
      <c r="E639" s="147"/>
      <c r="F639" s="121" t="s">
        <v>192</v>
      </c>
      <c r="G639" s="122"/>
      <c r="H639" s="155">
        <f>121</f>
        <v>121</v>
      </c>
      <c r="I639" s="156"/>
    </row>
    <row r="640" spans="1:9" ht="12.75" customHeight="1" x14ac:dyDescent="0.2">
      <c r="A640" s="94">
        <v>631</v>
      </c>
      <c r="B640" s="78"/>
      <c r="C640" s="145" t="s">
        <v>1295</v>
      </c>
      <c r="D640" s="146"/>
      <c r="E640" s="147"/>
      <c r="F640" s="121" t="s">
        <v>18</v>
      </c>
      <c r="G640" s="122"/>
      <c r="H640" s="155">
        <f>168-65.3-37.4</f>
        <v>65.300000000000011</v>
      </c>
      <c r="I640" s="156"/>
    </row>
    <row r="641" spans="1:9" ht="12.75" customHeight="1" x14ac:dyDescent="0.2">
      <c r="A641" s="94">
        <v>632</v>
      </c>
      <c r="B641" s="78"/>
      <c r="C641" s="145" t="s">
        <v>5297</v>
      </c>
      <c r="D641" s="146"/>
      <c r="E641" s="147"/>
      <c r="F641" s="121" t="s">
        <v>90</v>
      </c>
      <c r="G641" s="122"/>
      <c r="H641" s="155">
        <f>95+8.6+4.1-4.6-4.1+6-8.7+13.1-8.6-6</f>
        <v>94.8</v>
      </c>
      <c r="I641" s="156"/>
    </row>
    <row r="642" spans="1:9" ht="12.75" customHeight="1" x14ac:dyDescent="0.2">
      <c r="A642" s="94">
        <v>633</v>
      </c>
      <c r="B642" s="78"/>
      <c r="C642" s="145" t="s">
        <v>1162</v>
      </c>
      <c r="D642" s="146"/>
      <c r="E642" s="147"/>
      <c r="F642" s="121" t="s">
        <v>1559</v>
      </c>
      <c r="G642" s="122"/>
      <c r="H642" s="155">
        <v>11.9</v>
      </c>
      <c r="I642" s="156"/>
    </row>
    <row r="643" spans="1:9" ht="28.5" customHeight="1" x14ac:dyDescent="0.2">
      <c r="A643" s="94">
        <v>634</v>
      </c>
      <c r="B643" s="78"/>
      <c r="C643" s="145" t="s">
        <v>2977</v>
      </c>
      <c r="D643" s="146"/>
      <c r="E643" s="147"/>
      <c r="F643" s="121" t="s">
        <v>84</v>
      </c>
      <c r="G643" s="122"/>
      <c r="H643" s="155">
        <f>99.7+17.7-17.7-73.6+20.7+10-14.7+21.2-10+42.6-11.4+39.4+14.2+19.6-42.6-14.2+17-39.4+12.6-17+22.4</f>
        <v>96.5</v>
      </c>
      <c r="I643" s="156"/>
    </row>
    <row r="644" spans="1:9" ht="29.25" customHeight="1" x14ac:dyDescent="0.2">
      <c r="A644" s="94">
        <v>635</v>
      </c>
      <c r="B644" s="78"/>
      <c r="C644" s="145" t="s">
        <v>2013</v>
      </c>
      <c r="D644" s="146"/>
      <c r="E644" s="147"/>
      <c r="F644" s="121" t="s">
        <v>84</v>
      </c>
      <c r="G644" s="122"/>
      <c r="H644" s="155">
        <f>189.2+11.2-11.2-37.4-18.4-18</f>
        <v>115.39999999999998</v>
      </c>
      <c r="I644" s="156"/>
    </row>
    <row r="645" spans="1:9" ht="27.75" customHeight="1" x14ac:dyDescent="0.2">
      <c r="A645" s="94">
        <v>636</v>
      </c>
      <c r="B645" s="78"/>
      <c r="C645" s="211" t="s">
        <v>3985</v>
      </c>
      <c r="D645" s="212"/>
      <c r="E645" s="213"/>
      <c r="F645" s="201" t="s">
        <v>84</v>
      </c>
      <c r="G645" s="198"/>
      <c r="H645" s="155">
        <f>103.3-28.3+35+6.1-11.5+4.5+9+5.3-6.1-4.2+11.3+8-8-4.5-11.3+4.2-4.8-25-11.5-5.3</f>
        <v>66.199999999999989</v>
      </c>
      <c r="I645" s="198"/>
    </row>
    <row r="646" spans="1:9" ht="12.75" customHeight="1" x14ac:dyDescent="0.2">
      <c r="A646" s="94">
        <v>637</v>
      </c>
      <c r="B646" s="78"/>
      <c r="C646" s="145" t="s">
        <v>2193</v>
      </c>
      <c r="D646" s="146"/>
      <c r="E646" s="147"/>
      <c r="F646" s="121" t="s">
        <v>84</v>
      </c>
      <c r="G646" s="122"/>
      <c r="H646" s="155">
        <v>11.1</v>
      </c>
      <c r="I646" s="156"/>
    </row>
    <row r="647" spans="1:9" ht="12.75" customHeight="1" x14ac:dyDescent="0.2">
      <c r="A647" s="94">
        <v>638</v>
      </c>
      <c r="B647" s="78"/>
      <c r="C647" s="145" t="s">
        <v>4417</v>
      </c>
      <c r="D647" s="146"/>
      <c r="E647" s="147"/>
      <c r="F647" s="121" t="s">
        <v>431</v>
      </c>
      <c r="G647" s="122"/>
      <c r="H647" s="155">
        <v>94.5</v>
      </c>
      <c r="I647" s="156"/>
    </row>
    <row r="648" spans="1:9" ht="12.75" customHeight="1" x14ac:dyDescent="0.2">
      <c r="A648" s="94">
        <v>639</v>
      </c>
      <c r="B648" s="78"/>
      <c r="C648" s="145" t="s">
        <v>810</v>
      </c>
      <c r="D648" s="146"/>
      <c r="E648" s="147"/>
      <c r="F648" s="121" t="s">
        <v>84</v>
      </c>
      <c r="G648" s="122"/>
      <c r="H648" s="74">
        <v>83.5</v>
      </c>
      <c r="I648" s="74"/>
    </row>
    <row r="649" spans="1:9" x14ac:dyDescent="0.2">
      <c r="A649" s="94">
        <v>640</v>
      </c>
      <c r="B649" s="78"/>
      <c r="C649" s="145" t="s">
        <v>2368</v>
      </c>
      <c r="D649" s="146"/>
      <c r="E649" s="147"/>
      <c r="F649" s="121" t="s">
        <v>18</v>
      </c>
      <c r="G649" s="122"/>
      <c r="H649" s="155">
        <f>165+20.3-131.8+25+30.1-12.5-12.5+50.8+17-13.5-17</f>
        <v>120.89999999999998</v>
      </c>
      <c r="I649" s="156"/>
    </row>
    <row r="650" spans="1:9" x14ac:dyDescent="0.2">
      <c r="A650" s="94">
        <v>641</v>
      </c>
      <c r="B650" s="78"/>
      <c r="C650" s="145" t="s">
        <v>3255</v>
      </c>
      <c r="D650" s="146"/>
      <c r="E650" s="147"/>
      <c r="F650" s="121" t="s">
        <v>18</v>
      </c>
      <c r="G650" s="122"/>
      <c r="H650" s="155">
        <f>9.4+10</f>
        <v>19.399999999999999</v>
      </c>
      <c r="I650" s="156"/>
    </row>
    <row r="651" spans="1:9" x14ac:dyDescent="0.2">
      <c r="A651" s="94">
        <v>642</v>
      </c>
      <c r="B651" s="78" t="s">
        <v>3540</v>
      </c>
      <c r="C651" s="145" t="s">
        <v>4494</v>
      </c>
      <c r="D651" s="146"/>
      <c r="E651" s="147"/>
      <c r="F651" s="121" t="s">
        <v>18</v>
      </c>
      <c r="G651" s="122"/>
      <c r="H651" s="155">
        <v>22.3</v>
      </c>
      <c r="I651" s="156"/>
    </row>
    <row r="652" spans="1:9" ht="12.75" customHeight="1" x14ac:dyDescent="0.2">
      <c r="A652" s="94">
        <v>643</v>
      </c>
      <c r="B652" s="78"/>
      <c r="C652" s="145" t="s">
        <v>1155</v>
      </c>
      <c r="D652" s="146"/>
      <c r="E652" s="147"/>
      <c r="F652" s="121" t="s">
        <v>84</v>
      </c>
      <c r="G652" s="122"/>
      <c r="H652" s="155">
        <v>204.7</v>
      </c>
      <c r="I652" s="156"/>
    </row>
    <row r="653" spans="1:9" ht="12.75" customHeight="1" x14ac:dyDescent="0.2">
      <c r="A653" s="94">
        <v>644</v>
      </c>
      <c r="B653" s="78"/>
      <c r="C653" s="145" t="s">
        <v>2938</v>
      </c>
      <c r="D653" s="146"/>
      <c r="E653" s="147"/>
      <c r="F653" s="121" t="s">
        <v>431</v>
      </c>
      <c r="G653" s="122"/>
      <c r="H653" s="155">
        <v>28.7</v>
      </c>
      <c r="I653" s="156"/>
    </row>
    <row r="654" spans="1:9" ht="12.75" customHeight="1" x14ac:dyDescent="0.2">
      <c r="A654" s="94">
        <v>645</v>
      </c>
      <c r="B654" s="78"/>
      <c r="C654" s="145" t="s">
        <v>2937</v>
      </c>
      <c r="D654" s="146"/>
      <c r="E654" s="147"/>
      <c r="F654" s="121" t="s">
        <v>431</v>
      </c>
      <c r="G654" s="122"/>
      <c r="H654" s="155">
        <f>82.2-15.1-13.8-9.7+19.8-19.8+83.4+8.6-8.6</f>
        <v>127.00000000000003</v>
      </c>
      <c r="I654" s="156"/>
    </row>
    <row r="655" spans="1:9" ht="12.75" customHeight="1" x14ac:dyDescent="0.2">
      <c r="A655" s="94">
        <v>646</v>
      </c>
      <c r="B655" s="78"/>
      <c r="C655" s="145" t="s">
        <v>2939</v>
      </c>
      <c r="D655" s="146"/>
      <c r="E655" s="147"/>
      <c r="F655" s="121" t="s">
        <v>431</v>
      </c>
      <c r="G655" s="122"/>
      <c r="H655" s="155">
        <v>6.3</v>
      </c>
      <c r="I655" s="156"/>
    </row>
    <row r="656" spans="1:9" ht="12.75" customHeight="1" x14ac:dyDescent="0.2">
      <c r="A656" s="94">
        <v>647</v>
      </c>
      <c r="B656" s="78"/>
      <c r="C656" s="145" t="s">
        <v>2936</v>
      </c>
      <c r="D656" s="146"/>
      <c r="E656" s="147"/>
      <c r="F656" s="121" t="s">
        <v>90</v>
      </c>
      <c r="G656" s="122"/>
      <c r="H656" s="155">
        <v>7.7</v>
      </c>
      <c r="I656" s="156"/>
    </row>
    <row r="657" spans="1:9" ht="12.75" customHeight="1" x14ac:dyDescent="0.2">
      <c r="A657" s="94">
        <v>648</v>
      </c>
      <c r="B657" s="78"/>
      <c r="C657" s="145" t="s">
        <v>4730</v>
      </c>
      <c r="D657" s="146"/>
      <c r="E657" s="147"/>
      <c r="F657" s="121" t="s">
        <v>90</v>
      </c>
      <c r="G657" s="122"/>
      <c r="H657" s="155">
        <f>11.8+11.3-11.3</f>
        <v>11.8</v>
      </c>
      <c r="I657" s="156"/>
    </row>
    <row r="658" spans="1:9" ht="12.75" customHeight="1" x14ac:dyDescent="0.2">
      <c r="A658" s="94">
        <v>649</v>
      </c>
      <c r="B658" s="78"/>
      <c r="C658" s="145" t="s">
        <v>4731</v>
      </c>
      <c r="D658" s="146"/>
      <c r="E658" s="147"/>
      <c r="F658" s="121" t="s">
        <v>90</v>
      </c>
      <c r="G658" s="122"/>
      <c r="H658" s="155">
        <f>30.6-5.4</f>
        <v>25.200000000000003</v>
      </c>
      <c r="I658" s="156"/>
    </row>
    <row r="659" spans="1:9" ht="12.75" customHeight="1" x14ac:dyDescent="0.2">
      <c r="A659" s="94">
        <v>650</v>
      </c>
      <c r="B659" s="78"/>
      <c r="C659" s="145" t="s">
        <v>1629</v>
      </c>
      <c r="D659" s="146"/>
      <c r="E659" s="147"/>
      <c r="F659" s="121" t="s">
        <v>18</v>
      </c>
      <c r="G659" s="122"/>
      <c r="H659" s="155">
        <f>460.3-80-30.1-79.1+79.8+78.3-31.9-160.7-46.4+160.8+29.3+24.5-40.1-24.5+35.4-29.3-33.5-35.4</f>
        <v>277.40000000000009</v>
      </c>
      <c r="I659" s="156"/>
    </row>
    <row r="660" spans="1:9" ht="12.75" customHeight="1" x14ac:dyDescent="0.2">
      <c r="A660" s="94">
        <v>651</v>
      </c>
      <c r="B660" s="78"/>
      <c r="C660" s="145" t="s">
        <v>3431</v>
      </c>
      <c r="D660" s="146"/>
      <c r="E660" s="147"/>
      <c r="F660" s="121" t="s">
        <v>84</v>
      </c>
      <c r="G660" s="122"/>
      <c r="H660" s="155">
        <v>14.5</v>
      </c>
      <c r="I660" s="156"/>
    </row>
    <row r="661" spans="1:9" ht="15.75" customHeight="1" x14ac:dyDescent="0.2">
      <c r="A661" s="94">
        <v>652</v>
      </c>
      <c r="B661" s="78" t="s">
        <v>3557</v>
      </c>
      <c r="C661" s="175" t="s">
        <v>5213</v>
      </c>
      <c r="D661" s="176"/>
      <c r="E661" s="177"/>
      <c r="F661" s="190" t="s">
        <v>74</v>
      </c>
      <c r="G661" s="191"/>
      <c r="H661" s="193">
        <v>76.7</v>
      </c>
      <c r="I661" s="194"/>
    </row>
    <row r="662" spans="1:9" ht="12.75" customHeight="1" x14ac:dyDescent="0.2">
      <c r="A662" s="94">
        <v>653</v>
      </c>
      <c r="B662" s="78"/>
      <c r="C662" s="145" t="s">
        <v>3089</v>
      </c>
      <c r="D662" s="146"/>
      <c r="E662" s="147"/>
      <c r="F662" s="121" t="s">
        <v>90</v>
      </c>
      <c r="G662" s="122"/>
      <c r="H662" s="155">
        <f>97.4-14-14-28-14+21.7+97.2-13.7-21.7-13.7+21.7+25+14.6+6.5-6.5-25-14.6-21.7</f>
        <v>97.200000000000031</v>
      </c>
      <c r="I662" s="156"/>
    </row>
    <row r="663" spans="1:9" ht="12.75" customHeight="1" x14ac:dyDescent="0.2">
      <c r="A663" s="94">
        <v>654</v>
      </c>
      <c r="B663" s="78"/>
      <c r="C663" s="145" t="s">
        <v>2717</v>
      </c>
      <c r="D663" s="146"/>
      <c r="E663" s="147"/>
      <c r="F663" s="121" t="s">
        <v>84</v>
      </c>
      <c r="G663" s="122"/>
      <c r="H663" s="155">
        <v>6.6</v>
      </c>
      <c r="I663" s="156"/>
    </row>
    <row r="664" spans="1:9" ht="12.75" customHeight="1" x14ac:dyDescent="0.2">
      <c r="A664" s="94">
        <v>655</v>
      </c>
      <c r="B664" s="78"/>
      <c r="C664" s="145" t="s">
        <v>2532</v>
      </c>
      <c r="D664" s="146"/>
      <c r="E664" s="147"/>
      <c r="F664" s="121" t="s">
        <v>84</v>
      </c>
      <c r="G664" s="122"/>
      <c r="H664" s="155">
        <v>12.4</v>
      </c>
      <c r="I664" s="156"/>
    </row>
    <row r="665" spans="1:9" ht="12.75" customHeight="1" x14ac:dyDescent="0.2">
      <c r="A665" s="94">
        <v>656</v>
      </c>
      <c r="B665" s="78"/>
      <c r="C665" s="145" t="s">
        <v>2518</v>
      </c>
      <c r="D665" s="146"/>
      <c r="E665" s="147"/>
      <c r="F665" s="121" t="s">
        <v>431</v>
      </c>
      <c r="G665" s="122"/>
      <c r="H665" s="155">
        <f>96+16.2</f>
        <v>112.2</v>
      </c>
      <c r="I665" s="156"/>
    </row>
    <row r="666" spans="1:9" ht="12.75" customHeight="1" x14ac:dyDescent="0.2">
      <c r="A666" s="94">
        <v>657</v>
      </c>
      <c r="B666" s="78"/>
      <c r="C666" s="145" t="s">
        <v>2628</v>
      </c>
      <c r="D666" s="146"/>
      <c r="E666" s="147"/>
      <c r="F666" s="121" t="s">
        <v>18</v>
      </c>
      <c r="G666" s="122"/>
      <c r="H666" s="155">
        <f>294.5-108.3</f>
        <v>186.2</v>
      </c>
      <c r="I666" s="156"/>
    </row>
    <row r="667" spans="1:9" ht="12.75" customHeight="1" x14ac:dyDescent="0.2">
      <c r="A667" s="94">
        <v>658</v>
      </c>
      <c r="B667" s="78"/>
      <c r="C667" s="145" t="s">
        <v>2526</v>
      </c>
      <c r="D667" s="146"/>
      <c r="E667" s="147"/>
      <c r="F667" s="121" t="s">
        <v>18</v>
      </c>
      <c r="G667" s="122"/>
      <c r="H667" s="155">
        <v>42.8</v>
      </c>
      <c r="I667" s="156"/>
    </row>
    <row r="668" spans="1:9" ht="12.75" customHeight="1" x14ac:dyDescent="0.2">
      <c r="A668" s="94">
        <v>659</v>
      </c>
      <c r="B668" s="78"/>
      <c r="C668" s="145" t="s">
        <v>863</v>
      </c>
      <c r="D668" s="146"/>
      <c r="E668" s="147"/>
      <c r="F668" s="121" t="s">
        <v>18</v>
      </c>
      <c r="G668" s="122"/>
      <c r="H668" s="155">
        <v>32</v>
      </c>
      <c r="I668" s="156"/>
    </row>
    <row r="669" spans="1:9" ht="12.75" customHeight="1" x14ac:dyDescent="0.2">
      <c r="A669" s="94">
        <v>660</v>
      </c>
      <c r="B669" s="78" t="s">
        <v>3540</v>
      </c>
      <c r="C669" s="145" t="s">
        <v>3993</v>
      </c>
      <c r="D669" s="146"/>
      <c r="E669" s="147"/>
      <c r="F669" s="121" t="s">
        <v>18</v>
      </c>
      <c r="G669" s="122"/>
      <c r="H669" s="155">
        <v>13.2</v>
      </c>
      <c r="I669" s="156"/>
    </row>
    <row r="670" spans="1:9" ht="12.75" customHeight="1" x14ac:dyDescent="0.2">
      <c r="A670" s="94">
        <v>661</v>
      </c>
      <c r="B670" s="78"/>
      <c r="C670" s="145" t="s">
        <v>786</v>
      </c>
      <c r="D670" s="146"/>
      <c r="E670" s="147"/>
      <c r="F670" s="121" t="s">
        <v>84</v>
      </c>
      <c r="G670" s="122"/>
      <c r="H670" s="155">
        <f>60.5-21.2+16.3-33.3+191.4-22.3+46.8-46.8</f>
        <v>191.39999999999998</v>
      </c>
      <c r="I670" s="156"/>
    </row>
    <row r="671" spans="1:9" ht="15.75" customHeight="1" x14ac:dyDescent="0.2">
      <c r="A671" s="94">
        <v>662</v>
      </c>
      <c r="B671" s="78"/>
      <c r="C671" s="145" t="s">
        <v>3986</v>
      </c>
      <c r="D671" s="146"/>
      <c r="E671" s="147"/>
      <c r="F671" s="121" t="s">
        <v>84</v>
      </c>
      <c r="G671" s="122"/>
      <c r="H671" s="155">
        <f>72.1-36</f>
        <v>36.099999999999994</v>
      </c>
      <c r="I671" s="156"/>
    </row>
    <row r="672" spans="1:9" ht="12.75" customHeight="1" x14ac:dyDescent="0.2">
      <c r="A672" s="94">
        <v>663</v>
      </c>
      <c r="B672" s="78"/>
      <c r="C672" s="145" t="s">
        <v>935</v>
      </c>
      <c r="D672" s="146"/>
      <c r="E672" s="147"/>
      <c r="F672" s="121" t="s">
        <v>18</v>
      </c>
      <c r="G672" s="122"/>
      <c r="H672" s="155">
        <v>39.5</v>
      </c>
      <c r="I672" s="156"/>
    </row>
    <row r="673" spans="1:9" ht="12.75" customHeight="1" x14ac:dyDescent="0.2">
      <c r="A673" s="94">
        <v>664</v>
      </c>
      <c r="B673" s="78"/>
      <c r="C673" s="145" t="s">
        <v>3838</v>
      </c>
      <c r="D673" s="146"/>
      <c r="E673" s="147"/>
      <c r="F673" s="121" t="s">
        <v>90</v>
      </c>
      <c r="G673" s="122"/>
      <c r="H673" s="155">
        <f>203-101.5</f>
        <v>101.5</v>
      </c>
      <c r="I673" s="156"/>
    </row>
    <row r="674" spans="1:9" ht="12.75" customHeight="1" x14ac:dyDescent="0.2">
      <c r="A674" s="94">
        <v>665</v>
      </c>
      <c r="B674" s="78"/>
      <c r="C674" s="145" t="s">
        <v>3839</v>
      </c>
      <c r="D674" s="146"/>
      <c r="E674" s="147"/>
      <c r="F674" s="121" t="s">
        <v>90</v>
      </c>
      <c r="G674" s="122"/>
      <c r="H674" s="155">
        <v>52.9</v>
      </c>
      <c r="I674" s="156"/>
    </row>
    <row r="675" spans="1:9" ht="12.75" customHeight="1" x14ac:dyDescent="0.2">
      <c r="A675" s="94">
        <v>666</v>
      </c>
      <c r="B675" s="78"/>
      <c r="C675" s="145" t="s">
        <v>829</v>
      </c>
      <c r="D675" s="146"/>
      <c r="E675" s="147"/>
      <c r="F675" s="121" t="s">
        <v>18</v>
      </c>
      <c r="G675" s="122"/>
      <c r="H675" s="155">
        <f>123.8-62.1</f>
        <v>61.699999999999996</v>
      </c>
      <c r="I675" s="156"/>
    </row>
    <row r="676" spans="1:9" ht="12.75" customHeight="1" x14ac:dyDescent="0.2">
      <c r="A676" s="94">
        <v>667</v>
      </c>
      <c r="B676" s="78"/>
      <c r="C676" s="145" t="s">
        <v>3137</v>
      </c>
      <c r="D676" s="146"/>
      <c r="E676" s="147"/>
      <c r="F676" s="121" t="s">
        <v>18</v>
      </c>
      <c r="G676" s="122"/>
      <c r="H676" s="155">
        <f>46.8+25-25</f>
        <v>46.8</v>
      </c>
      <c r="I676" s="156"/>
    </row>
    <row r="677" spans="1:9" ht="12.75" customHeight="1" x14ac:dyDescent="0.2">
      <c r="A677" s="94">
        <v>668</v>
      </c>
      <c r="B677" s="78"/>
      <c r="C677" s="145" t="s">
        <v>1589</v>
      </c>
      <c r="D677" s="146"/>
      <c r="E677" s="147"/>
      <c r="F677" s="121" t="s">
        <v>90</v>
      </c>
      <c r="G677" s="122"/>
      <c r="H677" s="72">
        <f>109.5-54.9</f>
        <v>54.6</v>
      </c>
      <c r="I677" s="73"/>
    </row>
    <row r="678" spans="1:9" ht="12.75" customHeight="1" x14ac:dyDescent="0.2">
      <c r="A678" s="94">
        <v>669</v>
      </c>
      <c r="B678" s="78"/>
      <c r="C678" s="145" t="s">
        <v>1802</v>
      </c>
      <c r="D678" s="146"/>
      <c r="E678" s="147"/>
      <c r="F678" s="121" t="s">
        <v>90</v>
      </c>
      <c r="G678" s="122"/>
      <c r="H678" s="155">
        <v>48.6</v>
      </c>
      <c r="I678" s="156"/>
    </row>
    <row r="679" spans="1:9" ht="30" customHeight="1" x14ac:dyDescent="0.2">
      <c r="A679" s="94">
        <v>670</v>
      </c>
      <c r="B679" s="78"/>
      <c r="C679" s="145" t="s">
        <v>2776</v>
      </c>
      <c r="D679" s="146"/>
      <c r="E679" s="147"/>
      <c r="F679" s="121" t="s">
        <v>18</v>
      </c>
      <c r="G679" s="122"/>
      <c r="H679" s="155">
        <f>99.4+29+83.7+73.7+65.4-99.4</f>
        <v>251.80000000000004</v>
      </c>
      <c r="I679" s="156"/>
    </row>
    <row r="680" spans="1:9" ht="12.75" customHeight="1" x14ac:dyDescent="0.2">
      <c r="A680" s="94">
        <v>671</v>
      </c>
      <c r="B680" s="78"/>
      <c r="C680" s="145" t="s">
        <v>652</v>
      </c>
      <c r="D680" s="146"/>
      <c r="E680" s="147"/>
      <c r="F680" s="121" t="s">
        <v>18</v>
      </c>
      <c r="G680" s="122"/>
      <c r="H680" s="155">
        <v>11.2</v>
      </c>
      <c r="I680" s="156"/>
    </row>
    <row r="681" spans="1:9" ht="12.75" customHeight="1" x14ac:dyDescent="0.2">
      <c r="A681" s="94">
        <v>672</v>
      </c>
      <c r="B681" s="78"/>
      <c r="C681" s="145" t="s">
        <v>759</v>
      </c>
      <c r="D681" s="146"/>
      <c r="E681" s="147"/>
      <c r="F681" s="121" t="s">
        <v>18</v>
      </c>
      <c r="G681" s="122"/>
      <c r="H681" s="155">
        <f>91.6-53.5</f>
        <v>38.099999999999994</v>
      </c>
      <c r="I681" s="156"/>
    </row>
    <row r="682" spans="1:9" ht="15.75" customHeight="1" x14ac:dyDescent="0.2">
      <c r="A682" s="94">
        <v>673</v>
      </c>
      <c r="B682" s="78"/>
      <c r="C682" s="145" t="s">
        <v>4587</v>
      </c>
      <c r="D682" s="146"/>
      <c r="E682" s="147"/>
      <c r="F682" s="121" t="s">
        <v>18</v>
      </c>
      <c r="G682" s="122"/>
      <c r="H682" s="155">
        <v>39.5</v>
      </c>
      <c r="I682" s="156"/>
    </row>
    <row r="683" spans="1:9" ht="12.75" customHeight="1" x14ac:dyDescent="0.2">
      <c r="A683" s="94">
        <v>674</v>
      </c>
      <c r="B683" s="78"/>
      <c r="C683" s="145" t="s">
        <v>525</v>
      </c>
      <c r="D683" s="146"/>
      <c r="E683" s="147"/>
      <c r="F683" s="121" t="s">
        <v>18</v>
      </c>
      <c r="G683" s="122"/>
      <c r="H683" s="74">
        <v>46.8</v>
      </c>
      <c r="I683" s="74"/>
    </row>
    <row r="684" spans="1:9" ht="12.75" customHeight="1" x14ac:dyDescent="0.2">
      <c r="A684" s="94">
        <v>675</v>
      </c>
      <c r="B684" s="78"/>
      <c r="C684" s="145" t="s">
        <v>2813</v>
      </c>
      <c r="D684" s="146"/>
      <c r="E684" s="147"/>
      <c r="F684" s="121" t="s">
        <v>431</v>
      </c>
      <c r="G684" s="122"/>
      <c r="H684" s="155">
        <v>46.4</v>
      </c>
      <c r="I684" s="156"/>
    </row>
    <row r="685" spans="1:9" ht="12.75" customHeight="1" x14ac:dyDescent="0.2">
      <c r="A685" s="94">
        <v>676</v>
      </c>
      <c r="B685" s="78"/>
      <c r="C685" s="145" t="s">
        <v>4543</v>
      </c>
      <c r="D685" s="146"/>
      <c r="E685" s="147"/>
      <c r="F685" s="121" t="s">
        <v>84</v>
      </c>
      <c r="G685" s="122"/>
      <c r="H685" s="155">
        <v>29.2</v>
      </c>
      <c r="I685" s="156"/>
    </row>
    <row r="686" spans="1:9" ht="12.75" customHeight="1" x14ac:dyDescent="0.2">
      <c r="A686" s="94">
        <v>677</v>
      </c>
      <c r="B686" s="78"/>
      <c r="C686" s="145" t="s">
        <v>2298</v>
      </c>
      <c r="D686" s="146"/>
      <c r="E686" s="147"/>
      <c r="F686" s="121" t="s">
        <v>90</v>
      </c>
      <c r="G686" s="122"/>
      <c r="H686" s="155">
        <f>42.4+22.1-22.1+19.9</f>
        <v>62.3</v>
      </c>
      <c r="I686" s="156"/>
    </row>
    <row r="687" spans="1:9" ht="12.75" customHeight="1" x14ac:dyDescent="0.2">
      <c r="A687" s="94">
        <v>678</v>
      </c>
      <c r="B687" s="78"/>
      <c r="C687" s="145" t="s">
        <v>3439</v>
      </c>
      <c r="D687" s="146"/>
      <c r="E687" s="147"/>
      <c r="F687" s="121" t="s">
        <v>90</v>
      </c>
      <c r="G687" s="122"/>
      <c r="H687" s="155">
        <f>94.7-63.7</f>
        <v>31</v>
      </c>
      <c r="I687" s="156"/>
    </row>
    <row r="688" spans="1:9" ht="12.75" customHeight="1" x14ac:dyDescent="0.2">
      <c r="A688" s="94">
        <v>679</v>
      </c>
      <c r="B688" s="78"/>
      <c r="C688" s="145" t="s">
        <v>2554</v>
      </c>
      <c r="D688" s="146"/>
      <c r="E688" s="147"/>
      <c r="F688" s="121" t="s">
        <v>90</v>
      </c>
      <c r="G688" s="122"/>
      <c r="H688" s="155">
        <v>22.3</v>
      </c>
      <c r="I688" s="156"/>
    </row>
    <row r="689" spans="1:9" ht="12.75" customHeight="1" x14ac:dyDescent="0.2">
      <c r="A689" s="94">
        <v>680</v>
      </c>
      <c r="B689" s="78"/>
      <c r="C689" s="145" t="s">
        <v>2423</v>
      </c>
      <c r="D689" s="146"/>
      <c r="E689" s="147"/>
      <c r="F689" s="121" t="s">
        <v>18</v>
      </c>
      <c r="G689" s="122"/>
      <c r="H689" s="155">
        <v>94</v>
      </c>
      <c r="I689" s="156"/>
    </row>
    <row r="690" spans="1:9" ht="12.75" customHeight="1" x14ac:dyDescent="0.2">
      <c r="A690" s="94">
        <v>681</v>
      </c>
      <c r="B690" s="78"/>
      <c r="C690" s="145" t="s">
        <v>2238</v>
      </c>
      <c r="D690" s="146"/>
      <c r="E690" s="147"/>
      <c r="F690" s="121" t="s">
        <v>18</v>
      </c>
      <c r="G690" s="122"/>
      <c r="H690" s="155">
        <v>15.9</v>
      </c>
      <c r="I690" s="156"/>
    </row>
    <row r="691" spans="1:9" ht="12.75" customHeight="1" x14ac:dyDescent="0.2">
      <c r="A691" s="94">
        <v>682</v>
      </c>
      <c r="B691" s="78"/>
      <c r="C691" s="145" t="s">
        <v>1554</v>
      </c>
      <c r="D691" s="146"/>
      <c r="E691" s="147"/>
      <c r="F691" s="121" t="s">
        <v>18</v>
      </c>
      <c r="G691" s="122"/>
      <c r="H691" s="155">
        <f>129.1-18.6-18.6-45.7</f>
        <v>46.2</v>
      </c>
      <c r="I691" s="156"/>
    </row>
    <row r="692" spans="1:9" ht="12.75" customHeight="1" x14ac:dyDescent="0.2">
      <c r="A692" s="94">
        <v>683</v>
      </c>
      <c r="B692" s="78"/>
      <c r="C692" s="145" t="s">
        <v>1210</v>
      </c>
      <c r="D692" s="146"/>
      <c r="E692" s="147"/>
      <c r="F692" s="121" t="s">
        <v>18</v>
      </c>
      <c r="G692" s="122"/>
      <c r="H692" s="155">
        <v>113</v>
      </c>
      <c r="I692" s="156"/>
    </row>
    <row r="693" spans="1:9" ht="12.75" customHeight="1" x14ac:dyDescent="0.2">
      <c r="A693" s="94">
        <v>684</v>
      </c>
      <c r="B693" s="78"/>
      <c r="C693" s="145" t="s">
        <v>1490</v>
      </c>
      <c r="D693" s="146"/>
      <c r="E693" s="147"/>
      <c r="F693" s="121" t="s">
        <v>18</v>
      </c>
      <c r="G693" s="122"/>
      <c r="H693" s="155">
        <f>56.9+27-56.9+23.7</f>
        <v>50.7</v>
      </c>
      <c r="I693" s="156"/>
    </row>
    <row r="694" spans="1:9" ht="12.75" customHeight="1" x14ac:dyDescent="0.2">
      <c r="A694" s="94">
        <v>685</v>
      </c>
      <c r="B694" s="78"/>
      <c r="C694" s="145" t="s">
        <v>2014</v>
      </c>
      <c r="D694" s="146"/>
      <c r="E694" s="147"/>
      <c r="F694" s="121" t="s">
        <v>90</v>
      </c>
      <c r="G694" s="122"/>
      <c r="H694" s="155">
        <v>6.5</v>
      </c>
      <c r="I694" s="156"/>
    </row>
    <row r="695" spans="1:9" ht="12.75" customHeight="1" x14ac:dyDescent="0.2">
      <c r="A695" s="94">
        <v>686</v>
      </c>
      <c r="B695" s="78"/>
      <c r="C695" s="145" t="s">
        <v>2116</v>
      </c>
      <c r="D695" s="146"/>
      <c r="E695" s="147"/>
      <c r="F695" s="121" t="s">
        <v>431</v>
      </c>
      <c r="G695" s="122"/>
      <c r="H695" s="155">
        <f>105-12-11.8</f>
        <v>81.2</v>
      </c>
      <c r="I695" s="156"/>
    </row>
    <row r="696" spans="1:9" ht="15.75" customHeight="1" x14ac:dyDescent="0.2">
      <c r="A696" s="94">
        <v>687</v>
      </c>
      <c r="B696" s="78"/>
      <c r="C696" s="145" t="s">
        <v>1568</v>
      </c>
      <c r="D696" s="146"/>
      <c r="E696" s="147"/>
      <c r="F696" s="121" t="s">
        <v>84</v>
      </c>
      <c r="G696" s="122"/>
      <c r="H696" s="155">
        <f>141.2-70.4</f>
        <v>70.799999999999983</v>
      </c>
      <c r="I696" s="156"/>
    </row>
    <row r="697" spans="1:9" ht="12.75" customHeight="1" x14ac:dyDescent="0.2">
      <c r="A697" s="94">
        <v>688</v>
      </c>
      <c r="B697" s="78"/>
      <c r="C697" s="145" t="s">
        <v>4646</v>
      </c>
      <c r="D697" s="146"/>
      <c r="E697" s="147"/>
      <c r="F697" s="121" t="s">
        <v>90</v>
      </c>
      <c r="G697" s="122"/>
      <c r="H697" s="155">
        <v>21</v>
      </c>
      <c r="I697" s="156"/>
    </row>
    <row r="698" spans="1:9" ht="12.75" customHeight="1" x14ac:dyDescent="0.2">
      <c r="A698" s="94">
        <v>689</v>
      </c>
      <c r="B698" s="78"/>
      <c r="C698" s="145" t="s">
        <v>3463</v>
      </c>
      <c r="D698" s="146"/>
      <c r="E698" s="147"/>
      <c r="F698" s="121" t="s">
        <v>90</v>
      </c>
      <c r="G698" s="122"/>
      <c r="H698" s="155">
        <v>86.3</v>
      </c>
      <c r="I698" s="156"/>
    </row>
    <row r="699" spans="1:9" ht="12.75" customHeight="1" x14ac:dyDescent="0.2">
      <c r="A699" s="94">
        <v>690</v>
      </c>
      <c r="B699" s="78"/>
      <c r="C699" s="145" t="s">
        <v>3440</v>
      </c>
      <c r="D699" s="146"/>
      <c r="E699" s="147"/>
      <c r="F699" s="121" t="s">
        <v>90</v>
      </c>
      <c r="G699" s="122"/>
      <c r="H699" s="155">
        <f>49.3+128-128</f>
        <v>49.300000000000011</v>
      </c>
      <c r="I699" s="156"/>
    </row>
    <row r="700" spans="1:9" ht="12.75" customHeight="1" x14ac:dyDescent="0.2">
      <c r="A700" s="94">
        <v>691</v>
      </c>
      <c r="B700" s="78"/>
      <c r="C700" s="145" t="s">
        <v>4544</v>
      </c>
      <c r="D700" s="146"/>
      <c r="E700" s="147"/>
      <c r="F700" s="121" t="s">
        <v>18</v>
      </c>
      <c r="G700" s="122"/>
      <c r="H700" s="155">
        <v>27.3</v>
      </c>
      <c r="I700" s="156"/>
    </row>
    <row r="701" spans="1:9" ht="12.75" customHeight="1" x14ac:dyDescent="0.2">
      <c r="A701" s="94">
        <v>692</v>
      </c>
      <c r="B701" s="78"/>
      <c r="C701" s="145" t="s">
        <v>1034</v>
      </c>
      <c r="D701" s="146"/>
      <c r="E701" s="147"/>
      <c r="F701" s="121" t="s">
        <v>18</v>
      </c>
      <c r="G701" s="122"/>
      <c r="H701" s="155">
        <f>156+51.7</f>
        <v>207.7</v>
      </c>
      <c r="I701" s="156"/>
    </row>
    <row r="702" spans="1:9" ht="15.75" customHeight="1" x14ac:dyDescent="0.2">
      <c r="A702" s="94">
        <v>693</v>
      </c>
      <c r="B702" s="78"/>
      <c r="C702" s="145" t="s">
        <v>1284</v>
      </c>
      <c r="D702" s="146"/>
      <c r="E702" s="147"/>
      <c r="F702" s="121" t="s">
        <v>84</v>
      </c>
      <c r="G702" s="122"/>
      <c r="H702" s="155">
        <v>118</v>
      </c>
      <c r="I702" s="156"/>
    </row>
    <row r="703" spans="1:9" ht="12.75" customHeight="1" x14ac:dyDescent="0.2">
      <c r="A703" s="94">
        <v>694</v>
      </c>
      <c r="B703" s="78"/>
      <c r="C703" s="145" t="s">
        <v>875</v>
      </c>
      <c r="D703" s="146"/>
      <c r="E703" s="147"/>
      <c r="F703" s="121" t="s">
        <v>90</v>
      </c>
      <c r="G703" s="122"/>
      <c r="H703" s="155">
        <v>92.8</v>
      </c>
      <c r="I703" s="156"/>
    </row>
    <row r="704" spans="1:9" ht="12.75" customHeight="1" x14ac:dyDescent="0.2">
      <c r="A704" s="94">
        <v>695</v>
      </c>
      <c r="B704" s="78"/>
      <c r="C704" s="145" t="s">
        <v>2783</v>
      </c>
      <c r="D704" s="146"/>
      <c r="E704" s="147"/>
      <c r="F704" s="121" t="s">
        <v>81</v>
      </c>
      <c r="G704" s="122"/>
      <c r="H704" s="155">
        <f>64.5-3.7-0.1-0.6-8-3.8-0.8</f>
        <v>47.5</v>
      </c>
      <c r="I704" s="156"/>
    </row>
    <row r="705" spans="1:9" ht="12.75" customHeight="1" x14ac:dyDescent="0.2">
      <c r="A705" s="94">
        <v>696</v>
      </c>
      <c r="B705" s="78"/>
      <c r="C705" s="145" t="s">
        <v>595</v>
      </c>
      <c r="D705" s="146"/>
      <c r="E705" s="147"/>
      <c r="F705" s="121" t="s">
        <v>81</v>
      </c>
      <c r="G705" s="122"/>
      <c r="H705" s="155">
        <f>124-0.3-10-0.3-0.8-1.5-0.3-1.3-0.3-0.5-0.5-1-0.1</f>
        <v>107.10000000000002</v>
      </c>
      <c r="I705" s="156"/>
    </row>
    <row r="706" spans="1:9" ht="12.75" customHeight="1" x14ac:dyDescent="0.2">
      <c r="A706" s="94">
        <v>697</v>
      </c>
      <c r="B706" s="78"/>
      <c r="C706" s="145" t="s">
        <v>4315</v>
      </c>
      <c r="D706" s="146"/>
      <c r="E706" s="147"/>
      <c r="F706" s="121" t="s">
        <v>81</v>
      </c>
      <c r="G706" s="122"/>
      <c r="H706" s="155">
        <f>0.8-0.4</f>
        <v>0.4</v>
      </c>
      <c r="I706" s="156"/>
    </row>
    <row r="707" spans="1:9" ht="12.75" customHeight="1" x14ac:dyDescent="0.2">
      <c r="A707" s="94">
        <v>698</v>
      </c>
      <c r="B707" s="78"/>
      <c r="C707" s="145" t="s">
        <v>1846</v>
      </c>
      <c r="D707" s="146"/>
      <c r="E707" s="147"/>
      <c r="F707" s="121" t="s">
        <v>83</v>
      </c>
      <c r="G707" s="122"/>
      <c r="H707" s="155">
        <f>32-8-2.9-0.5+2.1-1-1-3-2.5+1.3-3-2+4-2-5-0.5-0.5-1.5</f>
        <v>6.0000000000000036</v>
      </c>
      <c r="I707" s="156"/>
    </row>
    <row r="708" spans="1:9" x14ac:dyDescent="0.2">
      <c r="A708" s="94">
        <v>699</v>
      </c>
      <c r="B708" s="78" t="s">
        <v>2570</v>
      </c>
      <c r="C708" s="145" t="s">
        <v>2839</v>
      </c>
      <c r="D708" s="146"/>
      <c r="E708" s="147"/>
      <c r="F708" s="121" t="s">
        <v>81</v>
      </c>
      <c r="G708" s="122"/>
      <c r="H708" s="155">
        <f>14+2.7-0.6+0.2-0.5+5.6+214.1-0.2-6-0.5+3.4-3.4-20+0.2+10.1-67.2-1+2.7-0.2+20-1-1.7-4-1.4-1-1.7-0.2-0.4-1-0.2-1-0.2-27-1.7-3-0.5-2-0.9-0.2-0.3-1.7-47-3-0.4-47-5.3-1.7-0.2-0.4-0.6</f>
        <v>16.700000000000021</v>
      </c>
      <c r="I708" s="156"/>
    </row>
    <row r="709" spans="1:9" x14ac:dyDescent="0.2">
      <c r="A709" s="94">
        <v>700</v>
      </c>
      <c r="B709" s="78"/>
      <c r="C709" s="145" t="s">
        <v>3338</v>
      </c>
      <c r="D709" s="146"/>
      <c r="E709" s="147"/>
      <c r="F709" s="121" t="s">
        <v>81</v>
      </c>
      <c r="G709" s="122"/>
      <c r="H709" s="155">
        <f>3.7-0.9-0.2-0.3</f>
        <v>2.3000000000000003</v>
      </c>
      <c r="I709" s="156"/>
    </row>
    <row r="710" spans="1:9" ht="12.75" customHeight="1" x14ac:dyDescent="0.2">
      <c r="A710" s="94">
        <v>701</v>
      </c>
      <c r="B710" s="78" t="s">
        <v>3540</v>
      </c>
      <c r="C710" s="145" t="s">
        <v>5199</v>
      </c>
      <c r="D710" s="146"/>
      <c r="E710" s="147"/>
      <c r="F710" s="121" t="s">
        <v>81</v>
      </c>
      <c r="G710" s="122"/>
      <c r="H710" s="155">
        <v>2.7</v>
      </c>
      <c r="I710" s="156"/>
    </row>
    <row r="711" spans="1:9" ht="12.75" customHeight="1" x14ac:dyDescent="0.2">
      <c r="A711" s="94">
        <v>702</v>
      </c>
      <c r="B711" s="78" t="s">
        <v>3540</v>
      </c>
      <c r="C711" s="145" t="s">
        <v>4427</v>
      </c>
      <c r="D711" s="146"/>
      <c r="E711" s="147"/>
      <c r="F711" s="121" t="s">
        <v>83</v>
      </c>
      <c r="G711" s="122"/>
      <c r="H711" s="155">
        <f>35.4-3</f>
        <v>32.4</v>
      </c>
      <c r="I711" s="156"/>
    </row>
    <row r="712" spans="1:9" ht="12.75" customHeight="1" x14ac:dyDescent="0.2">
      <c r="A712" s="94">
        <v>703</v>
      </c>
      <c r="B712" s="78"/>
      <c r="C712" s="145" t="s">
        <v>4839</v>
      </c>
      <c r="D712" s="146"/>
      <c r="E712" s="147"/>
      <c r="F712" s="121" t="s">
        <v>81</v>
      </c>
      <c r="G712" s="122"/>
      <c r="H712" s="72">
        <f>6.5+2.2-1.9+1.4-0.5-3.4-0.3-0.3-0.2-0.6-2+5-0.5-0.8-0.4-0.3+14-0.1+133-0.4-0.3-0.5-1.8-0.3-0.7-5-0.7-0.8-3-2.5-1.9-7-1.2-1.8-2.3-4-1.2-2.4-0.8-14.2-1-1.2-0.4-3.4-0.9-1.3-1.1-0.1-0.5-0.3-0.5-1.7-0.5-0.4</f>
        <v>84.69999999999996</v>
      </c>
      <c r="I712" s="73"/>
    </row>
    <row r="713" spans="1:9" ht="12.75" customHeight="1" x14ac:dyDescent="0.2">
      <c r="A713" s="94">
        <v>704</v>
      </c>
      <c r="B713" s="78"/>
      <c r="C713" s="145" t="s">
        <v>1078</v>
      </c>
      <c r="D713" s="146"/>
      <c r="E713" s="147"/>
      <c r="F713" s="121" t="s">
        <v>81</v>
      </c>
      <c r="G713" s="122"/>
      <c r="H713" s="155">
        <f>17-2.1</f>
        <v>14.9</v>
      </c>
      <c r="I713" s="156"/>
    </row>
    <row r="714" spans="1:9" ht="12.75" customHeight="1" x14ac:dyDescent="0.2">
      <c r="A714" s="94">
        <v>705</v>
      </c>
      <c r="B714" s="78"/>
      <c r="C714" s="145" t="s">
        <v>2419</v>
      </c>
      <c r="D714" s="146"/>
      <c r="E714" s="147"/>
      <c r="F714" s="121" t="s">
        <v>81</v>
      </c>
      <c r="G714" s="122"/>
      <c r="H714" s="155">
        <f>3.2+10.6-1-0.4</f>
        <v>12.4</v>
      </c>
      <c r="I714" s="156"/>
    </row>
    <row r="715" spans="1:9" ht="12.75" customHeight="1" x14ac:dyDescent="0.2">
      <c r="A715" s="94">
        <v>706</v>
      </c>
      <c r="B715" s="78"/>
      <c r="C715" s="145" t="s">
        <v>1077</v>
      </c>
      <c r="D715" s="146"/>
      <c r="E715" s="147"/>
      <c r="F715" s="121" t="s">
        <v>81</v>
      </c>
      <c r="G715" s="122"/>
      <c r="H715" s="155">
        <f>71.8-1-8.5-2-1-5.7-1-3.2-1-1.9-1.9-1.9</f>
        <v>42.699999999999996</v>
      </c>
      <c r="I715" s="156"/>
    </row>
    <row r="716" spans="1:9" ht="12.75" customHeight="1" x14ac:dyDescent="0.2">
      <c r="A716" s="94">
        <v>707</v>
      </c>
      <c r="B716" s="78"/>
      <c r="C716" s="145" t="s">
        <v>1897</v>
      </c>
      <c r="D716" s="146"/>
      <c r="E716" s="147"/>
      <c r="F716" s="121" t="s">
        <v>81</v>
      </c>
      <c r="G716" s="122"/>
      <c r="H716" s="155">
        <v>68.8</v>
      </c>
      <c r="I716" s="156"/>
    </row>
    <row r="717" spans="1:9" ht="12.75" customHeight="1" x14ac:dyDescent="0.2">
      <c r="A717" s="94">
        <v>708</v>
      </c>
      <c r="B717" s="78"/>
      <c r="C717" s="145" t="s">
        <v>2472</v>
      </c>
      <c r="D717" s="146"/>
      <c r="E717" s="147"/>
      <c r="F717" s="121" t="s">
        <v>83</v>
      </c>
      <c r="G717" s="122"/>
      <c r="H717" s="155">
        <f>18+1.1-0.3+0.5+53-7-1-54-0.9-1-0.5</f>
        <v>7.8999999999999968</v>
      </c>
      <c r="I717" s="156"/>
    </row>
    <row r="718" spans="1:9" ht="12.75" customHeight="1" x14ac:dyDescent="0.2">
      <c r="A718" s="94">
        <v>709</v>
      </c>
      <c r="B718" s="78"/>
      <c r="C718" s="145" t="s">
        <v>1366</v>
      </c>
      <c r="D718" s="146"/>
      <c r="E718" s="147"/>
      <c r="F718" s="121" t="s">
        <v>81</v>
      </c>
      <c r="G718" s="122"/>
      <c r="H718" s="155">
        <v>2</v>
      </c>
      <c r="I718" s="156"/>
    </row>
    <row r="719" spans="1:9" ht="12.75" customHeight="1" x14ac:dyDescent="0.2">
      <c r="A719" s="94">
        <v>710</v>
      </c>
      <c r="B719" s="78"/>
      <c r="C719" s="145" t="s">
        <v>1367</v>
      </c>
      <c r="D719" s="146"/>
      <c r="E719" s="147"/>
      <c r="F719" s="121" t="s">
        <v>83</v>
      </c>
      <c r="G719" s="122"/>
      <c r="H719" s="155">
        <v>1</v>
      </c>
      <c r="I719" s="156"/>
    </row>
    <row r="720" spans="1:9" ht="12.75" customHeight="1" x14ac:dyDescent="0.2">
      <c r="A720" s="94">
        <v>711</v>
      </c>
      <c r="B720" s="78" t="s">
        <v>2225</v>
      </c>
      <c r="C720" s="145" t="s">
        <v>4317</v>
      </c>
      <c r="D720" s="146"/>
      <c r="E720" s="147"/>
      <c r="F720" s="121" t="s">
        <v>83</v>
      </c>
      <c r="G720" s="122"/>
      <c r="H720" s="155">
        <f>90+24.2-1.1</f>
        <v>113.10000000000001</v>
      </c>
      <c r="I720" s="156"/>
    </row>
    <row r="721" spans="1:9" ht="12.75" customHeight="1" x14ac:dyDescent="0.2">
      <c r="A721" s="94">
        <v>712</v>
      </c>
      <c r="B721" s="78"/>
      <c r="C721" s="145" t="s">
        <v>4472</v>
      </c>
      <c r="D721" s="146"/>
      <c r="E721" s="147"/>
      <c r="F721" s="121" t="s">
        <v>83</v>
      </c>
      <c r="G721" s="122"/>
      <c r="H721" s="155">
        <f>19.5+27.9+2-0.4-10.5-0.6-2.5-0.7</f>
        <v>34.699999999999996</v>
      </c>
      <c r="I721" s="156"/>
    </row>
    <row r="722" spans="1:9" ht="12.75" customHeight="1" x14ac:dyDescent="0.2">
      <c r="A722" s="94">
        <v>713</v>
      </c>
      <c r="B722" s="78"/>
      <c r="C722" s="145" t="s">
        <v>4094</v>
      </c>
      <c r="D722" s="146"/>
      <c r="E722" s="147"/>
      <c r="F722" s="121" t="s">
        <v>81</v>
      </c>
      <c r="G722" s="122"/>
      <c r="H722" s="155">
        <f>40.5-4-1.4-0.8-0.8-0.7-1.8-1.3-0.8-5.2-8.1+7.3-0.3-1.7-0.7+9.6-2.4-10-0.7-0.7+96.7-0.7-0.7-0.7+1.2-0.5-1.3-0.5-0.5-1.3-2-1.4-1.3-0.7+2.3-60.6-1.3+1.2-1.4-0.4-0.8+15+51.1-0.7-0.7-43-3.4-5.3-1.3-1.7-5.5+77.8-1.3+4.8-2-2.6+13.4-2.9-2.6-2.5+8.7-2.1-1.3-2.2+1.6-2.7-3-0.4-1-0.5-3-3.9+3.9-0.5-0.2</f>
        <v>121.30000000000003</v>
      </c>
      <c r="I722" s="156"/>
    </row>
    <row r="723" spans="1:9" ht="12.75" customHeight="1" x14ac:dyDescent="0.2">
      <c r="A723" s="94">
        <v>714</v>
      </c>
      <c r="B723" s="78"/>
      <c r="C723" s="145" t="s">
        <v>320</v>
      </c>
      <c r="D723" s="146"/>
      <c r="E723" s="147"/>
      <c r="F723" s="121" t="s">
        <v>81</v>
      </c>
      <c r="G723" s="122"/>
      <c r="H723" s="155">
        <f>0.5+2.5-0.5</f>
        <v>2.5</v>
      </c>
      <c r="I723" s="156"/>
    </row>
    <row r="724" spans="1:9" ht="27.75" customHeight="1" x14ac:dyDescent="0.2">
      <c r="A724" s="94">
        <v>715</v>
      </c>
      <c r="B724" s="78"/>
      <c r="C724" s="145" t="s">
        <v>4249</v>
      </c>
      <c r="D724" s="146"/>
      <c r="E724" s="147"/>
      <c r="F724" s="121" t="s">
        <v>83</v>
      </c>
      <c r="G724" s="122"/>
      <c r="H724" s="155">
        <f>64.8-2-49.2-1.3-0.7-1.4+173.3-49.5+1.4-10-10-10-2-10-0.5-2-10+14.1-2+1.1-0.8+7.9+13-0.7-10-0.3+0.7+3.7-0.5-0.2+0.4-1.1-0.7-12-2-0.4+41-3.5+1.9-1.5-5-1.4-1+1.7-1.5+6-10-2-0.5-0.8-1-19.8+1.9-0.7-1.4-0.1-5-5.1-0.7-0.7-1.3-6-0.7-2-2.4</f>
        <v>69.500000000000028</v>
      </c>
      <c r="I724" s="156"/>
    </row>
    <row r="725" spans="1:9" ht="12.75" customHeight="1" x14ac:dyDescent="0.2">
      <c r="A725" s="94">
        <v>716</v>
      </c>
      <c r="B725" s="78"/>
      <c r="C725" s="145" t="s">
        <v>4095</v>
      </c>
      <c r="D725" s="146"/>
      <c r="E725" s="147"/>
      <c r="F725" s="121" t="s">
        <v>81</v>
      </c>
      <c r="G725" s="122"/>
      <c r="H725" s="155">
        <f>27.7-5.9+1.4-0.5+13.8-11.9+39.6-1-6.1+119.5-8.1-0.9-4.1+3.7+4.7-0.4-2.8-50.7-0.7-17.3-1-1.9-20+41+116.6+61-1-0.5-4-2+8.9-0.9-2.1-1-0.9-1-1-1.5-2.1-1-4.8-1-6-4-1-1.1-12.2-1.1+0.7-10-3.8-4+3.9-0.3-6.5-15-8.4-2-3.2-6.6-5-4.5-1.1-13.4-18-0.7-7-0.4-7-2-1.4-1-2.4-1-0.4</f>
        <v>133.89999999999986</v>
      </c>
      <c r="I725" s="156"/>
    </row>
    <row r="726" spans="1:9" ht="12.75" customHeight="1" x14ac:dyDescent="0.2">
      <c r="A726" s="94">
        <v>717</v>
      </c>
      <c r="B726" s="78" t="s">
        <v>3540</v>
      </c>
      <c r="C726" s="145" t="s">
        <v>4486</v>
      </c>
      <c r="D726" s="146"/>
      <c r="E726" s="147"/>
      <c r="F726" s="121" t="s">
        <v>81</v>
      </c>
      <c r="G726" s="122"/>
      <c r="H726" s="155">
        <f>12.5-1.1-2.2</f>
        <v>9.1999999999999993</v>
      </c>
      <c r="I726" s="156"/>
    </row>
    <row r="727" spans="1:9" x14ac:dyDescent="0.2">
      <c r="A727" s="94">
        <v>718</v>
      </c>
      <c r="B727" s="78" t="s">
        <v>2258</v>
      </c>
      <c r="C727" s="145" t="s">
        <v>3702</v>
      </c>
      <c r="D727" s="146"/>
      <c r="E727" s="147"/>
      <c r="F727" s="121" t="s">
        <v>81</v>
      </c>
      <c r="G727" s="122"/>
      <c r="H727" s="155">
        <v>55.9</v>
      </c>
      <c r="I727" s="156"/>
    </row>
    <row r="728" spans="1:9" x14ac:dyDescent="0.2">
      <c r="A728" s="94">
        <v>719</v>
      </c>
      <c r="B728" s="78" t="s">
        <v>3540</v>
      </c>
      <c r="C728" s="145" t="s">
        <v>4653</v>
      </c>
      <c r="D728" s="146"/>
      <c r="E728" s="147"/>
      <c r="F728" s="121" t="s">
        <v>81</v>
      </c>
      <c r="G728" s="122"/>
      <c r="H728" s="155">
        <f>31.5-1-0.5-1.9-0.8-0.8-9.6</f>
        <v>16.899999999999999</v>
      </c>
      <c r="I728" s="156"/>
    </row>
    <row r="729" spans="1:9" ht="12.75" customHeight="1" x14ac:dyDescent="0.2">
      <c r="A729" s="94">
        <v>720</v>
      </c>
      <c r="B729" s="78"/>
      <c r="C729" s="145" t="s">
        <v>2869</v>
      </c>
      <c r="D729" s="146"/>
      <c r="E729" s="147"/>
      <c r="F729" s="121" t="s">
        <v>83</v>
      </c>
      <c r="G729" s="122"/>
      <c r="H729" s="155">
        <f>28.1-3-1-1-4.3-2.5-1.8-1.8-3.2+145+1.8+19.5-1.5-3-22.4-1.8-1.6+5.6-2.8-3+0.8-2+231.4-8.7-2-3-5-2+34.1-3+0.6-3-0.6+0.6-3-6-5.6-4-5.5-0.6+8.2-1.1-15-1-4-1-1.1+0.7-3-0.7-70-100+0.7-9-8.7-26-1-0.3-14-1-1.1</f>
        <v>110.39999999999996</v>
      </c>
      <c r="I729" s="156"/>
    </row>
    <row r="730" spans="1:9" ht="25.5" customHeight="1" x14ac:dyDescent="0.2">
      <c r="A730" s="94">
        <v>721</v>
      </c>
      <c r="B730" s="78"/>
      <c r="C730" s="145" t="s">
        <v>4483</v>
      </c>
      <c r="D730" s="146"/>
      <c r="E730" s="147"/>
      <c r="F730" s="121" t="s">
        <v>81</v>
      </c>
      <c r="G730" s="122"/>
      <c r="H730" s="155">
        <f>95.6+1.3+11.6-3.4-8-51.8+2.5-1.9+7.8-12.9-3.9+1.2+1.9-1.2-1.9-1.3+1.8-1.2-1.8+34.8+143+2.8+160.7+1.2+3.8-1.2-3.9+0.5-16.4-5.8-1.9-5.1-12.4-1.4-7.8-2+19.4-3.8-0.5-7.8-2-14-13-2.3-1.3-4-5.3-4.2-13.3-4-1</f>
        <v>266.2</v>
      </c>
      <c r="I730" s="156"/>
    </row>
    <row r="731" spans="1:9" ht="27.75" customHeight="1" x14ac:dyDescent="0.2">
      <c r="A731" s="94">
        <v>722</v>
      </c>
      <c r="B731" s="78"/>
      <c r="C731" s="145" t="s">
        <v>3693</v>
      </c>
      <c r="D731" s="146"/>
      <c r="E731" s="147"/>
      <c r="F731" s="121" t="s">
        <v>83</v>
      </c>
      <c r="G731" s="122"/>
      <c r="H731" s="155">
        <f>151.8-4-8.4-2.7-2.7+13.8+2.4+1.9+2.6+97.5+3.8-4-1.3+4.5+7.3+0.9-1+7.6-20-1.4-0.6+2.1-0.3-1.2+3.7-6-1.5+12.7-6-0.9+11.8+5.2-1.4-1.1-1.6-0.7-1.3</f>
        <v>261.5</v>
      </c>
      <c r="I731" s="156"/>
    </row>
    <row r="732" spans="1:9" ht="12.75" customHeight="1" x14ac:dyDescent="0.2">
      <c r="A732" s="94">
        <v>723</v>
      </c>
      <c r="B732" s="78" t="s">
        <v>2570</v>
      </c>
      <c r="C732" s="145" t="s">
        <v>3399</v>
      </c>
      <c r="D732" s="146"/>
      <c r="E732" s="147"/>
      <c r="F732" s="121" t="s">
        <v>83</v>
      </c>
      <c r="G732" s="122"/>
      <c r="H732" s="155">
        <v>49</v>
      </c>
      <c r="I732" s="156"/>
    </row>
    <row r="733" spans="1:9" ht="12.75" customHeight="1" x14ac:dyDescent="0.2">
      <c r="A733" s="94">
        <v>724</v>
      </c>
      <c r="B733" s="78"/>
      <c r="C733" s="145" t="s">
        <v>2945</v>
      </c>
      <c r="D733" s="146"/>
      <c r="E733" s="147"/>
      <c r="F733" s="121" t="s">
        <v>83</v>
      </c>
      <c r="G733" s="122"/>
      <c r="H733" s="155">
        <f>44.7+3.1+7.4-6.6-1.6-1.5-1.5-17</f>
        <v>27</v>
      </c>
      <c r="I733" s="156"/>
    </row>
    <row r="734" spans="1:9" ht="33" customHeight="1" x14ac:dyDescent="0.2">
      <c r="A734" s="94">
        <v>725</v>
      </c>
      <c r="B734" s="78"/>
      <c r="C734" s="145" t="s">
        <v>4717</v>
      </c>
      <c r="D734" s="146"/>
      <c r="E734" s="147"/>
      <c r="F734" s="121" t="s">
        <v>83</v>
      </c>
      <c r="G734" s="122"/>
      <c r="H734" s="155">
        <f>99-10-10-30-9.8-15+5.2+2.2+14.9-5.8-5.1-5.1-10.6-1.8-1.1-10+3.6-1.9+1.7+3-4.4-0.2+2.7-0.4+0.7+1.6+1.6+9.5+55.4-0.7+1.4-1.6-3+1.9-1.9</f>
        <v>76</v>
      </c>
      <c r="I734" s="156"/>
    </row>
    <row r="735" spans="1:9" ht="12.75" customHeight="1" x14ac:dyDescent="0.2">
      <c r="A735" s="94">
        <v>726</v>
      </c>
      <c r="B735" s="78"/>
      <c r="C735" s="145" t="s">
        <v>1493</v>
      </c>
      <c r="D735" s="146"/>
      <c r="E735" s="147"/>
      <c r="F735" s="121" t="s">
        <v>83</v>
      </c>
      <c r="G735" s="122"/>
      <c r="H735" s="155">
        <v>15.5</v>
      </c>
      <c r="I735" s="156"/>
    </row>
    <row r="736" spans="1:9" x14ac:dyDescent="0.2">
      <c r="A736" s="94">
        <v>727</v>
      </c>
      <c r="B736" s="78" t="s">
        <v>3540</v>
      </c>
      <c r="C736" s="145" t="s">
        <v>4744</v>
      </c>
      <c r="D736" s="146"/>
      <c r="E736" s="147"/>
      <c r="F736" s="121" t="s">
        <v>81</v>
      </c>
      <c r="G736" s="122"/>
      <c r="H736" s="155">
        <f>5-0.9</f>
        <v>4.0999999999999996</v>
      </c>
      <c r="I736" s="156"/>
    </row>
    <row r="737" spans="1:9" ht="12.75" customHeight="1" x14ac:dyDescent="0.2">
      <c r="A737" s="94">
        <v>728</v>
      </c>
      <c r="B737" s="78"/>
      <c r="C737" s="145" t="s">
        <v>700</v>
      </c>
      <c r="D737" s="146"/>
      <c r="E737" s="147"/>
      <c r="F737" s="121" t="s">
        <v>81</v>
      </c>
      <c r="G737" s="122"/>
      <c r="H737" s="155"/>
      <c r="I737" s="156"/>
    </row>
    <row r="738" spans="1:9" ht="12.75" customHeight="1" x14ac:dyDescent="0.2">
      <c r="A738" s="94">
        <v>729</v>
      </c>
      <c r="B738" s="78"/>
      <c r="C738" s="145" t="s">
        <v>2749</v>
      </c>
      <c r="D738" s="146"/>
      <c r="E738" s="147"/>
      <c r="F738" s="121" t="s">
        <v>83</v>
      </c>
      <c r="G738" s="122"/>
      <c r="H738" s="155">
        <f>171.6+4.2-2.1-32-7-5+3-4.3-5-4.5-3-23-14.5+31.7+1.2-20</f>
        <v>91.299999999999983</v>
      </c>
      <c r="I738" s="156"/>
    </row>
    <row r="739" spans="1:9" ht="30" customHeight="1" x14ac:dyDescent="0.2">
      <c r="A739" s="94">
        <v>730</v>
      </c>
      <c r="B739" s="78"/>
      <c r="C739" s="145" t="s">
        <v>2235</v>
      </c>
      <c r="D739" s="146"/>
      <c r="E739" s="147"/>
      <c r="F739" s="121" t="s">
        <v>81</v>
      </c>
      <c r="G739" s="122"/>
      <c r="H739" s="155">
        <f>75.4-6.5+1.5+21.7-22.2+72.8+1.5-2-4.1-24.6-6.2-0.8-2.1-4+1.8+2.3-1.8-0.8+1.6-1.6-24.7-56.2-7-4.2-1.5+1.1-1.1-1.8-2.4+77-4.1-5+2+4+54+1+28.5-15-4.3+5.8-4.2-3.7-1-2-4.5-1.9-2.2</f>
        <v>128.50000000000003</v>
      </c>
      <c r="I739" s="156"/>
    </row>
    <row r="740" spans="1:9" ht="12.75" customHeight="1" x14ac:dyDescent="0.2">
      <c r="A740" s="94">
        <v>731</v>
      </c>
      <c r="B740" s="78" t="s">
        <v>3540</v>
      </c>
      <c r="C740" s="145" t="s">
        <v>3653</v>
      </c>
      <c r="D740" s="146"/>
      <c r="E740" s="147"/>
      <c r="F740" s="121" t="s">
        <v>81</v>
      </c>
      <c r="G740" s="122"/>
      <c r="H740" s="155">
        <f>34.5-7-7.8-1.2</f>
        <v>18.5</v>
      </c>
      <c r="I740" s="156"/>
    </row>
    <row r="741" spans="1:9" x14ac:dyDescent="0.2">
      <c r="A741" s="94">
        <v>732</v>
      </c>
      <c r="B741" s="78" t="s">
        <v>3557</v>
      </c>
      <c r="C741" s="145" t="s">
        <v>3836</v>
      </c>
      <c r="D741" s="146"/>
      <c r="E741" s="147"/>
      <c r="F741" s="121" t="s">
        <v>81</v>
      </c>
      <c r="G741" s="122"/>
      <c r="H741" s="155">
        <f>43.3+60-1.8</f>
        <v>101.5</v>
      </c>
      <c r="I741" s="156"/>
    </row>
    <row r="742" spans="1:9" ht="31.5" customHeight="1" x14ac:dyDescent="0.2">
      <c r="A742" s="94">
        <v>733</v>
      </c>
      <c r="B742" s="78"/>
      <c r="C742" s="145" t="s">
        <v>3688</v>
      </c>
      <c r="D742" s="146"/>
      <c r="E742" s="147"/>
      <c r="F742" s="121" t="s">
        <v>83</v>
      </c>
      <c r="G742" s="122"/>
      <c r="H742" s="155">
        <f>7.3-2.2-2.1+9.2+0.8+48.2+1.3+39.6-3+1.3-0.8+4.9-3.8-16-2.5-17.5-10.8-3.3+1.8</f>
        <v>52.400000000000006</v>
      </c>
      <c r="I742" s="156"/>
    </row>
    <row r="743" spans="1:9" ht="33" customHeight="1" x14ac:dyDescent="0.2">
      <c r="A743" s="94">
        <v>734</v>
      </c>
      <c r="B743" s="78"/>
      <c r="C743" s="145" t="s">
        <v>3476</v>
      </c>
      <c r="D743" s="146"/>
      <c r="E743" s="147"/>
      <c r="F743" s="121" t="s">
        <v>83</v>
      </c>
      <c r="G743" s="122"/>
      <c r="H743" s="155">
        <f>25.4+2.5-8.7+1.2+195.3-3.7-1.5-10.4-3.2-10+6.3+13.5+8.4-49.7-19.5-4.2</f>
        <v>141.70000000000005</v>
      </c>
      <c r="I743" s="156"/>
    </row>
    <row r="744" spans="1:9" ht="12.75" customHeight="1" x14ac:dyDescent="0.2">
      <c r="A744" s="94">
        <v>735</v>
      </c>
      <c r="B744" s="78"/>
      <c r="C744" s="145" t="s">
        <v>4968</v>
      </c>
      <c r="D744" s="146"/>
      <c r="E744" s="147"/>
      <c r="F744" s="121" t="s">
        <v>83</v>
      </c>
      <c r="G744" s="122"/>
      <c r="H744" s="155">
        <f>10.9-1.5</f>
        <v>9.4</v>
      </c>
      <c r="I744" s="156"/>
    </row>
    <row r="745" spans="1:9" x14ac:dyDescent="0.2">
      <c r="A745" s="94">
        <v>736</v>
      </c>
      <c r="B745" s="78" t="s">
        <v>3540</v>
      </c>
      <c r="C745" s="145" t="s">
        <v>4596</v>
      </c>
      <c r="D745" s="146"/>
      <c r="E745" s="147"/>
      <c r="F745" s="121" t="s">
        <v>81</v>
      </c>
      <c r="G745" s="122"/>
      <c r="H745" s="155">
        <f>1.6+5.6-2.4</f>
        <v>4.7999999999999989</v>
      </c>
      <c r="I745" s="156"/>
    </row>
    <row r="746" spans="1:9" ht="12.75" customHeight="1" x14ac:dyDescent="0.2">
      <c r="A746" s="94">
        <v>737</v>
      </c>
      <c r="B746" s="78"/>
      <c r="C746" s="145" t="s">
        <v>2316</v>
      </c>
      <c r="D746" s="146"/>
      <c r="E746" s="147"/>
      <c r="F746" s="121" t="s">
        <v>83</v>
      </c>
      <c r="G746" s="122"/>
      <c r="H746" s="155">
        <f>1.1+1.4+11.9+2-3.4+1.4-11.9+9.9+39.2+8.9-8.9-1.1-13.2-8.5-18.8-10</f>
        <v>0</v>
      </c>
      <c r="I746" s="156"/>
    </row>
    <row r="747" spans="1:9" x14ac:dyDescent="0.2">
      <c r="A747" s="94">
        <v>738</v>
      </c>
      <c r="B747" s="78" t="s">
        <v>2225</v>
      </c>
      <c r="C747" s="145" t="s">
        <v>3320</v>
      </c>
      <c r="D747" s="146"/>
      <c r="E747" s="147"/>
      <c r="F747" s="121" t="s">
        <v>83</v>
      </c>
      <c r="G747" s="122"/>
      <c r="H747" s="155">
        <v>110.7</v>
      </c>
      <c r="I747" s="156"/>
    </row>
    <row r="748" spans="1:9" x14ac:dyDescent="0.2">
      <c r="A748" s="94">
        <v>739</v>
      </c>
      <c r="B748" s="78" t="s">
        <v>3540</v>
      </c>
      <c r="C748" s="145" t="s">
        <v>4246</v>
      </c>
      <c r="D748" s="146"/>
      <c r="E748" s="147"/>
      <c r="F748" s="121" t="s">
        <v>83</v>
      </c>
      <c r="G748" s="122"/>
      <c r="H748" s="155">
        <f>14.9-1.7</f>
        <v>13.200000000000001</v>
      </c>
      <c r="I748" s="156"/>
    </row>
    <row r="749" spans="1:9" ht="12.75" customHeight="1" x14ac:dyDescent="0.2">
      <c r="A749" s="94">
        <v>740</v>
      </c>
      <c r="B749" s="78" t="s">
        <v>741</v>
      </c>
      <c r="C749" s="145" t="s">
        <v>5362</v>
      </c>
      <c r="D749" s="146"/>
      <c r="E749" s="147"/>
      <c r="F749" s="121" t="s">
        <v>81</v>
      </c>
      <c r="G749" s="122"/>
      <c r="H749" s="155">
        <f>109-6.8-35.7-2-4.8-6.7-2.3-4.5-6.7-1.9-2.7-0.5-0.6</f>
        <v>33.799999999999997</v>
      </c>
      <c r="I749" s="156"/>
    </row>
    <row r="750" spans="1:9" x14ac:dyDescent="0.2">
      <c r="A750" s="94">
        <v>741</v>
      </c>
      <c r="B750" s="78"/>
      <c r="C750" s="145" t="s">
        <v>2969</v>
      </c>
      <c r="D750" s="146"/>
      <c r="E750" s="147"/>
      <c r="F750" s="121" t="s">
        <v>83</v>
      </c>
      <c r="G750" s="122"/>
      <c r="H750" s="155">
        <f>88.2+2.4-10+2.6-1.2-1.2+10.4+3.3-3.8+2.8-2.6+8.4+6.7-20-31.1-15.4-11.2</f>
        <v>28.300000000000015</v>
      </c>
      <c r="I750" s="156"/>
    </row>
    <row r="751" spans="1:9" ht="31.5" customHeight="1" x14ac:dyDescent="0.2">
      <c r="A751" s="94">
        <v>742</v>
      </c>
      <c r="B751" s="78"/>
      <c r="C751" s="145" t="s">
        <v>4176</v>
      </c>
      <c r="D751" s="146"/>
      <c r="E751" s="147"/>
      <c r="F751" s="121" t="s">
        <v>81</v>
      </c>
      <c r="G751" s="122"/>
      <c r="H751" s="155">
        <f>34+1.7+1.7+4.2-1.7-5.8+1.9+54.3+2.2-8.5-4.1+1.1-4.2-0.9-2+2-42+7.7+4.5+4.8+2.2+2.8+14+3-14.9-2.2-4.8-1.5-1.5-14.6</f>
        <v>33.400000000000006</v>
      </c>
      <c r="I751" s="156"/>
    </row>
    <row r="752" spans="1:9" x14ac:dyDescent="0.2">
      <c r="A752" s="94">
        <v>743</v>
      </c>
      <c r="B752" s="78"/>
      <c r="C752" s="145" t="s">
        <v>5174</v>
      </c>
      <c r="D752" s="146"/>
      <c r="E752" s="147"/>
      <c r="F752" s="121" t="s">
        <v>81</v>
      </c>
      <c r="G752" s="122"/>
      <c r="H752" s="155">
        <f>127.9-5.9-5-10.8-9+6.9-7.1-6.9-6-10.5-6.6+14.8-8.3+12.3+3.7-6.8-3.7+16.2-6-2.2-6.7+7-3.5-2-2.2-1-2.2-3.5+0.1-7-6-10.4-1</f>
        <v>48.6</v>
      </c>
      <c r="I752" s="156"/>
    </row>
    <row r="753" spans="1:9" ht="12.75" customHeight="1" x14ac:dyDescent="0.2">
      <c r="A753" s="94">
        <v>744</v>
      </c>
      <c r="B753" s="78"/>
      <c r="C753" s="145" t="s">
        <v>1816</v>
      </c>
      <c r="D753" s="146"/>
      <c r="E753" s="147"/>
      <c r="F753" s="121" t="s">
        <v>81</v>
      </c>
      <c r="G753" s="122"/>
      <c r="H753" s="155">
        <f>47.5-13.1-13</f>
        <v>21.4</v>
      </c>
      <c r="I753" s="156"/>
    </row>
    <row r="754" spans="1:9" ht="15.75" customHeight="1" x14ac:dyDescent="0.2">
      <c r="A754" s="94">
        <v>745</v>
      </c>
      <c r="B754" s="78"/>
      <c r="C754" s="145" t="s">
        <v>1214</v>
      </c>
      <c r="D754" s="146"/>
      <c r="E754" s="147"/>
      <c r="F754" s="121" t="s">
        <v>81</v>
      </c>
      <c r="G754" s="122"/>
      <c r="H754" s="155">
        <f>897-116.5-160-70.2</f>
        <v>550.29999999999995</v>
      </c>
      <c r="I754" s="156"/>
    </row>
    <row r="755" spans="1:9" ht="12.75" customHeight="1" x14ac:dyDescent="0.2">
      <c r="A755" s="94">
        <v>746</v>
      </c>
      <c r="B755" s="78"/>
      <c r="C755" s="145" t="s">
        <v>2545</v>
      </c>
      <c r="D755" s="146"/>
      <c r="E755" s="147"/>
      <c r="F755" s="121" t="s">
        <v>83</v>
      </c>
      <c r="G755" s="122"/>
      <c r="H755" s="155">
        <f>12.6+3.8</f>
        <v>16.399999999999999</v>
      </c>
      <c r="I755" s="156"/>
    </row>
    <row r="756" spans="1:9" ht="12.75" customHeight="1" x14ac:dyDescent="0.2">
      <c r="A756" s="94">
        <v>747</v>
      </c>
      <c r="B756" s="78" t="s">
        <v>3540</v>
      </c>
      <c r="C756" s="145" t="s">
        <v>4026</v>
      </c>
      <c r="D756" s="146"/>
      <c r="E756" s="147"/>
      <c r="F756" s="121" t="s">
        <v>83</v>
      </c>
      <c r="G756" s="122"/>
      <c r="H756" s="155">
        <v>4.8</v>
      </c>
      <c r="I756" s="156"/>
    </row>
    <row r="757" spans="1:9" ht="12.75" customHeight="1" x14ac:dyDescent="0.2">
      <c r="A757" s="94">
        <v>748</v>
      </c>
      <c r="B757" s="78" t="s">
        <v>741</v>
      </c>
      <c r="C757" s="145" t="s">
        <v>1894</v>
      </c>
      <c r="D757" s="146"/>
      <c r="E757" s="147"/>
      <c r="F757" s="121" t="s">
        <v>81</v>
      </c>
      <c r="G757" s="122"/>
      <c r="H757" s="155">
        <v>8.4</v>
      </c>
      <c r="I757" s="156"/>
    </row>
    <row r="758" spans="1:9" ht="12.75" customHeight="1" x14ac:dyDescent="0.2">
      <c r="A758" s="94">
        <v>749</v>
      </c>
      <c r="B758" s="78"/>
      <c r="C758" s="145" t="s">
        <v>2952</v>
      </c>
      <c r="D758" s="146"/>
      <c r="E758" s="147"/>
      <c r="F758" s="121" t="s">
        <v>81</v>
      </c>
      <c r="G758" s="122"/>
      <c r="H758" s="155">
        <v>8</v>
      </c>
      <c r="I758" s="156"/>
    </row>
    <row r="759" spans="1:9" ht="12.75" customHeight="1" x14ac:dyDescent="0.2">
      <c r="A759" s="94">
        <v>750</v>
      </c>
      <c r="B759" s="78"/>
      <c r="C759" s="145" t="s">
        <v>1128</v>
      </c>
      <c r="D759" s="146"/>
      <c r="E759" s="147"/>
      <c r="F759" s="121" t="s">
        <v>81</v>
      </c>
      <c r="G759" s="122"/>
      <c r="H759" s="155"/>
      <c r="I759" s="156"/>
    </row>
    <row r="760" spans="1:9" ht="12.75" customHeight="1" x14ac:dyDescent="0.2">
      <c r="A760" s="94">
        <v>751</v>
      </c>
      <c r="B760" s="78"/>
      <c r="C760" s="145" t="s">
        <v>3511</v>
      </c>
      <c r="D760" s="146"/>
      <c r="E760" s="147"/>
      <c r="F760" s="121" t="s">
        <v>83</v>
      </c>
      <c r="G760" s="122"/>
      <c r="H760" s="155">
        <v>6.7</v>
      </c>
      <c r="I760" s="156"/>
    </row>
    <row r="761" spans="1:9" ht="12.75" customHeight="1" x14ac:dyDescent="0.2">
      <c r="A761" s="94">
        <v>752</v>
      </c>
      <c r="B761" s="78" t="s">
        <v>741</v>
      </c>
      <c r="C761" s="145" t="s">
        <v>1885</v>
      </c>
      <c r="D761" s="146"/>
      <c r="E761" s="147"/>
      <c r="F761" s="121" t="s">
        <v>81</v>
      </c>
      <c r="G761" s="122"/>
      <c r="H761" s="155">
        <f>5.4</f>
        <v>5.4</v>
      </c>
      <c r="I761" s="156"/>
    </row>
    <row r="762" spans="1:9" ht="12.75" customHeight="1" x14ac:dyDescent="0.2">
      <c r="A762" s="94">
        <v>753</v>
      </c>
      <c r="B762" s="78" t="s">
        <v>741</v>
      </c>
      <c r="C762" s="145" t="s">
        <v>1893</v>
      </c>
      <c r="D762" s="146"/>
      <c r="E762" s="147"/>
      <c r="F762" s="121" t="s">
        <v>81</v>
      </c>
      <c r="G762" s="122"/>
      <c r="H762" s="155">
        <v>65.900000000000006</v>
      </c>
      <c r="I762" s="156"/>
    </row>
    <row r="763" spans="1:9" ht="12.75" customHeight="1" x14ac:dyDescent="0.2">
      <c r="A763" s="94">
        <v>754</v>
      </c>
      <c r="B763" s="78" t="s">
        <v>741</v>
      </c>
      <c r="C763" s="145" t="s">
        <v>2207</v>
      </c>
      <c r="D763" s="146"/>
      <c r="E763" s="147"/>
      <c r="F763" s="121" t="s">
        <v>81</v>
      </c>
      <c r="G763" s="122"/>
      <c r="H763" s="155">
        <f>20.3+20.6-5.3-6.6</f>
        <v>29.000000000000007</v>
      </c>
      <c r="I763" s="156"/>
    </row>
    <row r="764" spans="1:9" ht="12.75" customHeight="1" x14ac:dyDescent="0.2">
      <c r="A764" s="94">
        <v>755</v>
      </c>
      <c r="B764" s="78"/>
      <c r="C764" s="145" t="s">
        <v>3524</v>
      </c>
      <c r="D764" s="146"/>
      <c r="E764" s="147"/>
      <c r="F764" s="121" t="s">
        <v>81</v>
      </c>
      <c r="G764" s="122"/>
      <c r="H764" s="155">
        <f>45.5-0.9-21.3-8.1+6.2-3.9-7.3-2.3+0.1+2.6</f>
        <v>10.600000000000003</v>
      </c>
      <c r="I764" s="156"/>
    </row>
    <row r="765" spans="1:9" ht="12.75" customHeight="1" x14ac:dyDescent="0.2">
      <c r="A765" s="94">
        <v>756</v>
      </c>
      <c r="B765" s="78" t="s">
        <v>3540</v>
      </c>
      <c r="C765" s="145" t="s">
        <v>3687</v>
      </c>
      <c r="D765" s="146"/>
      <c r="E765" s="147"/>
      <c r="F765" s="121" t="s">
        <v>83</v>
      </c>
      <c r="G765" s="122"/>
      <c r="H765" s="155">
        <v>5.4</v>
      </c>
      <c r="I765" s="156"/>
    </row>
    <row r="766" spans="1:9" ht="12.75" customHeight="1" x14ac:dyDescent="0.2">
      <c r="A766" s="94">
        <v>757</v>
      </c>
      <c r="B766" s="78"/>
      <c r="C766" s="145" t="s">
        <v>4285</v>
      </c>
      <c r="D766" s="146"/>
      <c r="E766" s="147"/>
      <c r="F766" s="121" t="s">
        <v>81</v>
      </c>
      <c r="G766" s="122"/>
      <c r="H766" s="155">
        <f>48.7+22.2-3.5+4.4-4.4-14.5-4.4-1-4-1</f>
        <v>42.500000000000007</v>
      </c>
      <c r="I766" s="156"/>
    </row>
    <row r="767" spans="1:9" ht="12.75" customHeight="1" x14ac:dyDescent="0.2">
      <c r="A767" s="94">
        <v>758</v>
      </c>
      <c r="B767" s="78"/>
      <c r="C767" s="145" t="s">
        <v>909</v>
      </c>
      <c r="D767" s="146"/>
      <c r="E767" s="147"/>
      <c r="F767" s="121" t="s">
        <v>81</v>
      </c>
      <c r="G767" s="122"/>
      <c r="H767" s="155"/>
      <c r="I767" s="156"/>
    </row>
    <row r="768" spans="1:9" ht="12.75" customHeight="1" x14ac:dyDescent="0.2">
      <c r="A768" s="94">
        <v>759</v>
      </c>
      <c r="B768" s="78"/>
      <c r="C768" s="145" t="s">
        <v>2928</v>
      </c>
      <c r="D768" s="146"/>
      <c r="E768" s="147"/>
      <c r="F768" s="121" t="s">
        <v>81</v>
      </c>
      <c r="G768" s="122"/>
      <c r="H768" s="155">
        <v>8.6999999999999993</v>
      </c>
      <c r="I768" s="156"/>
    </row>
    <row r="769" spans="1:9" ht="12.75" customHeight="1" x14ac:dyDescent="0.2">
      <c r="A769" s="94">
        <v>760</v>
      </c>
      <c r="B769" s="78" t="s">
        <v>3540</v>
      </c>
      <c r="C769" s="145" t="s">
        <v>3940</v>
      </c>
      <c r="D769" s="146"/>
      <c r="E769" s="147"/>
      <c r="F769" s="121" t="s">
        <v>81</v>
      </c>
      <c r="G769" s="122"/>
      <c r="H769" s="155">
        <f>2.4+1.7</f>
        <v>4.0999999999999996</v>
      </c>
      <c r="I769" s="156"/>
    </row>
    <row r="770" spans="1:9" ht="12.75" customHeight="1" x14ac:dyDescent="0.2">
      <c r="A770" s="94">
        <v>761</v>
      </c>
      <c r="B770" s="78" t="s">
        <v>3540</v>
      </c>
      <c r="C770" s="145" t="s">
        <v>3762</v>
      </c>
      <c r="D770" s="146"/>
      <c r="E770" s="147"/>
      <c r="F770" s="121" t="s">
        <v>83</v>
      </c>
      <c r="G770" s="122"/>
      <c r="H770" s="155">
        <v>11.8</v>
      </c>
      <c r="I770" s="156"/>
    </row>
    <row r="771" spans="1:9" ht="21.75" customHeight="1" x14ac:dyDescent="0.2">
      <c r="A771" s="94">
        <v>762</v>
      </c>
      <c r="B771" s="78"/>
      <c r="C771" s="145" t="s">
        <v>4292</v>
      </c>
      <c r="D771" s="146"/>
      <c r="E771" s="147"/>
      <c r="F771" s="121" t="s">
        <v>83</v>
      </c>
      <c r="G771" s="122"/>
      <c r="H771" s="155">
        <f>31.1-7.9-1.1+6.2-3.1-4.2-9+21.9+21+5.3+14.3+45.3+95.2+23.6-5.3-9-14.3+2-41-5.3+18.8-6.6-3.1-89.2-50.6-2+14.6+3.6+3.1+30.8+5.6-23.6-13.9-6.2-3.1-2.5-3.2-6.2-3.1-3.6-1</f>
        <v>24.299999999999958</v>
      </c>
      <c r="I771" s="156"/>
    </row>
    <row r="772" spans="1:9" ht="12.75" customHeight="1" x14ac:dyDescent="0.2">
      <c r="A772" s="94">
        <v>763</v>
      </c>
      <c r="B772" s="78" t="s">
        <v>741</v>
      </c>
      <c r="C772" s="145" t="s">
        <v>2539</v>
      </c>
      <c r="D772" s="146"/>
      <c r="E772" s="147"/>
      <c r="F772" s="121" t="s">
        <v>81</v>
      </c>
      <c r="G772" s="122"/>
      <c r="H772" s="155">
        <f>178+31.7+9.4-4.7+19.2-21-21-19.2-4.7-21</f>
        <v>146.70000000000002</v>
      </c>
      <c r="I772" s="156"/>
    </row>
    <row r="773" spans="1:9" ht="12.75" customHeight="1" x14ac:dyDescent="0.2">
      <c r="A773" s="94">
        <v>764</v>
      </c>
      <c r="B773" s="78"/>
      <c r="C773" s="145" t="s">
        <v>4629</v>
      </c>
      <c r="D773" s="146"/>
      <c r="E773" s="147"/>
      <c r="F773" s="121" t="s">
        <v>81</v>
      </c>
      <c r="G773" s="122"/>
      <c r="H773" s="155">
        <f>28.6-9.8+5.3</f>
        <v>24.1</v>
      </c>
      <c r="I773" s="156"/>
    </row>
    <row r="774" spans="1:9" ht="12.75" customHeight="1" x14ac:dyDescent="0.2">
      <c r="A774" s="94">
        <v>765</v>
      </c>
      <c r="B774" s="78"/>
      <c r="C774" s="145" t="s">
        <v>3523</v>
      </c>
      <c r="D774" s="146"/>
      <c r="E774" s="147"/>
      <c r="F774" s="121" t="s">
        <v>81</v>
      </c>
      <c r="G774" s="122"/>
      <c r="H774" s="155">
        <f>3.2+14.7</f>
        <v>17.899999999999999</v>
      </c>
      <c r="I774" s="156"/>
    </row>
    <row r="775" spans="1:9" ht="12.75" customHeight="1" x14ac:dyDescent="0.2">
      <c r="A775" s="94">
        <v>766</v>
      </c>
      <c r="B775" s="78" t="s">
        <v>3540</v>
      </c>
      <c r="C775" s="145" t="s">
        <v>3939</v>
      </c>
      <c r="D775" s="146"/>
      <c r="E775" s="147"/>
      <c r="F775" s="121" t="s">
        <v>81</v>
      </c>
      <c r="G775" s="122"/>
      <c r="H775" s="155">
        <f>7.7+4.1</f>
        <v>11.8</v>
      </c>
      <c r="I775" s="156"/>
    </row>
    <row r="776" spans="1:9" ht="12.75" customHeight="1" x14ac:dyDescent="0.2">
      <c r="A776" s="94">
        <v>767</v>
      </c>
      <c r="B776" s="78" t="s">
        <v>3540</v>
      </c>
      <c r="C776" s="145" t="s">
        <v>4585</v>
      </c>
      <c r="D776" s="146"/>
      <c r="E776" s="147"/>
      <c r="F776" s="121" t="s">
        <v>81</v>
      </c>
      <c r="G776" s="122"/>
      <c r="H776" s="155">
        <v>10.199999999999999</v>
      </c>
      <c r="I776" s="156"/>
    </row>
    <row r="777" spans="1:9" ht="12.75" customHeight="1" x14ac:dyDescent="0.2">
      <c r="A777" s="94">
        <v>768</v>
      </c>
      <c r="B777" s="78" t="s">
        <v>3540</v>
      </c>
      <c r="C777" s="145" t="s">
        <v>3938</v>
      </c>
      <c r="D777" s="146"/>
      <c r="E777" s="147"/>
      <c r="F777" s="121" t="s">
        <v>83</v>
      </c>
      <c r="G777" s="122"/>
      <c r="H777" s="155">
        <v>3.7</v>
      </c>
      <c r="I777" s="156"/>
    </row>
    <row r="778" spans="1:9" ht="12.75" customHeight="1" x14ac:dyDescent="0.2">
      <c r="A778" s="94">
        <v>769</v>
      </c>
      <c r="B778" s="78" t="s">
        <v>3540</v>
      </c>
      <c r="C778" s="145" t="s">
        <v>4191</v>
      </c>
      <c r="D778" s="146"/>
      <c r="E778" s="147"/>
      <c r="F778" s="121" t="s">
        <v>81</v>
      </c>
      <c r="G778" s="122"/>
      <c r="H778" s="155">
        <f>5.1+6.7+15.2</f>
        <v>27</v>
      </c>
      <c r="I778" s="156"/>
    </row>
    <row r="779" spans="1:9" ht="12.75" customHeight="1" x14ac:dyDescent="0.2">
      <c r="A779" s="94">
        <v>770</v>
      </c>
      <c r="B779" s="78"/>
      <c r="C779" s="145" t="s">
        <v>2862</v>
      </c>
      <c r="D779" s="146"/>
      <c r="E779" s="147"/>
      <c r="F779" s="121" t="s">
        <v>81</v>
      </c>
      <c r="G779" s="122"/>
      <c r="H779" s="155">
        <f>5.8+5.6</f>
        <v>11.399999999999999</v>
      </c>
      <c r="I779" s="156"/>
    </row>
    <row r="780" spans="1:9" ht="12.75" customHeight="1" x14ac:dyDescent="0.2">
      <c r="A780" s="94">
        <v>771</v>
      </c>
      <c r="B780" s="78" t="s">
        <v>3540</v>
      </c>
      <c r="C780" s="145" t="s">
        <v>4973</v>
      </c>
      <c r="D780" s="146"/>
      <c r="E780" s="147"/>
      <c r="F780" s="121" t="s">
        <v>81</v>
      </c>
      <c r="G780" s="122"/>
      <c r="H780" s="155">
        <f>5.9+6.2</f>
        <v>12.100000000000001</v>
      </c>
      <c r="I780" s="156"/>
    </row>
    <row r="781" spans="1:9" ht="12.75" customHeight="1" x14ac:dyDescent="0.2">
      <c r="A781" s="94">
        <v>772</v>
      </c>
      <c r="B781" s="78"/>
      <c r="C781" s="145" t="s">
        <v>469</v>
      </c>
      <c r="D781" s="146"/>
      <c r="E781" s="147"/>
      <c r="F781" s="121" t="s">
        <v>83</v>
      </c>
      <c r="G781" s="122"/>
      <c r="H781" s="155">
        <v>30</v>
      </c>
      <c r="I781" s="156"/>
    </row>
    <row r="782" spans="1:9" ht="12.75" customHeight="1" x14ac:dyDescent="0.2">
      <c r="A782" s="94">
        <v>773</v>
      </c>
      <c r="B782" s="78" t="s">
        <v>741</v>
      </c>
      <c r="C782" s="145" t="s">
        <v>1385</v>
      </c>
      <c r="D782" s="146"/>
      <c r="E782" s="147"/>
      <c r="F782" s="121" t="s">
        <v>83</v>
      </c>
      <c r="G782" s="122"/>
      <c r="H782" s="155">
        <f>89+44.3-19.8</f>
        <v>113.50000000000001</v>
      </c>
      <c r="I782" s="156"/>
    </row>
    <row r="783" spans="1:9" ht="12.75" customHeight="1" x14ac:dyDescent="0.2">
      <c r="A783" s="94">
        <v>774</v>
      </c>
      <c r="B783" s="78" t="s">
        <v>741</v>
      </c>
      <c r="C783" s="145" t="s">
        <v>2314</v>
      </c>
      <c r="D783" s="146"/>
      <c r="E783" s="147"/>
      <c r="F783" s="121" t="s">
        <v>81</v>
      </c>
      <c r="G783" s="122"/>
      <c r="H783" s="155">
        <f>41.8-15-15</f>
        <v>11.799999999999997</v>
      </c>
      <c r="I783" s="156"/>
    </row>
    <row r="784" spans="1:9" ht="12.75" customHeight="1" x14ac:dyDescent="0.2">
      <c r="A784" s="94">
        <v>775</v>
      </c>
      <c r="B784" s="78"/>
      <c r="C784" s="145" t="s">
        <v>3788</v>
      </c>
      <c r="D784" s="146"/>
      <c r="E784" s="147"/>
      <c r="F784" s="121" t="s">
        <v>81</v>
      </c>
      <c r="G784" s="122"/>
      <c r="H784" s="155">
        <v>9.6</v>
      </c>
      <c r="I784" s="156"/>
    </row>
    <row r="785" spans="1:9" ht="12.75" customHeight="1" x14ac:dyDescent="0.2">
      <c r="A785" s="94">
        <v>776</v>
      </c>
      <c r="B785" s="78"/>
      <c r="C785" s="145" t="s">
        <v>3330</v>
      </c>
      <c r="D785" s="146"/>
      <c r="E785" s="147"/>
      <c r="F785" s="121" t="s">
        <v>81</v>
      </c>
      <c r="G785" s="122"/>
      <c r="H785" s="155">
        <v>18.899999999999999</v>
      </c>
      <c r="I785" s="156"/>
    </row>
    <row r="786" spans="1:9" ht="12.75" customHeight="1" x14ac:dyDescent="0.2">
      <c r="A786" s="94">
        <v>777</v>
      </c>
      <c r="B786" s="78" t="s">
        <v>3540</v>
      </c>
      <c r="C786" s="145" t="s">
        <v>4000</v>
      </c>
      <c r="D786" s="146"/>
      <c r="E786" s="147"/>
      <c r="F786" s="121" t="s">
        <v>81</v>
      </c>
      <c r="G786" s="122"/>
      <c r="H786" s="136">
        <v>12</v>
      </c>
      <c r="I786" s="136"/>
    </row>
    <row r="787" spans="1:9" ht="12.75" customHeight="1" x14ac:dyDescent="0.2">
      <c r="A787" s="94">
        <v>778</v>
      </c>
      <c r="B787" s="78" t="s">
        <v>3540</v>
      </c>
      <c r="C787" s="145" t="s">
        <v>3689</v>
      </c>
      <c r="D787" s="146"/>
      <c r="E787" s="147"/>
      <c r="F787" s="121" t="s">
        <v>81</v>
      </c>
      <c r="G787" s="122"/>
      <c r="H787" s="155">
        <v>7</v>
      </c>
      <c r="I787" s="156"/>
    </row>
    <row r="788" spans="1:9" ht="12.75" customHeight="1" x14ac:dyDescent="0.2">
      <c r="A788" s="94">
        <v>779</v>
      </c>
      <c r="B788" s="78"/>
      <c r="C788" s="145" t="s">
        <v>421</v>
      </c>
      <c r="D788" s="146"/>
      <c r="E788" s="147"/>
      <c r="F788" s="121" t="s">
        <v>83</v>
      </c>
      <c r="G788" s="122"/>
      <c r="H788" s="155"/>
      <c r="I788" s="156"/>
    </row>
    <row r="789" spans="1:9" ht="12.75" customHeight="1" x14ac:dyDescent="0.2">
      <c r="A789" s="94">
        <v>780</v>
      </c>
      <c r="B789" s="78" t="s">
        <v>741</v>
      </c>
      <c r="C789" s="145" t="s">
        <v>1160</v>
      </c>
      <c r="D789" s="146"/>
      <c r="E789" s="147"/>
      <c r="F789" s="121" t="s">
        <v>83</v>
      </c>
      <c r="G789" s="122"/>
      <c r="H789" s="155">
        <v>63.8</v>
      </c>
      <c r="I789" s="156"/>
    </row>
    <row r="790" spans="1:9" ht="12.75" customHeight="1" x14ac:dyDescent="0.2">
      <c r="A790" s="94">
        <v>781</v>
      </c>
      <c r="B790" s="78"/>
      <c r="C790" s="145" t="s">
        <v>1808</v>
      </c>
      <c r="D790" s="146"/>
      <c r="E790" s="147"/>
      <c r="F790" s="121" t="s">
        <v>83</v>
      </c>
      <c r="G790" s="122"/>
      <c r="H790" s="155">
        <f>14+24.4-12.9-11.5</f>
        <v>14</v>
      </c>
      <c r="I790" s="156"/>
    </row>
    <row r="791" spans="1:9" ht="12.75" customHeight="1" x14ac:dyDescent="0.2">
      <c r="A791" s="94">
        <v>782</v>
      </c>
      <c r="B791" s="78"/>
      <c r="C791" s="145" t="s">
        <v>1779</v>
      </c>
      <c r="D791" s="146"/>
      <c r="E791" s="147"/>
      <c r="F791" s="121" t="s">
        <v>83</v>
      </c>
      <c r="G791" s="122"/>
      <c r="H791" s="155">
        <v>7.4</v>
      </c>
      <c r="I791" s="156"/>
    </row>
    <row r="792" spans="1:9" ht="12.75" customHeight="1" x14ac:dyDescent="0.2">
      <c r="A792" s="94">
        <v>783</v>
      </c>
      <c r="B792" s="78" t="s">
        <v>741</v>
      </c>
      <c r="C792" s="145" t="s">
        <v>1909</v>
      </c>
      <c r="D792" s="146"/>
      <c r="E792" s="147"/>
      <c r="F792" s="121" t="s">
        <v>81</v>
      </c>
      <c r="G792" s="122"/>
      <c r="H792" s="155">
        <f>17.8+19-17.8</f>
        <v>18.999999999999996</v>
      </c>
      <c r="I792" s="156"/>
    </row>
    <row r="793" spans="1:9" ht="29.25" customHeight="1" x14ac:dyDescent="0.2">
      <c r="A793" s="94">
        <v>784</v>
      </c>
      <c r="B793" s="78"/>
      <c r="C793" s="145" t="s">
        <v>4977</v>
      </c>
      <c r="D793" s="146"/>
      <c r="E793" s="147"/>
      <c r="F793" s="121" t="s">
        <v>83</v>
      </c>
      <c r="G793" s="122"/>
      <c r="H793" s="155">
        <f>10.2+4+3.8+11.9</f>
        <v>29.9</v>
      </c>
      <c r="I793" s="156"/>
    </row>
    <row r="794" spans="1:9" ht="12.75" customHeight="1" x14ac:dyDescent="0.2">
      <c r="A794" s="94">
        <v>785</v>
      </c>
      <c r="B794" s="78"/>
      <c r="C794" s="145" t="s">
        <v>4647</v>
      </c>
      <c r="D794" s="146"/>
      <c r="E794" s="147"/>
      <c r="F794" s="121" t="s">
        <v>81</v>
      </c>
      <c r="G794" s="122"/>
      <c r="H794" s="155">
        <f>20.6+14.2-14.2+13.8+6.8+8.6-4-4.6+9.8-6.8-13.8+3.3</f>
        <v>33.700000000000003</v>
      </c>
      <c r="I794" s="156"/>
    </row>
    <row r="795" spans="1:9" ht="12.75" customHeight="1" x14ac:dyDescent="0.2">
      <c r="A795" s="94">
        <v>786</v>
      </c>
      <c r="B795" s="78" t="s">
        <v>3540</v>
      </c>
      <c r="C795" s="145" t="s">
        <v>3829</v>
      </c>
      <c r="D795" s="146"/>
      <c r="E795" s="147"/>
      <c r="F795" s="121" t="s">
        <v>81</v>
      </c>
      <c r="G795" s="122"/>
      <c r="H795" s="155">
        <v>12.2</v>
      </c>
      <c r="I795" s="156"/>
    </row>
    <row r="796" spans="1:9" ht="12.75" customHeight="1" x14ac:dyDescent="0.2">
      <c r="A796" s="94">
        <v>787</v>
      </c>
      <c r="B796" s="78"/>
      <c r="C796" s="145" t="s">
        <v>2994</v>
      </c>
      <c r="D796" s="146"/>
      <c r="E796" s="147"/>
      <c r="F796" s="121" t="s">
        <v>81</v>
      </c>
      <c r="G796" s="122"/>
      <c r="H796" s="155">
        <v>24.5</v>
      </c>
      <c r="I796" s="156"/>
    </row>
    <row r="797" spans="1:9" ht="12.75" customHeight="1" x14ac:dyDescent="0.2">
      <c r="A797" s="94">
        <v>788</v>
      </c>
      <c r="B797" s="78"/>
      <c r="C797" s="145" t="s">
        <v>1970</v>
      </c>
      <c r="D797" s="146"/>
      <c r="E797" s="147"/>
      <c r="F797" s="121" t="s">
        <v>81</v>
      </c>
      <c r="G797" s="122"/>
      <c r="H797" s="155">
        <f>168.6-17.1+3.5-22.7-28.1-44.5+85.5-85.5+5.7+5.8-56.2+9-3.5</f>
        <v>20.500000000000014</v>
      </c>
      <c r="I797" s="156"/>
    </row>
    <row r="798" spans="1:9" ht="12.75" customHeight="1" x14ac:dyDescent="0.2">
      <c r="A798" s="94">
        <v>789</v>
      </c>
      <c r="B798" s="78"/>
      <c r="C798" s="145" t="s">
        <v>1045</v>
      </c>
      <c r="D798" s="146"/>
      <c r="E798" s="147"/>
      <c r="F798" s="121" t="s">
        <v>81</v>
      </c>
      <c r="G798" s="122"/>
      <c r="H798" s="155">
        <v>3.6</v>
      </c>
      <c r="I798" s="156"/>
    </row>
    <row r="799" spans="1:9" ht="12.75" customHeight="1" x14ac:dyDescent="0.2">
      <c r="A799" s="94">
        <v>790</v>
      </c>
      <c r="B799" s="78"/>
      <c r="C799" s="145" t="s">
        <v>958</v>
      </c>
      <c r="D799" s="145"/>
      <c r="E799" s="145"/>
      <c r="F799" s="121" t="s">
        <v>81</v>
      </c>
      <c r="G799" s="122"/>
      <c r="H799" s="155">
        <v>10.4</v>
      </c>
      <c r="I799" s="156"/>
    </row>
    <row r="800" spans="1:9" x14ac:dyDescent="0.2">
      <c r="A800" s="94">
        <v>791</v>
      </c>
      <c r="B800" s="78"/>
      <c r="C800" s="145" t="s">
        <v>2544</v>
      </c>
      <c r="D800" s="146"/>
      <c r="E800" s="147"/>
      <c r="F800" s="121" t="s">
        <v>81</v>
      </c>
      <c r="G800" s="122"/>
      <c r="H800" s="155">
        <v>23.3</v>
      </c>
      <c r="I800" s="156"/>
    </row>
    <row r="801" spans="1:9" x14ac:dyDescent="0.2">
      <c r="A801" s="94">
        <v>792</v>
      </c>
      <c r="B801" s="78"/>
      <c r="C801" s="145" t="s">
        <v>4877</v>
      </c>
      <c r="D801" s="146"/>
      <c r="E801" s="147"/>
      <c r="F801" s="121" t="s">
        <v>81</v>
      </c>
      <c r="G801" s="122"/>
      <c r="H801" s="155">
        <f>8.9+6.4+50.5+32.4-32.4-11.8-9.7-10.6-18.4</f>
        <v>15.299999999999983</v>
      </c>
      <c r="I801" s="156"/>
    </row>
    <row r="802" spans="1:9" x14ac:dyDescent="0.2">
      <c r="A802" s="94">
        <v>793</v>
      </c>
      <c r="B802" s="78"/>
      <c r="C802" s="145" t="s">
        <v>5119</v>
      </c>
      <c r="D802" s="146"/>
      <c r="E802" s="147"/>
      <c r="F802" s="121" t="s">
        <v>81</v>
      </c>
      <c r="G802" s="122"/>
      <c r="H802" s="155">
        <f>20.3+7.7-20</f>
        <v>8</v>
      </c>
      <c r="I802" s="156"/>
    </row>
    <row r="803" spans="1:9" ht="12.75" customHeight="1" x14ac:dyDescent="0.2">
      <c r="A803" s="94">
        <v>794</v>
      </c>
      <c r="B803" s="78"/>
      <c r="C803" s="145" t="s">
        <v>644</v>
      </c>
      <c r="D803" s="146"/>
      <c r="E803" s="147"/>
      <c r="F803" s="121" t="s">
        <v>81</v>
      </c>
      <c r="G803" s="122"/>
      <c r="H803" s="155">
        <f>144.1-38.3</f>
        <v>105.8</v>
      </c>
      <c r="I803" s="156"/>
    </row>
    <row r="804" spans="1:9" ht="12.75" customHeight="1" x14ac:dyDescent="0.2">
      <c r="A804" s="94">
        <v>795</v>
      </c>
      <c r="B804" s="78"/>
      <c r="C804" s="145" t="s">
        <v>1828</v>
      </c>
      <c r="D804" s="146"/>
      <c r="E804" s="147"/>
      <c r="F804" s="121" t="s">
        <v>81</v>
      </c>
      <c r="G804" s="122"/>
      <c r="H804" s="155">
        <f>64.6+12.6-12.6</f>
        <v>64.599999999999994</v>
      </c>
      <c r="I804" s="156"/>
    </row>
    <row r="805" spans="1:9" ht="12.75" customHeight="1" x14ac:dyDescent="0.2">
      <c r="A805" s="94">
        <v>796</v>
      </c>
      <c r="B805" s="78" t="s">
        <v>3557</v>
      </c>
      <c r="C805" s="145" t="s">
        <v>3686</v>
      </c>
      <c r="D805" s="146"/>
      <c r="E805" s="147"/>
      <c r="F805" s="121" t="s">
        <v>81</v>
      </c>
      <c r="G805" s="122"/>
      <c r="H805" s="155">
        <v>27.8</v>
      </c>
      <c r="I805" s="156"/>
    </row>
    <row r="806" spans="1:9" ht="12.75" customHeight="1" x14ac:dyDescent="0.2">
      <c r="A806" s="94">
        <v>797</v>
      </c>
      <c r="B806" s="78" t="s">
        <v>3540</v>
      </c>
      <c r="C806" s="145" t="s">
        <v>4256</v>
      </c>
      <c r="D806" s="146"/>
      <c r="E806" s="147"/>
      <c r="F806" s="121" t="s">
        <v>81</v>
      </c>
      <c r="G806" s="122"/>
      <c r="H806" s="155">
        <v>29.7</v>
      </c>
      <c r="I806" s="156"/>
    </row>
    <row r="807" spans="1:9" ht="12.75" customHeight="1" x14ac:dyDescent="0.2">
      <c r="A807" s="94">
        <v>798</v>
      </c>
      <c r="B807" s="78"/>
      <c r="C807" s="145" t="s">
        <v>2774</v>
      </c>
      <c r="D807" s="146"/>
      <c r="E807" s="147"/>
      <c r="F807" s="121" t="s">
        <v>81</v>
      </c>
      <c r="G807" s="122"/>
      <c r="H807" s="155">
        <f>40-9.3+8.4+23.8-39.1+6+20.9-32.8-6</f>
        <v>11.900000000000006</v>
      </c>
      <c r="I807" s="156"/>
    </row>
    <row r="808" spans="1:9" ht="12.75" customHeight="1" x14ac:dyDescent="0.2">
      <c r="A808" s="94">
        <v>799</v>
      </c>
      <c r="B808" s="78"/>
      <c r="C808" s="145" t="s">
        <v>3734</v>
      </c>
      <c r="D808" s="146"/>
      <c r="E808" s="147"/>
      <c r="F808" s="121" t="s">
        <v>83</v>
      </c>
      <c r="G808" s="122"/>
      <c r="H808" s="155">
        <f>176.1-42-10.5-9.5</f>
        <v>114.1</v>
      </c>
      <c r="I808" s="156"/>
    </row>
    <row r="809" spans="1:9" ht="12.75" customHeight="1" x14ac:dyDescent="0.2">
      <c r="A809" s="94">
        <v>800</v>
      </c>
      <c r="B809" s="78"/>
      <c r="C809" s="145" t="s">
        <v>842</v>
      </c>
      <c r="D809" s="146"/>
      <c r="E809" s="147"/>
      <c r="F809" s="121" t="s">
        <v>83</v>
      </c>
      <c r="G809" s="122"/>
      <c r="H809" s="155">
        <v>36.299999999999997</v>
      </c>
      <c r="I809" s="156"/>
    </row>
    <row r="810" spans="1:9" ht="12.75" customHeight="1" x14ac:dyDescent="0.2">
      <c r="A810" s="94">
        <v>801</v>
      </c>
      <c r="B810" s="78"/>
      <c r="C810" s="145" t="s">
        <v>3409</v>
      </c>
      <c r="D810" s="146"/>
      <c r="E810" s="147"/>
      <c r="F810" s="121" t="s">
        <v>83</v>
      </c>
      <c r="G810" s="122"/>
      <c r="H810" s="155">
        <f>44.9-14.7</f>
        <v>30.2</v>
      </c>
      <c r="I810" s="156"/>
    </row>
    <row r="811" spans="1:9" ht="12" customHeight="1" x14ac:dyDescent="0.2">
      <c r="A811" s="94">
        <v>802</v>
      </c>
      <c r="B811" s="78"/>
      <c r="C811" s="145" t="s">
        <v>1133</v>
      </c>
      <c r="D811" s="146"/>
      <c r="E811" s="147"/>
      <c r="F811" s="121" t="s">
        <v>81</v>
      </c>
      <c r="G811" s="122"/>
      <c r="H811" s="155">
        <v>8.8000000000000007</v>
      </c>
      <c r="I811" s="156"/>
    </row>
    <row r="812" spans="1:9" ht="12.75" customHeight="1" x14ac:dyDescent="0.2">
      <c r="A812" s="94">
        <v>803</v>
      </c>
      <c r="B812" s="78"/>
      <c r="C812" s="145" t="s">
        <v>1410</v>
      </c>
      <c r="D812" s="146"/>
      <c r="E812" s="147"/>
      <c r="F812" s="121" t="s">
        <v>81</v>
      </c>
      <c r="G812" s="122"/>
      <c r="H812" s="155">
        <v>80.2</v>
      </c>
      <c r="I812" s="156"/>
    </row>
    <row r="813" spans="1:9" ht="12" customHeight="1" x14ac:dyDescent="0.2">
      <c r="A813" s="94">
        <v>804</v>
      </c>
      <c r="B813" s="78"/>
      <c r="C813" s="145" t="s">
        <v>1709</v>
      </c>
      <c r="D813" s="146"/>
      <c r="E813" s="147"/>
      <c r="F813" s="121" t="s">
        <v>83</v>
      </c>
      <c r="G813" s="122"/>
      <c r="H813" s="155">
        <f>102.5-53+14.7+71+9.9-71-14.7-9.9</f>
        <v>49.499999999999993</v>
      </c>
      <c r="I813" s="156"/>
    </row>
    <row r="814" spans="1:9" ht="12.75" customHeight="1" x14ac:dyDescent="0.2">
      <c r="A814" s="94">
        <v>805</v>
      </c>
      <c r="B814" s="78"/>
      <c r="C814" s="145" t="s">
        <v>2955</v>
      </c>
      <c r="D814" s="146"/>
      <c r="E814" s="147"/>
      <c r="F814" s="121" t="s">
        <v>83</v>
      </c>
      <c r="G814" s="122"/>
      <c r="H814" s="155">
        <f>45.4+26.7</f>
        <v>72.099999999999994</v>
      </c>
      <c r="I814" s="156"/>
    </row>
    <row r="815" spans="1:9" ht="12" customHeight="1" x14ac:dyDescent="0.2">
      <c r="A815" s="94">
        <v>806</v>
      </c>
      <c r="B815" s="78"/>
      <c r="C815" s="145" t="s">
        <v>4046</v>
      </c>
      <c r="D815" s="146"/>
      <c r="E815" s="147"/>
      <c r="F815" s="121" t="s">
        <v>81</v>
      </c>
      <c r="G815" s="122"/>
      <c r="H815" s="155">
        <f>81-7.2-39.8</f>
        <v>34</v>
      </c>
      <c r="I815" s="156"/>
    </row>
    <row r="816" spans="1:9" ht="12" customHeight="1" x14ac:dyDescent="0.2">
      <c r="A816" s="94">
        <v>807</v>
      </c>
      <c r="B816" s="78"/>
      <c r="C816" s="145" t="s">
        <v>1963</v>
      </c>
      <c r="D816" s="146"/>
      <c r="E816" s="147"/>
      <c r="F816" s="121" t="s">
        <v>81</v>
      </c>
      <c r="G816" s="122"/>
      <c r="H816" s="155">
        <v>42</v>
      </c>
      <c r="I816" s="156"/>
    </row>
    <row r="817" spans="1:9" ht="12" customHeight="1" x14ac:dyDescent="0.2">
      <c r="A817" s="94">
        <v>808</v>
      </c>
      <c r="B817" s="78"/>
      <c r="C817" s="145" t="s">
        <v>2063</v>
      </c>
      <c r="D817" s="146"/>
      <c r="E817" s="147"/>
      <c r="F817" s="121" t="s">
        <v>81</v>
      </c>
      <c r="G817" s="122"/>
      <c r="H817" s="155">
        <v>13.4</v>
      </c>
      <c r="I817" s="156"/>
    </row>
    <row r="818" spans="1:9" ht="12" customHeight="1" x14ac:dyDescent="0.2">
      <c r="A818" s="94">
        <v>809</v>
      </c>
      <c r="B818" s="78"/>
      <c r="C818" s="145" t="s">
        <v>1746</v>
      </c>
      <c r="D818" s="146"/>
      <c r="E818" s="147"/>
      <c r="F818" s="121" t="s">
        <v>81</v>
      </c>
      <c r="G818" s="122"/>
      <c r="H818" s="155"/>
      <c r="I818" s="156"/>
    </row>
    <row r="819" spans="1:9" ht="12.75" customHeight="1" x14ac:dyDescent="0.2">
      <c r="A819" s="94">
        <v>810</v>
      </c>
      <c r="B819" s="78"/>
      <c r="C819" s="145" t="s">
        <v>1540</v>
      </c>
      <c r="D819" s="146"/>
      <c r="E819" s="147"/>
      <c r="F819" s="121" t="s">
        <v>83</v>
      </c>
      <c r="G819" s="122"/>
      <c r="H819" s="155">
        <f>43.8+8.2-43.8</f>
        <v>8.2000000000000028</v>
      </c>
      <c r="I819" s="156"/>
    </row>
    <row r="820" spans="1:9" ht="12.75" customHeight="1" x14ac:dyDescent="0.2">
      <c r="A820" s="94">
        <v>811</v>
      </c>
      <c r="B820" s="78"/>
      <c r="C820" s="145" t="s">
        <v>3811</v>
      </c>
      <c r="D820" s="146"/>
      <c r="E820" s="147"/>
      <c r="F820" s="121" t="s">
        <v>83</v>
      </c>
      <c r="G820" s="122"/>
      <c r="H820" s="155">
        <f>16.1-8.6</f>
        <v>7.5000000000000018</v>
      </c>
      <c r="I820" s="156"/>
    </row>
    <row r="821" spans="1:9" ht="15" customHeight="1" x14ac:dyDescent="0.2">
      <c r="A821" s="94">
        <v>812</v>
      </c>
      <c r="B821" s="78"/>
      <c r="C821" s="145" t="s">
        <v>2889</v>
      </c>
      <c r="D821" s="146"/>
      <c r="E821" s="147"/>
      <c r="F821" s="121" t="s">
        <v>81</v>
      </c>
      <c r="G821" s="122"/>
      <c r="H821" s="155">
        <f>208.3+35.8-74-43.6-35.8+7+15.3-10.9-7</f>
        <v>95.100000000000023</v>
      </c>
      <c r="I821" s="156"/>
    </row>
    <row r="822" spans="1:9" ht="12.75" customHeight="1" x14ac:dyDescent="0.2">
      <c r="A822" s="94">
        <v>813</v>
      </c>
      <c r="B822" s="78"/>
      <c r="C822" s="145" t="s">
        <v>1852</v>
      </c>
      <c r="D822" s="146"/>
      <c r="E822" s="147"/>
      <c r="F822" s="121" t="s">
        <v>81</v>
      </c>
      <c r="G822" s="122"/>
      <c r="H822" s="155">
        <v>15.7</v>
      </c>
      <c r="I822" s="156"/>
    </row>
    <row r="823" spans="1:9" ht="12.75" customHeight="1" x14ac:dyDescent="0.2">
      <c r="A823" s="94">
        <v>814</v>
      </c>
      <c r="B823" s="78"/>
      <c r="C823" s="145" t="s">
        <v>585</v>
      </c>
      <c r="D823" s="146"/>
      <c r="E823" s="147"/>
      <c r="F823" s="121" t="s">
        <v>83</v>
      </c>
      <c r="G823" s="122"/>
      <c r="H823" s="155">
        <v>7.5</v>
      </c>
      <c r="I823" s="156"/>
    </row>
    <row r="824" spans="1:9" ht="12.75" customHeight="1" x14ac:dyDescent="0.2">
      <c r="A824" s="94">
        <v>815</v>
      </c>
      <c r="B824" s="78"/>
      <c r="C824" s="145" t="s">
        <v>3099</v>
      </c>
      <c r="D824" s="146"/>
      <c r="E824" s="147"/>
      <c r="F824" s="121" t="s">
        <v>81</v>
      </c>
      <c r="G824" s="122"/>
      <c r="H824" s="155">
        <f>20</f>
        <v>20</v>
      </c>
      <c r="I824" s="156"/>
    </row>
    <row r="825" spans="1:9" ht="12.75" customHeight="1" x14ac:dyDescent="0.2">
      <c r="A825" s="94">
        <v>816</v>
      </c>
      <c r="B825" s="78"/>
      <c r="C825" s="145" t="s">
        <v>3100</v>
      </c>
      <c r="D825" s="146"/>
      <c r="E825" s="147"/>
      <c r="F825" s="121" t="s">
        <v>83</v>
      </c>
      <c r="G825" s="122"/>
      <c r="H825" s="155">
        <f>27.8-13.9</f>
        <v>13.9</v>
      </c>
      <c r="I825" s="156"/>
    </row>
    <row r="826" spans="1:9" ht="12.75" customHeight="1" x14ac:dyDescent="0.2">
      <c r="A826" s="94">
        <v>817</v>
      </c>
      <c r="B826" s="78"/>
      <c r="C826" s="145" t="s">
        <v>666</v>
      </c>
      <c r="D826" s="146"/>
      <c r="E826" s="147"/>
      <c r="F826" s="121" t="s">
        <v>83</v>
      </c>
      <c r="G826" s="122"/>
      <c r="H826" s="155">
        <f>6.7+117.4+44.6-6.7</f>
        <v>162.00000000000003</v>
      </c>
      <c r="I826" s="156"/>
    </row>
    <row r="827" spans="1:9" ht="12.75" customHeight="1" x14ac:dyDescent="0.2">
      <c r="A827" s="94">
        <v>818</v>
      </c>
      <c r="B827" s="78"/>
      <c r="C827" s="145" t="s">
        <v>1370</v>
      </c>
      <c r="D827" s="146"/>
      <c r="E827" s="147"/>
      <c r="F827" s="121" t="s">
        <v>81</v>
      </c>
      <c r="G827" s="122"/>
      <c r="H827" s="155">
        <f>199.5+27.9-27.9-31.8-55.5-57.9</f>
        <v>54.29999999999999</v>
      </c>
      <c r="I827" s="156"/>
    </row>
    <row r="828" spans="1:9" ht="15.75" customHeight="1" x14ac:dyDescent="0.2">
      <c r="A828" s="94">
        <v>819</v>
      </c>
      <c r="B828" s="78">
        <v>6</v>
      </c>
      <c r="C828" s="145" t="s">
        <v>1829</v>
      </c>
      <c r="D828" s="146"/>
      <c r="E828" s="147"/>
      <c r="F828" s="121" t="s">
        <v>81</v>
      </c>
      <c r="G828" s="122"/>
      <c r="H828" s="155">
        <f>152-15-90</f>
        <v>47</v>
      </c>
      <c r="I828" s="156"/>
    </row>
    <row r="829" spans="1:9" ht="12.75" customHeight="1" x14ac:dyDescent="0.2">
      <c r="A829" s="94">
        <v>820</v>
      </c>
      <c r="B829" s="78"/>
      <c r="C829" s="145" t="s">
        <v>131</v>
      </c>
      <c r="D829" s="146"/>
      <c r="E829" s="147"/>
      <c r="F829" s="121" t="s">
        <v>83</v>
      </c>
      <c r="G829" s="122"/>
      <c r="H829" s="155">
        <v>425.7</v>
      </c>
      <c r="I829" s="156"/>
    </row>
    <row r="830" spans="1:9" ht="12.75" customHeight="1" x14ac:dyDescent="0.2">
      <c r="A830" s="94">
        <v>821</v>
      </c>
      <c r="B830" s="78"/>
      <c r="C830" s="145" t="s">
        <v>2348</v>
      </c>
      <c r="D830" s="146"/>
      <c r="E830" s="147"/>
      <c r="F830" s="121" t="s">
        <v>81</v>
      </c>
      <c r="G830" s="122"/>
      <c r="H830" s="155">
        <f>110.2-82.7-12.2+15.7-0.1+40.6-15.2-40.6</f>
        <v>15.699999999999996</v>
      </c>
      <c r="I830" s="156"/>
    </row>
    <row r="831" spans="1:9" ht="36.75" customHeight="1" x14ac:dyDescent="0.2">
      <c r="A831" s="94">
        <v>822</v>
      </c>
      <c r="B831" s="78" t="s">
        <v>741</v>
      </c>
      <c r="C831" s="175" t="s">
        <v>1628</v>
      </c>
      <c r="D831" s="176"/>
      <c r="E831" s="177"/>
      <c r="F831" s="190" t="s">
        <v>1120</v>
      </c>
      <c r="G831" s="191"/>
      <c r="H831" s="155">
        <v>31</v>
      </c>
      <c r="I831" s="156"/>
    </row>
    <row r="832" spans="1:9" ht="15.75" customHeight="1" x14ac:dyDescent="0.2">
      <c r="A832" s="94">
        <v>823</v>
      </c>
      <c r="B832" s="78"/>
      <c r="C832" s="175" t="s">
        <v>1121</v>
      </c>
      <c r="D832" s="176"/>
      <c r="E832" s="177"/>
      <c r="F832" s="190" t="s">
        <v>1120</v>
      </c>
      <c r="G832" s="191"/>
      <c r="H832" s="155">
        <v>88</v>
      </c>
      <c r="I832" s="156"/>
    </row>
    <row r="833" spans="1:9" ht="15.75" customHeight="1" x14ac:dyDescent="0.2">
      <c r="A833" s="94">
        <v>824</v>
      </c>
      <c r="B833" s="78"/>
      <c r="C833" s="175" t="s">
        <v>949</v>
      </c>
      <c r="D833" s="176"/>
      <c r="E833" s="177"/>
      <c r="F833" s="121" t="s">
        <v>521</v>
      </c>
      <c r="G833" s="122"/>
      <c r="H833" s="155">
        <v>25.9</v>
      </c>
      <c r="I833" s="156"/>
    </row>
    <row r="834" spans="1:9" ht="15.75" customHeight="1" x14ac:dyDescent="0.2">
      <c r="A834" s="94">
        <v>825</v>
      </c>
      <c r="B834" s="78"/>
      <c r="C834" s="175" t="s">
        <v>931</v>
      </c>
      <c r="D834" s="176"/>
      <c r="E834" s="177"/>
      <c r="F834" s="190" t="s">
        <v>197</v>
      </c>
      <c r="G834" s="191"/>
      <c r="H834" s="193">
        <v>15.4</v>
      </c>
      <c r="I834" s="194"/>
    </row>
    <row r="835" spans="1:9" ht="15.75" customHeight="1" x14ac:dyDescent="0.2">
      <c r="A835" s="94">
        <v>826</v>
      </c>
      <c r="B835" s="78"/>
      <c r="C835" s="175" t="s">
        <v>1340</v>
      </c>
      <c r="D835" s="176"/>
      <c r="E835" s="177"/>
      <c r="F835" s="121" t="s">
        <v>521</v>
      </c>
      <c r="G835" s="122"/>
      <c r="H835" s="155">
        <v>12.8</v>
      </c>
      <c r="I835" s="156"/>
    </row>
    <row r="836" spans="1:9" ht="34.5" customHeight="1" x14ac:dyDescent="0.2">
      <c r="A836" s="94">
        <v>827</v>
      </c>
      <c r="B836" s="78"/>
      <c r="C836" s="175" t="s">
        <v>1434</v>
      </c>
      <c r="D836" s="176"/>
      <c r="E836" s="177"/>
      <c r="F836" s="121" t="s">
        <v>110</v>
      </c>
      <c r="G836" s="122"/>
      <c r="H836" s="155">
        <v>96.5</v>
      </c>
      <c r="I836" s="156"/>
    </row>
    <row r="837" spans="1:9" ht="12.75" customHeight="1" x14ac:dyDescent="0.2">
      <c r="A837" s="94">
        <v>828</v>
      </c>
      <c r="B837" s="78" t="s">
        <v>2570</v>
      </c>
      <c r="C837" s="145" t="s">
        <v>2622</v>
      </c>
      <c r="D837" s="146"/>
      <c r="E837" s="147"/>
      <c r="F837" s="121" t="s">
        <v>82</v>
      </c>
      <c r="G837" s="122"/>
      <c r="H837" s="155">
        <f>50-1.5-1.4-1.4-5.5-1.5-0.5-1.4-1.4-0.5-0.9+39.7-3.4-1.4-1.4-0.1-2.8-1.4-6.9-1.4</f>
        <v>54.900000000000013</v>
      </c>
      <c r="I837" s="156"/>
    </row>
    <row r="838" spans="1:9" ht="12.75" customHeight="1" x14ac:dyDescent="0.2">
      <c r="A838" s="94">
        <v>829</v>
      </c>
      <c r="B838" s="78"/>
      <c r="C838" s="145" t="s">
        <v>5062</v>
      </c>
      <c r="D838" s="146"/>
      <c r="E838" s="147"/>
      <c r="F838" s="121" t="s">
        <v>82</v>
      </c>
      <c r="G838" s="122"/>
      <c r="H838" s="155">
        <f>77.8-7.6-3.1-0.7-10.6-0.2-6.4-10.3-2.5-1.5+120.6-1.5-1.1-0.5-1.4-0.9+2.8+6.2-2.2-2.1-0.4-1-0.4-2.1-2.1-0.4-2.1-0.3-1.4-2.1-1.5</f>
        <v>141</v>
      </c>
      <c r="I838" s="156"/>
    </row>
    <row r="839" spans="1:9" ht="12.75" customHeight="1" x14ac:dyDescent="0.2">
      <c r="A839" s="94">
        <v>830</v>
      </c>
      <c r="B839" s="78"/>
      <c r="C839" s="145" t="s">
        <v>4749</v>
      </c>
      <c r="D839" s="146"/>
      <c r="E839" s="147"/>
      <c r="F839" s="121" t="s">
        <v>82</v>
      </c>
      <c r="G839" s="122"/>
      <c r="H839" s="155">
        <f>242-31-6.7-104+4.3-0.9</f>
        <v>103.7</v>
      </c>
      <c r="I839" s="156"/>
    </row>
    <row r="840" spans="1:9" x14ac:dyDescent="0.2">
      <c r="A840" s="94">
        <v>831</v>
      </c>
      <c r="B840" s="78"/>
      <c r="C840" s="145" t="s">
        <v>4564</v>
      </c>
      <c r="D840" s="146"/>
      <c r="E840" s="147"/>
      <c r="F840" s="121" t="s">
        <v>82</v>
      </c>
      <c r="G840" s="122"/>
      <c r="H840" s="155">
        <f>9.6+39-1.1+28.2-2.2+36-1.1-5.8-15.1+0.8-9-0.9-1.1-0.8-1-1.4-1-9-1.5+2.5-1.5-6.1-3-6.2-14.3-0.2+3-6-8.2-4.2-0.5-2</f>
        <v>15.899999999999999</v>
      </c>
      <c r="I840" s="156"/>
    </row>
    <row r="841" spans="1:9" x14ac:dyDescent="0.2">
      <c r="A841" s="94">
        <v>832</v>
      </c>
      <c r="B841" s="78"/>
      <c r="C841" s="145" t="s">
        <v>3935</v>
      </c>
      <c r="D841" s="146"/>
      <c r="E841" s="147"/>
      <c r="F841" s="121" t="s">
        <v>82</v>
      </c>
      <c r="G841" s="122"/>
      <c r="H841" s="155">
        <f>9.5+0.8+1.2</f>
        <v>11.5</v>
      </c>
      <c r="I841" s="156"/>
    </row>
    <row r="842" spans="1:9" ht="12.75" customHeight="1" x14ac:dyDescent="0.2">
      <c r="A842" s="94">
        <v>833</v>
      </c>
      <c r="B842" s="78"/>
      <c r="C842" s="145" t="s">
        <v>294</v>
      </c>
      <c r="D842" s="146"/>
      <c r="E842" s="147"/>
      <c r="F842" s="121" t="s">
        <v>82</v>
      </c>
      <c r="G842" s="122"/>
      <c r="H842" s="155"/>
      <c r="I842" s="156"/>
    </row>
    <row r="843" spans="1:9" ht="12.75" customHeight="1" x14ac:dyDescent="0.2">
      <c r="A843" s="94">
        <v>834</v>
      </c>
      <c r="B843" s="78"/>
      <c r="C843" s="145" t="s">
        <v>4373</v>
      </c>
      <c r="D843" s="146"/>
      <c r="E843" s="147"/>
      <c r="F843" s="121" t="s">
        <v>82</v>
      </c>
      <c r="G843" s="122"/>
      <c r="H843" s="155">
        <f>46.8-0.5-1.5-3.8-3.5-3.9-4.3-4.4-2.8-0.7+2.9-0.6+24.4-1.5-2.8-2.1+6+24.7-2.7+8.1-2.1-4.1-0.6-8.5-0.8-1.1-0.6-11.4-0.6-2.8-0.6-1.4-0.6-2.8-0.6-5.4-5.5-5.7-4.2-13.6-0.4-2.6</f>
        <v>1.8000000000000056</v>
      </c>
      <c r="I843" s="156"/>
    </row>
    <row r="844" spans="1:9" ht="12.75" customHeight="1" x14ac:dyDescent="0.2">
      <c r="A844" s="94">
        <v>835</v>
      </c>
      <c r="B844" s="78" t="s">
        <v>2570</v>
      </c>
      <c r="C844" s="145" t="s">
        <v>2878</v>
      </c>
      <c r="D844" s="146"/>
      <c r="E844" s="147"/>
      <c r="F844" s="121" t="s">
        <v>82</v>
      </c>
      <c r="G844" s="122"/>
      <c r="H844" s="155">
        <f>37.5+4.2-6.4</f>
        <v>35.300000000000004</v>
      </c>
      <c r="I844" s="156"/>
    </row>
    <row r="845" spans="1:9" ht="12.75" customHeight="1" x14ac:dyDescent="0.2">
      <c r="A845" s="94">
        <v>836</v>
      </c>
      <c r="B845" s="78"/>
      <c r="C845" s="145" t="s">
        <v>1406</v>
      </c>
      <c r="D845" s="146"/>
      <c r="E845" s="147"/>
      <c r="F845" s="121" t="s">
        <v>82</v>
      </c>
      <c r="G845" s="122"/>
      <c r="H845" s="155"/>
      <c r="I845" s="156"/>
    </row>
    <row r="846" spans="1:9" ht="12.75" customHeight="1" x14ac:dyDescent="0.2">
      <c r="A846" s="94">
        <v>837</v>
      </c>
      <c r="B846" s="78"/>
      <c r="C846" s="145" t="s">
        <v>1842</v>
      </c>
      <c r="D846" s="146"/>
      <c r="E846" s="147"/>
      <c r="F846" s="121" t="s">
        <v>82</v>
      </c>
      <c r="G846" s="122"/>
      <c r="H846" s="155">
        <f>241.7-1.7-2.7-4.2-5.5-2.6-3.6-3.9-27.6-1.5-1.4-5.7-1-3+27.4-5.4-1.4-5.4-1-2-16.1-1.2-5.4-1-1-1.6-1.8-1.2-1-7.3-10.7-2-1.9-0.5-0.8-1.8-1.8-0.9-1-1.8-1.8-2.2-5.5-11.2-1.8-9-32-5.4-2.3</f>
        <v>57.499999999999993</v>
      </c>
      <c r="I846" s="156"/>
    </row>
    <row r="847" spans="1:9" x14ac:dyDescent="0.2">
      <c r="A847" s="94">
        <v>838</v>
      </c>
      <c r="B847" s="78"/>
      <c r="C847" s="145" t="s">
        <v>2925</v>
      </c>
      <c r="D847" s="146"/>
      <c r="E847" s="147"/>
      <c r="F847" s="121" t="s">
        <v>82</v>
      </c>
      <c r="G847" s="122"/>
      <c r="H847" s="155">
        <f>57.6-3-3.3-5-2.6-3-2.5-1.8+20.5+20-2.5+2.2-2.6-2.7-2.4-12-34-6-1.4-1.5-2.8+24.9-2.6-0.3+13.3-2.3+2.4-9.3-4.6-4.5-4.5</f>
        <v>23.70000000000001</v>
      </c>
      <c r="I847" s="156"/>
    </row>
    <row r="848" spans="1:9" x14ac:dyDescent="0.2">
      <c r="A848" s="94">
        <v>839</v>
      </c>
      <c r="B848" s="78"/>
      <c r="C848" s="145" t="s">
        <v>3713</v>
      </c>
      <c r="D848" s="146"/>
      <c r="E848" s="147"/>
      <c r="F848" s="121" t="s">
        <v>82</v>
      </c>
      <c r="G848" s="122"/>
      <c r="H848" s="155">
        <f>46-4.6</f>
        <v>41.4</v>
      </c>
      <c r="I848" s="156"/>
    </row>
    <row r="849" spans="1:9" ht="12.75" customHeight="1" x14ac:dyDescent="0.2">
      <c r="A849" s="94">
        <v>840</v>
      </c>
      <c r="B849" s="78"/>
      <c r="C849" s="145" t="s">
        <v>1184</v>
      </c>
      <c r="D849" s="146"/>
      <c r="E849" s="147"/>
      <c r="F849" s="121" t="s">
        <v>82</v>
      </c>
      <c r="G849" s="122"/>
      <c r="H849" s="155">
        <f>39.4-2.7</f>
        <v>36.699999999999996</v>
      </c>
      <c r="I849" s="156"/>
    </row>
    <row r="850" spans="1:9" x14ac:dyDescent="0.2">
      <c r="A850" s="94">
        <v>841</v>
      </c>
      <c r="B850" s="78"/>
      <c r="C850" s="145" t="s">
        <v>4757</v>
      </c>
      <c r="D850" s="146"/>
      <c r="E850" s="147"/>
      <c r="F850" s="121" t="s">
        <v>82</v>
      </c>
      <c r="G850" s="122"/>
      <c r="H850" s="155">
        <f>52.6-4+8.5+4.1+85.2-5.8-2.9-1.3-1.8-4.1-2.3-3-4.1-3-1.8+16.8-1.3+12.7-1.7-4.5+19.7+2.8-1.3-0.8-0.8-2.1+1.9-41.3-2.6-3.3-4.2-2.9-1.5-10.3-1.5+6.8-0.4-3.3-9.6+4.2-26.2-4.2-6+1.5+2.1-6.7-3.5+73.2-4.8-3.4-0.7-0.5-0.3-2.1-10-3.7-3.5-1.5-9.4-0.6</f>
        <v>77.499999999999943</v>
      </c>
      <c r="I850" s="156"/>
    </row>
    <row r="851" spans="1:9" ht="12.75" customHeight="1" x14ac:dyDescent="0.2">
      <c r="A851" s="94">
        <v>842</v>
      </c>
      <c r="B851" s="78"/>
      <c r="C851" s="145" t="s">
        <v>5059</v>
      </c>
      <c r="D851" s="146"/>
      <c r="E851" s="147"/>
      <c r="F851" s="121" t="s">
        <v>82</v>
      </c>
      <c r="G851" s="122"/>
      <c r="H851" s="136">
        <v>2.8</v>
      </c>
      <c r="I851" s="136"/>
    </row>
    <row r="852" spans="1:9" ht="12.75" customHeight="1" x14ac:dyDescent="0.2">
      <c r="A852" s="94">
        <v>843</v>
      </c>
      <c r="B852" s="78"/>
      <c r="C852" s="145" t="s">
        <v>454</v>
      </c>
      <c r="D852" s="146"/>
      <c r="E852" s="147"/>
      <c r="F852" s="121" t="s">
        <v>82</v>
      </c>
      <c r="G852" s="122"/>
      <c r="H852" s="155">
        <v>2.6</v>
      </c>
      <c r="I852" s="156"/>
    </row>
    <row r="853" spans="1:9" ht="12.75" customHeight="1" x14ac:dyDescent="0.2">
      <c r="A853" s="94">
        <v>844</v>
      </c>
      <c r="B853" s="78"/>
      <c r="C853" s="145" t="s">
        <v>1600</v>
      </c>
      <c r="D853" s="146"/>
      <c r="E853" s="147"/>
      <c r="F853" s="121" t="s">
        <v>82</v>
      </c>
      <c r="G853" s="122"/>
      <c r="H853" s="155">
        <v>2.7</v>
      </c>
      <c r="I853" s="156"/>
    </row>
    <row r="854" spans="1:9" x14ac:dyDescent="0.2">
      <c r="A854" s="94">
        <v>845</v>
      </c>
      <c r="B854" s="78" t="s">
        <v>3540</v>
      </c>
      <c r="C854" s="145" t="s">
        <v>3669</v>
      </c>
      <c r="D854" s="146"/>
      <c r="E854" s="147"/>
      <c r="F854" s="121" t="s">
        <v>82</v>
      </c>
      <c r="G854" s="122"/>
      <c r="H854" s="155">
        <f>4.8+3.6+1.2+2.2-4.8-4.8+2.4-2.2+14.2+13-14.2-2.4+17.3-4.2-13+4.5+13.2-6.6+53.2+22.2+2.7-2.7-1-2.8-3.4-1.7-4.6-2.8-2.2-10-2.3-4.4-5.4-5.7-5.9</f>
        <v>47.400000000000006</v>
      </c>
      <c r="I854" s="156"/>
    </row>
    <row r="855" spans="1:9" ht="12.75" customHeight="1" x14ac:dyDescent="0.2">
      <c r="A855" s="94">
        <v>846</v>
      </c>
      <c r="B855" s="78"/>
      <c r="C855" s="145" t="s">
        <v>5228</v>
      </c>
      <c r="D855" s="146"/>
      <c r="E855" s="147"/>
      <c r="F855" s="121" t="s">
        <v>82</v>
      </c>
      <c r="G855" s="122"/>
      <c r="H855" s="155">
        <f>2.7+6.4+180.4-2.7-12.5-17-6.4-44-8-3.3-3.2+17.4-17.4-24.6-9.4-7.5-3.3+10.8-1.9-3.2+5.1+3.2+1.8+4.1-1.8+4.1-5.1-1.3+6.3+8.7+6.3-3.2+8.1+1.3-3.4+40-19.7-42+11.3-47.6-6.3-12.6+0.7+9.7-1.8-3.1-6.6+8.5-0.7-3.8+68.8+11.8-3+8.9-6.3-6.4-4.7-3-15.3-2-1.6-2.9-3-0.2-1.7-4.7-4.4-12.6-2.2+0.1</f>
        <v>29.099999999999977</v>
      </c>
      <c r="I855" s="156"/>
    </row>
    <row r="856" spans="1:9" ht="12.75" customHeight="1" x14ac:dyDescent="0.2">
      <c r="A856" s="94">
        <v>847</v>
      </c>
      <c r="B856" s="78"/>
      <c r="C856" s="145" t="s">
        <v>4086</v>
      </c>
      <c r="D856" s="146"/>
      <c r="E856" s="147"/>
      <c r="F856" s="121" t="s">
        <v>82</v>
      </c>
      <c r="G856" s="122"/>
      <c r="H856" s="155">
        <f>14.5-7+50.7-7.5-3.5-11-4.4+8.9-2.7-8.9-8.6-4.4-1.1-0.9</f>
        <v>14.100000000000001</v>
      </c>
      <c r="I856" s="156"/>
    </row>
    <row r="857" spans="1:9" ht="12.75" customHeight="1" x14ac:dyDescent="0.2">
      <c r="A857" s="94">
        <v>848</v>
      </c>
      <c r="B857" s="78"/>
      <c r="C857" s="145" t="s">
        <v>873</v>
      </c>
      <c r="D857" s="146"/>
      <c r="E857" s="147"/>
      <c r="F857" s="121" t="s">
        <v>82</v>
      </c>
      <c r="G857" s="122"/>
      <c r="H857" s="155"/>
      <c r="I857" s="156"/>
    </row>
    <row r="858" spans="1:9" ht="12.75" customHeight="1" x14ac:dyDescent="0.2">
      <c r="A858" s="94">
        <v>849</v>
      </c>
      <c r="B858" s="78" t="s">
        <v>2570</v>
      </c>
      <c r="C858" s="145" t="s">
        <v>3423</v>
      </c>
      <c r="D858" s="146"/>
      <c r="E858" s="147"/>
      <c r="F858" s="121" t="s">
        <v>82</v>
      </c>
      <c r="G858" s="122"/>
      <c r="H858" s="155">
        <f>55.5-4.6-1.3</f>
        <v>49.6</v>
      </c>
      <c r="I858" s="156"/>
    </row>
    <row r="859" spans="1:9" ht="12.75" customHeight="1" x14ac:dyDescent="0.2">
      <c r="A859" s="94">
        <v>850</v>
      </c>
      <c r="B859" s="78"/>
      <c r="C859" s="145" t="s">
        <v>2571</v>
      </c>
      <c r="D859" s="146"/>
      <c r="E859" s="147"/>
      <c r="F859" s="121" t="s">
        <v>82</v>
      </c>
      <c r="G859" s="122"/>
      <c r="H859" s="155">
        <v>25</v>
      </c>
      <c r="I859" s="156"/>
    </row>
    <row r="860" spans="1:9" ht="12.75" customHeight="1" x14ac:dyDescent="0.2">
      <c r="A860" s="94">
        <v>851</v>
      </c>
      <c r="B860" s="78"/>
      <c r="C860" s="145" t="s">
        <v>3045</v>
      </c>
      <c r="D860" s="146"/>
      <c r="E860" s="147"/>
      <c r="F860" s="121" t="s">
        <v>82</v>
      </c>
      <c r="G860" s="122"/>
      <c r="H860" s="155">
        <f>16.5-3.7+3.9-3.9</f>
        <v>12.799999999999999</v>
      </c>
      <c r="I860" s="156"/>
    </row>
    <row r="861" spans="1:9" ht="12.75" customHeight="1" x14ac:dyDescent="0.2">
      <c r="A861" s="94">
        <v>852</v>
      </c>
      <c r="B861" s="78"/>
      <c r="C861" s="145" t="s">
        <v>2677</v>
      </c>
      <c r="D861" s="146"/>
      <c r="E861" s="147"/>
      <c r="F861" s="121" t="s">
        <v>82</v>
      </c>
      <c r="G861" s="122"/>
      <c r="H861" s="155">
        <f>99.5-2.8-2.5-18.1-2.7-17.9+7.6+4.5-7.6-4.5-12.4-9.3-2.8-2.8-8.8+0.1-2.7-9-3+0.8</f>
        <v>5.599999999999997</v>
      </c>
      <c r="I861" s="156"/>
    </row>
    <row r="862" spans="1:9" ht="12.75" customHeight="1" x14ac:dyDescent="0.2">
      <c r="A862" s="94">
        <v>853</v>
      </c>
      <c r="B862" s="78"/>
      <c r="C862" s="145" t="s">
        <v>2572</v>
      </c>
      <c r="D862" s="146"/>
      <c r="E862" s="147"/>
      <c r="F862" s="121" t="s">
        <v>82</v>
      </c>
      <c r="G862" s="122"/>
      <c r="H862" s="155">
        <v>12.4</v>
      </c>
      <c r="I862" s="156"/>
    </row>
    <row r="863" spans="1:9" ht="12.75" customHeight="1" x14ac:dyDescent="0.2">
      <c r="A863" s="94">
        <v>854</v>
      </c>
      <c r="B863" s="78"/>
      <c r="C863" s="145" t="s">
        <v>4254</v>
      </c>
      <c r="D863" s="146"/>
      <c r="E863" s="147"/>
      <c r="F863" s="121" t="s">
        <v>82</v>
      </c>
      <c r="G863" s="122"/>
      <c r="H863" s="155">
        <f>10.2-2.2</f>
        <v>7.9999999999999991</v>
      </c>
      <c r="I863" s="156"/>
    </row>
    <row r="864" spans="1:9" ht="12.75" customHeight="1" x14ac:dyDescent="0.2">
      <c r="A864" s="94">
        <v>855</v>
      </c>
      <c r="B864" s="78" t="s">
        <v>3540</v>
      </c>
      <c r="C864" s="145" t="s">
        <v>3782</v>
      </c>
      <c r="D864" s="146"/>
      <c r="E864" s="147"/>
      <c r="F864" s="121" t="s">
        <v>82</v>
      </c>
      <c r="G864" s="122"/>
      <c r="H864" s="155">
        <f>8.3-4.3</f>
        <v>4.0000000000000009</v>
      </c>
      <c r="I864" s="156"/>
    </row>
    <row r="865" spans="1:9" ht="12.75" customHeight="1" x14ac:dyDescent="0.2">
      <c r="A865" s="94">
        <v>856</v>
      </c>
      <c r="B865" s="78"/>
      <c r="C865" s="210" t="s">
        <v>3841</v>
      </c>
      <c r="D865" s="210"/>
      <c r="E865" s="210"/>
      <c r="F865" s="121" t="s">
        <v>82</v>
      </c>
      <c r="G865" s="189"/>
      <c r="H865" s="136">
        <f>23.2+103.7+52.6-5-5.4+6.1-17.8-18.9-3.6-14.1-3.6-2.1-5.3-17.5</f>
        <v>92.3</v>
      </c>
      <c r="I865" s="136"/>
    </row>
    <row r="866" spans="1:9" ht="12.75" customHeight="1" x14ac:dyDescent="0.2">
      <c r="A866" s="94">
        <v>857</v>
      </c>
      <c r="B866" s="78"/>
      <c r="C866" s="210" t="s">
        <v>2520</v>
      </c>
      <c r="D866" s="210"/>
      <c r="E866" s="210"/>
      <c r="F866" s="121" t="s">
        <v>82</v>
      </c>
      <c r="G866" s="189"/>
      <c r="H866" s="136">
        <f>35.8+29.7-29.7</f>
        <v>35.799999999999997</v>
      </c>
      <c r="I866" s="136"/>
    </row>
    <row r="867" spans="1:9" ht="12.75" customHeight="1" x14ac:dyDescent="0.2">
      <c r="A867" s="94">
        <v>858</v>
      </c>
      <c r="B867" s="78"/>
      <c r="C867" s="157" t="s">
        <v>1494</v>
      </c>
      <c r="D867" s="157"/>
      <c r="E867" s="157"/>
      <c r="F867" s="121" t="s">
        <v>82</v>
      </c>
      <c r="G867" s="189"/>
      <c r="H867" s="136">
        <f>41.5+4-30.7-0.1+5.9+31+5.5-31-5.9-4-2.4-10.7</f>
        <v>3.1000000000000032</v>
      </c>
      <c r="I867" s="136"/>
    </row>
    <row r="868" spans="1:9" ht="12.75" customHeight="1" x14ac:dyDescent="0.2">
      <c r="A868" s="94">
        <v>859</v>
      </c>
      <c r="B868" s="78"/>
      <c r="C868" s="210" t="s">
        <v>757</v>
      </c>
      <c r="D868" s="210"/>
      <c r="E868" s="210"/>
      <c r="F868" s="121" t="s">
        <v>82</v>
      </c>
      <c r="G868" s="189"/>
      <c r="H868" s="136">
        <f>19.1+27.2+10.4-7.4-10.4-11.7+44.8</f>
        <v>72</v>
      </c>
      <c r="I868" s="136"/>
    </row>
    <row r="869" spans="1:9" ht="12.75" customHeight="1" x14ac:dyDescent="0.2">
      <c r="A869" s="94">
        <v>860</v>
      </c>
      <c r="B869" s="78"/>
      <c r="C869" s="210" t="s">
        <v>2245</v>
      </c>
      <c r="D869" s="210"/>
      <c r="E869" s="210"/>
      <c r="F869" s="121" t="s">
        <v>82</v>
      </c>
      <c r="G869" s="189"/>
      <c r="H869" s="136">
        <f>36+49.4-7.3-6.8-4.9-4.8</f>
        <v>61.600000000000009</v>
      </c>
      <c r="I869" s="136"/>
    </row>
    <row r="870" spans="1:9" ht="12.75" customHeight="1" x14ac:dyDescent="0.2">
      <c r="A870" s="94">
        <v>861</v>
      </c>
      <c r="B870" s="78"/>
      <c r="C870" s="145" t="s">
        <v>3789</v>
      </c>
      <c r="D870" s="146"/>
      <c r="E870" s="147"/>
      <c r="F870" s="121" t="s">
        <v>82</v>
      </c>
      <c r="G870" s="189"/>
      <c r="H870" s="155">
        <v>12</v>
      </c>
      <c r="I870" s="156"/>
    </row>
    <row r="871" spans="1:9" ht="12.75" customHeight="1" x14ac:dyDescent="0.2">
      <c r="A871" s="94">
        <v>862</v>
      </c>
      <c r="B871" s="78"/>
      <c r="C871" s="157" t="s">
        <v>3343</v>
      </c>
      <c r="D871" s="157"/>
      <c r="E871" s="157"/>
      <c r="F871" s="121" t="s">
        <v>82</v>
      </c>
      <c r="G871" s="189"/>
      <c r="H871" s="136">
        <f>97.8-14-39.6-14+16.2-16.2</f>
        <v>30.199999999999992</v>
      </c>
      <c r="I871" s="136"/>
    </row>
    <row r="872" spans="1:9" ht="12.75" customHeight="1" x14ac:dyDescent="0.2">
      <c r="A872" s="94">
        <v>863</v>
      </c>
      <c r="B872" s="78"/>
      <c r="C872" s="157" t="s">
        <v>3267</v>
      </c>
      <c r="D872" s="157"/>
      <c r="E872" s="157"/>
      <c r="F872" s="121" t="s">
        <v>82</v>
      </c>
      <c r="G872" s="189"/>
      <c r="H872" s="136">
        <v>96.8</v>
      </c>
      <c r="I872" s="136"/>
    </row>
    <row r="873" spans="1:9" ht="12.75" customHeight="1" x14ac:dyDescent="0.2">
      <c r="A873" s="94">
        <v>864</v>
      </c>
      <c r="B873" s="78"/>
      <c r="C873" s="157" t="s">
        <v>1939</v>
      </c>
      <c r="D873" s="157"/>
      <c r="E873" s="157"/>
      <c r="F873" s="121" t="s">
        <v>82</v>
      </c>
      <c r="G873" s="189"/>
      <c r="H873" s="136">
        <f>118.7-69+34.4-17.2+13.7-66.9+20.2-20.2</f>
        <v>13.699999999999992</v>
      </c>
      <c r="I873" s="136"/>
    </row>
    <row r="874" spans="1:9" ht="12.75" customHeight="1" x14ac:dyDescent="0.2">
      <c r="A874" s="94">
        <v>865</v>
      </c>
      <c r="B874" s="78"/>
      <c r="C874" s="157" t="s">
        <v>1030</v>
      </c>
      <c r="D874" s="157"/>
      <c r="E874" s="157"/>
      <c r="F874" s="121" t="s">
        <v>1031</v>
      </c>
      <c r="G874" s="189"/>
      <c r="H874" s="136">
        <v>25.6</v>
      </c>
      <c r="I874" s="136"/>
    </row>
    <row r="875" spans="1:9" ht="12.75" customHeight="1" x14ac:dyDescent="0.2">
      <c r="A875" s="94">
        <v>866</v>
      </c>
      <c r="B875" s="78"/>
      <c r="C875" s="157" t="s">
        <v>1271</v>
      </c>
      <c r="D875" s="157"/>
      <c r="E875" s="157"/>
      <c r="F875" s="121" t="s">
        <v>1031</v>
      </c>
      <c r="G875" s="189"/>
      <c r="H875" s="136">
        <v>120.8</v>
      </c>
      <c r="I875" s="136"/>
    </row>
    <row r="876" spans="1:9" ht="12.75" customHeight="1" x14ac:dyDescent="0.2">
      <c r="A876" s="94">
        <v>867</v>
      </c>
      <c r="B876" s="78"/>
      <c r="C876" s="157" t="s">
        <v>3388</v>
      </c>
      <c r="D876" s="157"/>
      <c r="E876" s="157"/>
      <c r="F876" s="121" t="s">
        <v>1031</v>
      </c>
      <c r="G876" s="189"/>
      <c r="H876" s="136">
        <f>72.6-3.3-12.8-4.3-24.8</f>
        <v>27.400000000000002</v>
      </c>
      <c r="I876" s="136"/>
    </row>
    <row r="877" spans="1:9" ht="15.75" customHeight="1" x14ac:dyDescent="0.2">
      <c r="A877" s="94">
        <v>868</v>
      </c>
      <c r="B877" s="78"/>
      <c r="C877" s="157" t="s">
        <v>2863</v>
      </c>
      <c r="D877" s="157"/>
      <c r="E877" s="157"/>
      <c r="F877" s="121" t="s">
        <v>82</v>
      </c>
      <c r="G877" s="189"/>
      <c r="H877" s="136">
        <v>138.80000000000001</v>
      </c>
      <c r="I877" s="136"/>
    </row>
    <row r="878" spans="1:9" ht="15.75" customHeight="1" x14ac:dyDescent="0.2">
      <c r="A878" s="94">
        <v>869</v>
      </c>
      <c r="B878" s="78">
        <v>6</v>
      </c>
      <c r="C878" s="157" t="s">
        <v>2864</v>
      </c>
      <c r="D878" s="157"/>
      <c r="E878" s="157"/>
      <c r="F878" s="121" t="s">
        <v>82</v>
      </c>
      <c r="G878" s="189"/>
      <c r="H878" s="136">
        <f>364.8-40-16.5-138.8-0.5-39</f>
        <v>130</v>
      </c>
      <c r="I878" s="136"/>
    </row>
    <row r="879" spans="1:9" ht="12.75" customHeight="1" x14ac:dyDescent="0.2">
      <c r="A879" s="94">
        <v>870</v>
      </c>
      <c r="B879" s="78"/>
      <c r="C879" s="145" t="s">
        <v>5047</v>
      </c>
      <c r="D879" s="146"/>
      <c r="E879" s="147"/>
      <c r="F879" s="121" t="s">
        <v>82</v>
      </c>
      <c r="G879" s="189"/>
      <c r="H879" s="192">
        <f>13-2-1</f>
        <v>10</v>
      </c>
      <c r="I879" s="192"/>
    </row>
    <row r="880" spans="1:9" ht="31.5" customHeight="1" x14ac:dyDescent="0.2">
      <c r="A880" s="94">
        <v>871</v>
      </c>
      <c r="B880" s="78" t="s">
        <v>741</v>
      </c>
      <c r="C880" s="175" t="s">
        <v>1024</v>
      </c>
      <c r="D880" s="176"/>
      <c r="E880" s="177"/>
      <c r="F880" s="190" t="s">
        <v>1023</v>
      </c>
      <c r="G880" s="191"/>
      <c r="H880" s="202">
        <v>45</v>
      </c>
      <c r="I880" s="202"/>
    </row>
    <row r="881" spans="1:9" ht="12.75" customHeight="1" x14ac:dyDescent="0.2">
      <c r="A881" s="94">
        <v>872</v>
      </c>
      <c r="B881" s="78"/>
      <c r="C881" s="145" t="s">
        <v>1183</v>
      </c>
      <c r="D881" s="146"/>
      <c r="E881" s="147"/>
      <c r="F881" s="121" t="s">
        <v>393</v>
      </c>
      <c r="G881" s="122"/>
      <c r="H881" s="136">
        <f>9+15.1-7.3</f>
        <v>16.8</v>
      </c>
      <c r="I881" s="136"/>
    </row>
    <row r="882" spans="1:9" ht="12.75" customHeight="1" x14ac:dyDescent="0.2">
      <c r="A882" s="94">
        <v>873</v>
      </c>
      <c r="B882" s="78"/>
      <c r="C882" s="145" t="s">
        <v>708</v>
      </c>
      <c r="D882" s="146"/>
      <c r="E882" s="147"/>
      <c r="F882" s="121" t="s">
        <v>393</v>
      </c>
      <c r="G882" s="122"/>
      <c r="H882" s="136">
        <v>12</v>
      </c>
      <c r="I882" s="136"/>
    </row>
    <row r="883" spans="1:9" ht="12.75" customHeight="1" x14ac:dyDescent="0.2">
      <c r="A883" s="94">
        <v>874</v>
      </c>
      <c r="B883" s="78"/>
      <c r="C883" s="145" t="s">
        <v>1189</v>
      </c>
      <c r="D883" s="146"/>
      <c r="E883" s="147"/>
      <c r="F883" s="121" t="s">
        <v>393</v>
      </c>
      <c r="G883" s="122"/>
      <c r="H883" s="136">
        <f>55.6-3</f>
        <v>52.6</v>
      </c>
      <c r="I883" s="136"/>
    </row>
    <row r="884" spans="1:9" ht="12.75" customHeight="1" x14ac:dyDescent="0.2">
      <c r="A884" s="94">
        <v>875</v>
      </c>
      <c r="B884" s="78"/>
      <c r="C884" s="145" t="s">
        <v>2028</v>
      </c>
      <c r="D884" s="146"/>
      <c r="E884" s="147"/>
      <c r="F884" s="121" t="s">
        <v>393</v>
      </c>
      <c r="G884" s="122"/>
      <c r="H884" s="136">
        <f>90.3-15+1.9-3.1-1.9-4</f>
        <v>68.2</v>
      </c>
      <c r="I884" s="136"/>
    </row>
    <row r="885" spans="1:9" ht="12.75" customHeight="1" x14ac:dyDescent="0.2">
      <c r="A885" s="94">
        <v>876</v>
      </c>
      <c r="B885" s="78" t="s">
        <v>3540</v>
      </c>
      <c r="C885" s="145" t="s">
        <v>4847</v>
      </c>
      <c r="D885" s="146"/>
      <c r="E885" s="147"/>
      <c r="F885" s="121" t="s">
        <v>4848</v>
      </c>
      <c r="G885" s="122"/>
      <c r="H885" s="136">
        <v>9.8000000000000007</v>
      </c>
      <c r="I885" s="136"/>
    </row>
    <row r="886" spans="1:9" ht="12.75" customHeight="1" x14ac:dyDescent="0.2">
      <c r="A886" s="94">
        <v>877</v>
      </c>
      <c r="B886" s="78"/>
      <c r="C886" s="145" t="s">
        <v>4849</v>
      </c>
      <c r="D886" s="146"/>
      <c r="E886" s="147"/>
      <c r="F886" s="121" t="s">
        <v>4848</v>
      </c>
      <c r="G886" s="122"/>
      <c r="H886" s="136">
        <v>34.5</v>
      </c>
      <c r="I886" s="136"/>
    </row>
    <row r="887" spans="1:9" ht="12.75" customHeight="1" x14ac:dyDescent="0.2">
      <c r="A887" s="94">
        <v>878</v>
      </c>
      <c r="B887" s="78"/>
      <c r="C887" s="145" t="s">
        <v>2795</v>
      </c>
      <c r="D887" s="146"/>
      <c r="E887" s="147"/>
      <c r="F887" s="121" t="s">
        <v>393</v>
      </c>
      <c r="G887" s="122"/>
      <c r="H887" s="136">
        <f>49.2-8.9-2-1.3</f>
        <v>37.000000000000007</v>
      </c>
      <c r="I887" s="136"/>
    </row>
    <row r="888" spans="1:9" ht="12.75" customHeight="1" x14ac:dyDescent="0.2">
      <c r="A888" s="94">
        <v>879</v>
      </c>
      <c r="B888" s="78"/>
      <c r="C888" s="145" t="s">
        <v>2485</v>
      </c>
      <c r="D888" s="146"/>
      <c r="E888" s="147"/>
      <c r="F888" s="121" t="s">
        <v>393</v>
      </c>
      <c r="G888" s="122"/>
      <c r="H888" s="136">
        <v>14.4</v>
      </c>
      <c r="I888" s="136"/>
    </row>
    <row r="889" spans="1:9" ht="12.75" customHeight="1" x14ac:dyDescent="0.2">
      <c r="A889" s="94">
        <v>880</v>
      </c>
      <c r="B889" s="78"/>
      <c r="C889" s="145" t="s">
        <v>1260</v>
      </c>
      <c r="D889" s="146"/>
      <c r="E889" s="147"/>
      <c r="F889" s="121" t="s">
        <v>393</v>
      </c>
      <c r="G889" s="122"/>
      <c r="H889" s="136">
        <f>9.5+10</f>
        <v>19.5</v>
      </c>
      <c r="I889" s="136"/>
    </row>
    <row r="890" spans="1:9" ht="12.75" customHeight="1" x14ac:dyDescent="0.2">
      <c r="A890" s="94">
        <v>881</v>
      </c>
      <c r="B890" s="78"/>
      <c r="C890" s="145" t="s">
        <v>1261</v>
      </c>
      <c r="D890" s="146"/>
      <c r="E890" s="147"/>
      <c r="F890" s="121" t="s">
        <v>393</v>
      </c>
      <c r="G890" s="122"/>
      <c r="H890" s="136">
        <v>3.6</v>
      </c>
      <c r="I890" s="136"/>
    </row>
    <row r="891" spans="1:9" ht="12.75" customHeight="1" x14ac:dyDescent="0.2">
      <c r="A891" s="94">
        <v>882</v>
      </c>
      <c r="B891" s="78" t="s">
        <v>741</v>
      </c>
      <c r="C891" s="145" t="s">
        <v>1528</v>
      </c>
      <c r="D891" s="146"/>
      <c r="E891" s="147"/>
      <c r="F891" s="121" t="s">
        <v>393</v>
      </c>
      <c r="G891" s="122"/>
      <c r="H891" s="136">
        <v>55</v>
      </c>
      <c r="I891" s="136"/>
    </row>
    <row r="892" spans="1:9" ht="12.75" customHeight="1" x14ac:dyDescent="0.2">
      <c r="A892" s="94">
        <v>883</v>
      </c>
      <c r="B892" s="78"/>
      <c r="C892" s="145" t="s">
        <v>1722</v>
      </c>
      <c r="D892" s="146"/>
      <c r="E892" s="147"/>
      <c r="F892" s="121" t="s">
        <v>393</v>
      </c>
      <c r="G892" s="122"/>
      <c r="H892" s="136">
        <v>37</v>
      </c>
      <c r="I892" s="136"/>
    </row>
    <row r="893" spans="1:9" ht="12.75" customHeight="1" x14ac:dyDescent="0.2">
      <c r="A893" s="94">
        <v>884</v>
      </c>
      <c r="B893" s="78" t="s">
        <v>741</v>
      </c>
      <c r="C893" s="157" t="s">
        <v>5120</v>
      </c>
      <c r="D893" s="157"/>
      <c r="E893" s="157"/>
      <c r="F893" s="121" t="s">
        <v>192</v>
      </c>
      <c r="G893" s="189"/>
      <c r="H893" s="74">
        <v>10.5</v>
      </c>
      <c r="I893" s="74"/>
    </row>
    <row r="894" spans="1:9" ht="12.75" customHeight="1" x14ac:dyDescent="0.2">
      <c r="A894" s="94">
        <v>885</v>
      </c>
      <c r="B894" s="78" t="s">
        <v>741</v>
      </c>
      <c r="C894" s="157" t="s">
        <v>2407</v>
      </c>
      <c r="D894" s="157"/>
      <c r="E894" s="157"/>
      <c r="F894" s="121" t="s">
        <v>192</v>
      </c>
      <c r="G894" s="189"/>
      <c r="H894" s="74">
        <v>20</v>
      </c>
      <c r="I894" s="74"/>
    </row>
    <row r="895" spans="1:9" ht="12.75" customHeight="1" x14ac:dyDescent="0.2">
      <c r="A895" s="94">
        <v>886</v>
      </c>
      <c r="B895" s="78" t="s">
        <v>741</v>
      </c>
      <c r="C895" s="157" t="s">
        <v>3962</v>
      </c>
      <c r="D895" s="157"/>
      <c r="E895" s="157"/>
      <c r="F895" s="121" t="s">
        <v>111</v>
      </c>
      <c r="G895" s="189"/>
      <c r="H895" s="136">
        <f>26.3-0.5-1-5.8</f>
        <v>19</v>
      </c>
      <c r="I895" s="136"/>
    </row>
    <row r="896" spans="1:9" ht="12.75" customHeight="1" x14ac:dyDescent="0.2">
      <c r="A896" s="94">
        <v>887</v>
      </c>
      <c r="B896" s="78" t="s">
        <v>741</v>
      </c>
      <c r="C896" s="157" t="s">
        <v>2699</v>
      </c>
      <c r="D896" s="157"/>
      <c r="E896" s="157"/>
      <c r="F896" s="121" t="s">
        <v>111</v>
      </c>
      <c r="G896" s="189"/>
      <c r="H896" s="136">
        <f>56.1-1</f>
        <v>55.1</v>
      </c>
      <c r="I896" s="136"/>
    </row>
    <row r="897" spans="1:9" ht="12.75" customHeight="1" x14ac:dyDescent="0.2">
      <c r="A897" s="94">
        <v>888</v>
      </c>
      <c r="B897" s="78" t="s">
        <v>1624</v>
      </c>
      <c r="C897" s="157" t="s">
        <v>2530</v>
      </c>
      <c r="D897" s="157"/>
      <c r="E897" s="157"/>
      <c r="F897" s="121" t="s">
        <v>111</v>
      </c>
      <c r="G897" s="189"/>
      <c r="H897" s="136">
        <v>105</v>
      </c>
      <c r="I897" s="136"/>
    </row>
    <row r="898" spans="1:9" ht="12.75" customHeight="1" x14ac:dyDescent="0.2">
      <c r="A898" s="94">
        <v>889</v>
      </c>
      <c r="B898" s="78"/>
      <c r="C898" s="157" t="s">
        <v>15</v>
      </c>
      <c r="D898" s="157"/>
      <c r="E898" s="157"/>
      <c r="F898" s="121" t="s">
        <v>111</v>
      </c>
      <c r="G898" s="189"/>
      <c r="H898" s="136">
        <v>7.9</v>
      </c>
      <c r="I898" s="136"/>
    </row>
    <row r="899" spans="1:9" ht="12.75" customHeight="1" x14ac:dyDescent="0.2">
      <c r="A899" s="94">
        <v>890</v>
      </c>
      <c r="B899" s="78" t="s">
        <v>1624</v>
      </c>
      <c r="C899" s="157" t="s">
        <v>2529</v>
      </c>
      <c r="D899" s="157"/>
      <c r="E899" s="157"/>
      <c r="F899" s="121" t="s">
        <v>111</v>
      </c>
      <c r="G899" s="189"/>
      <c r="H899" s="136">
        <v>30</v>
      </c>
      <c r="I899" s="136"/>
    </row>
    <row r="900" spans="1:9" ht="12.75" customHeight="1" x14ac:dyDescent="0.2">
      <c r="A900" s="94">
        <v>891</v>
      </c>
      <c r="B900" s="78" t="s">
        <v>1624</v>
      </c>
      <c r="C900" s="157" t="s">
        <v>2816</v>
      </c>
      <c r="D900" s="157"/>
      <c r="E900" s="157"/>
      <c r="F900" s="121" t="s">
        <v>111</v>
      </c>
      <c r="G900" s="189"/>
      <c r="H900" s="136">
        <v>28.5</v>
      </c>
      <c r="I900" s="136"/>
    </row>
    <row r="901" spans="1:9" ht="12.75" customHeight="1" x14ac:dyDescent="0.2">
      <c r="A901" s="94">
        <v>892</v>
      </c>
      <c r="B901" s="78" t="s">
        <v>741</v>
      </c>
      <c r="C901" s="157" t="s">
        <v>1918</v>
      </c>
      <c r="D901" s="157"/>
      <c r="E901" s="157"/>
      <c r="F901" s="121" t="s">
        <v>111</v>
      </c>
      <c r="G901" s="189"/>
      <c r="H901" s="136">
        <v>12.5</v>
      </c>
      <c r="I901" s="136"/>
    </row>
    <row r="902" spans="1:9" ht="12.75" customHeight="1" x14ac:dyDescent="0.2">
      <c r="A902" s="94">
        <v>893</v>
      </c>
      <c r="B902" s="78"/>
      <c r="C902" s="157" t="s">
        <v>1361</v>
      </c>
      <c r="D902" s="157"/>
      <c r="E902" s="157"/>
      <c r="F902" s="121" t="s">
        <v>111</v>
      </c>
      <c r="G902" s="189"/>
      <c r="H902" s="136">
        <f>32.5-22.7-5.1+10.4+5.1</f>
        <v>20.200000000000003</v>
      </c>
      <c r="I902" s="136"/>
    </row>
    <row r="903" spans="1:9" ht="12.75" customHeight="1" x14ac:dyDescent="0.2">
      <c r="A903" s="94">
        <v>894</v>
      </c>
      <c r="B903" s="78" t="s">
        <v>741</v>
      </c>
      <c r="C903" s="157" t="s">
        <v>2719</v>
      </c>
      <c r="D903" s="157"/>
      <c r="E903" s="157"/>
      <c r="F903" s="121" t="s">
        <v>111</v>
      </c>
      <c r="G903" s="189"/>
      <c r="H903" s="136">
        <f>34.8-1.7-1-1</f>
        <v>31.099999999999994</v>
      </c>
      <c r="I903" s="136"/>
    </row>
    <row r="904" spans="1:9" ht="12.75" customHeight="1" x14ac:dyDescent="0.2">
      <c r="A904" s="94">
        <v>895</v>
      </c>
      <c r="B904" s="78"/>
      <c r="C904" s="157" t="s">
        <v>2667</v>
      </c>
      <c r="D904" s="157"/>
      <c r="E904" s="157"/>
      <c r="F904" s="121" t="s">
        <v>111</v>
      </c>
      <c r="G904" s="189"/>
      <c r="H904" s="136">
        <f>11.5+25.2</f>
        <v>36.700000000000003</v>
      </c>
      <c r="I904" s="136"/>
    </row>
    <row r="905" spans="1:9" ht="12.75" customHeight="1" x14ac:dyDescent="0.2">
      <c r="A905" s="94">
        <v>896</v>
      </c>
      <c r="B905" s="78"/>
      <c r="C905" s="157" t="s">
        <v>2383</v>
      </c>
      <c r="D905" s="157"/>
      <c r="E905" s="157"/>
      <c r="F905" s="121" t="s">
        <v>111</v>
      </c>
      <c r="G905" s="189"/>
      <c r="H905" s="136">
        <f>3.1+10.6+30.7-0.5-2.8-0.8-5</f>
        <v>35.300000000000004</v>
      </c>
      <c r="I905" s="136"/>
    </row>
    <row r="906" spans="1:9" ht="12.75" customHeight="1" x14ac:dyDescent="0.2">
      <c r="A906" s="94">
        <v>897</v>
      </c>
      <c r="B906" s="78"/>
      <c r="C906" s="157" t="s">
        <v>2948</v>
      </c>
      <c r="D906" s="157"/>
      <c r="E906" s="157"/>
      <c r="F906" s="121" t="s">
        <v>111</v>
      </c>
      <c r="G906" s="189"/>
      <c r="H906" s="136">
        <f>12+29-1-2</f>
        <v>38</v>
      </c>
      <c r="I906" s="136"/>
    </row>
    <row r="907" spans="1:9" ht="12.75" customHeight="1" x14ac:dyDescent="0.2">
      <c r="A907" s="94">
        <v>898</v>
      </c>
      <c r="B907" s="78"/>
      <c r="C907" s="157" t="s">
        <v>3179</v>
      </c>
      <c r="D907" s="157"/>
      <c r="E907" s="157"/>
      <c r="F907" s="121" t="s">
        <v>395</v>
      </c>
      <c r="G907" s="189"/>
      <c r="H907" s="136">
        <v>4.7</v>
      </c>
      <c r="I907" s="136"/>
    </row>
    <row r="908" spans="1:9" ht="12.75" customHeight="1" x14ac:dyDescent="0.2">
      <c r="A908" s="94">
        <v>899</v>
      </c>
      <c r="B908" s="78"/>
      <c r="C908" s="157" t="s">
        <v>2384</v>
      </c>
      <c r="D908" s="157"/>
      <c r="E908" s="157"/>
      <c r="F908" s="121" t="s">
        <v>395</v>
      </c>
      <c r="G908" s="189"/>
      <c r="H908" s="136">
        <f>4.9+64.3+15.5-63.2-7.5+0.5+10.2+10-4.9</f>
        <v>29.800000000000004</v>
      </c>
      <c r="I908" s="136"/>
    </row>
    <row r="909" spans="1:9" ht="12.75" customHeight="1" x14ac:dyDescent="0.2">
      <c r="A909" s="94">
        <v>900</v>
      </c>
      <c r="B909" s="78" t="s">
        <v>741</v>
      </c>
      <c r="C909" s="157" t="s">
        <v>1567</v>
      </c>
      <c r="D909" s="157"/>
      <c r="E909" s="157"/>
      <c r="F909" s="121" t="s">
        <v>395</v>
      </c>
      <c r="G909" s="189"/>
      <c r="H909" s="136">
        <v>23</v>
      </c>
      <c r="I909" s="136"/>
    </row>
    <row r="910" spans="1:9" ht="12.75" customHeight="1" x14ac:dyDescent="0.2">
      <c r="A910" s="94">
        <v>901</v>
      </c>
      <c r="B910" s="78"/>
      <c r="C910" s="157" t="s">
        <v>5077</v>
      </c>
      <c r="D910" s="157"/>
      <c r="E910" s="157"/>
      <c r="F910" s="121" t="s">
        <v>395</v>
      </c>
      <c r="G910" s="189"/>
      <c r="H910" s="136">
        <f>135.5-1.6-1+4.7+12.4-0.2-40+0.5-0.5+9.5-8.1-9.5-1-10.2-3-3-6.1-4.7</f>
        <v>73.700000000000017</v>
      </c>
      <c r="I910" s="136"/>
    </row>
    <row r="911" spans="1:9" ht="12.75" customHeight="1" x14ac:dyDescent="0.2">
      <c r="A911" s="94">
        <v>902</v>
      </c>
      <c r="B911" s="78"/>
      <c r="C911" s="157" t="s">
        <v>3382</v>
      </c>
      <c r="D911" s="157"/>
      <c r="E911" s="157"/>
      <c r="F911" s="121" t="s">
        <v>395</v>
      </c>
      <c r="G911" s="189"/>
      <c r="H911" s="136">
        <f>194.4-1-1-1</f>
        <v>191.4</v>
      </c>
      <c r="I911" s="136"/>
    </row>
    <row r="912" spans="1:9" ht="12.75" customHeight="1" x14ac:dyDescent="0.2">
      <c r="A912" s="94">
        <v>903</v>
      </c>
      <c r="B912" s="78"/>
      <c r="C912" s="157" t="s">
        <v>1274</v>
      </c>
      <c r="D912" s="157"/>
      <c r="E912" s="157"/>
      <c r="F912" s="121" t="s">
        <v>395</v>
      </c>
      <c r="G912" s="189"/>
      <c r="H912" s="136">
        <f>106.3+6.5-3-1.1-2.4+1.9-1.9-7.6</f>
        <v>98.7</v>
      </c>
      <c r="I912" s="136"/>
    </row>
    <row r="913" spans="1:9" ht="12.75" customHeight="1" x14ac:dyDescent="0.2">
      <c r="A913" s="94">
        <v>904</v>
      </c>
      <c r="B913" s="78" t="s">
        <v>741</v>
      </c>
      <c r="C913" s="157" t="s">
        <v>3995</v>
      </c>
      <c r="D913" s="157"/>
      <c r="E913" s="157"/>
      <c r="F913" s="121" t="s">
        <v>1559</v>
      </c>
      <c r="G913" s="189"/>
      <c r="H913" s="155">
        <v>10</v>
      </c>
      <c r="I913" s="156"/>
    </row>
    <row r="914" spans="1:9" ht="12.75" customHeight="1" x14ac:dyDescent="0.2">
      <c r="A914" s="94">
        <v>905</v>
      </c>
      <c r="B914" s="78" t="s">
        <v>741</v>
      </c>
      <c r="C914" s="157" t="s">
        <v>2550</v>
      </c>
      <c r="D914" s="157"/>
      <c r="E914" s="157"/>
      <c r="F914" s="121" t="s">
        <v>1559</v>
      </c>
      <c r="G914" s="189"/>
      <c r="H914" s="74">
        <f>4.6-1.1</f>
        <v>3.4999999999999996</v>
      </c>
      <c r="I914" s="74"/>
    </row>
    <row r="915" spans="1:9" ht="12.75" customHeight="1" x14ac:dyDescent="0.2">
      <c r="A915" s="94">
        <v>906</v>
      </c>
      <c r="B915" s="78"/>
      <c r="C915" s="157" t="s">
        <v>696</v>
      </c>
      <c r="D915" s="157"/>
      <c r="E915" s="157"/>
      <c r="F915" s="121" t="s">
        <v>1559</v>
      </c>
      <c r="G915" s="189"/>
      <c r="H915" s="136"/>
      <c r="I915" s="136"/>
    </row>
    <row r="916" spans="1:9" ht="12.75" customHeight="1" x14ac:dyDescent="0.2">
      <c r="A916" s="94">
        <v>907</v>
      </c>
      <c r="B916" s="78" t="s">
        <v>741</v>
      </c>
      <c r="C916" s="157" t="s">
        <v>2624</v>
      </c>
      <c r="D916" s="157"/>
      <c r="E916" s="157"/>
      <c r="F916" s="121" t="s">
        <v>1559</v>
      </c>
      <c r="G916" s="189"/>
      <c r="H916" s="74">
        <f>21.7-6.9</f>
        <v>14.799999999999999</v>
      </c>
      <c r="I916" s="74"/>
    </row>
    <row r="917" spans="1:9" ht="12.75" customHeight="1" x14ac:dyDescent="0.2">
      <c r="A917" s="94">
        <v>908</v>
      </c>
      <c r="B917" s="78" t="s">
        <v>741</v>
      </c>
      <c r="C917" s="157" t="s">
        <v>2541</v>
      </c>
      <c r="D917" s="157"/>
      <c r="E917" s="157"/>
      <c r="F917" s="121" t="s">
        <v>2540</v>
      </c>
      <c r="G917" s="189"/>
      <c r="H917" s="74">
        <v>6.6</v>
      </c>
      <c r="I917" s="74"/>
    </row>
    <row r="918" spans="1:9" ht="12.75" customHeight="1" x14ac:dyDescent="0.2">
      <c r="A918" s="94">
        <v>909</v>
      </c>
      <c r="B918" s="78"/>
      <c r="C918" s="157" t="s">
        <v>3468</v>
      </c>
      <c r="D918" s="157"/>
      <c r="E918" s="157"/>
      <c r="F918" s="121" t="s">
        <v>9</v>
      </c>
      <c r="G918" s="189"/>
      <c r="H918" s="136">
        <v>13</v>
      </c>
      <c r="I918" s="136"/>
    </row>
    <row r="919" spans="1:9" ht="12.75" customHeight="1" x14ac:dyDescent="0.2">
      <c r="A919" s="94">
        <v>910</v>
      </c>
      <c r="B919" s="78"/>
      <c r="C919" s="157" t="s">
        <v>3469</v>
      </c>
      <c r="D919" s="157"/>
      <c r="E919" s="157"/>
      <c r="F919" s="121" t="s">
        <v>9</v>
      </c>
      <c r="G919" s="189"/>
      <c r="H919" s="136">
        <v>42</v>
      </c>
      <c r="I919" s="136"/>
    </row>
    <row r="920" spans="1:9" ht="12.75" customHeight="1" x14ac:dyDescent="0.2">
      <c r="A920" s="94">
        <v>911</v>
      </c>
      <c r="B920" s="78"/>
      <c r="C920" s="157" t="s">
        <v>2762</v>
      </c>
      <c r="D920" s="157"/>
      <c r="E920" s="157"/>
      <c r="F920" s="121" t="s">
        <v>24</v>
      </c>
      <c r="G920" s="189"/>
      <c r="H920" s="136">
        <f>4.2-2</f>
        <v>2.2000000000000002</v>
      </c>
      <c r="I920" s="136"/>
    </row>
    <row r="921" spans="1:9" ht="12.75" customHeight="1" x14ac:dyDescent="0.2">
      <c r="A921" s="94">
        <v>912</v>
      </c>
      <c r="B921" s="78"/>
      <c r="C921" s="157" t="s">
        <v>2525</v>
      </c>
      <c r="D921" s="157"/>
      <c r="E921" s="157"/>
      <c r="F921" s="121" t="s">
        <v>24</v>
      </c>
      <c r="G921" s="189"/>
      <c r="H921" s="136">
        <v>6.4</v>
      </c>
      <c r="I921" s="136"/>
    </row>
    <row r="922" spans="1:9" ht="12.75" customHeight="1" x14ac:dyDescent="0.2">
      <c r="A922" s="94">
        <v>913</v>
      </c>
      <c r="B922" s="78"/>
      <c r="C922" s="157" t="s">
        <v>3174</v>
      </c>
      <c r="D922" s="157"/>
      <c r="E922" s="157"/>
      <c r="F922" s="121" t="s">
        <v>24</v>
      </c>
      <c r="G922" s="189"/>
      <c r="H922" s="136">
        <f>16.8-0.5-1+6.8-1</f>
        <v>21.1</v>
      </c>
      <c r="I922" s="136"/>
    </row>
    <row r="923" spans="1:9" ht="12.75" customHeight="1" x14ac:dyDescent="0.2">
      <c r="A923" s="94">
        <v>914</v>
      </c>
      <c r="B923" s="78"/>
      <c r="C923" s="157" t="s">
        <v>4311</v>
      </c>
      <c r="D923" s="157"/>
      <c r="E923" s="157"/>
      <c r="F923" s="121" t="s">
        <v>24</v>
      </c>
      <c r="G923" s="189"/>
      <c r="H923" s="136">
        <f>23-2.5-2.1-1.5</f>
        <v>16.899999999999999</v>
      </c>
      <c r="I923" s="136"/>
    </row>
    <row r="924" spans="1:9" ht="12.75" customHeight="1" x14ac:dyDescent="0.2">
      <c r="A924" s="94">
        <v>915</v>
      </c>
      <c r="B924" s="78"/>
      <c r="C924" s="157" t="s">
        <v>785</v>
      </c>
      <c r="D924" s="157"/>
      <c r="E924" s="157"/>
      <c r="F924" s="121" t="s">
        <v>24</v>
      </c>
      <c r="G924" s="189"/>
      <c r="H924" s="136">
        <f>10.7-2</f>
        <v>8.6999999999999993</v>
      </c>
      <c r="I924" s="136"/>
    </row>
    <row r="925" spans="1:9" ht="12.75" customHeight="1" x14ac:dyDescent="0.2">
      <c r="A925" s="94">
        <v>916</v>
      </c>
      <c r="B925" s="78"/>
      <c r="C925" s="157" t="s">
        <v>1001</v>
      </c>
      <c r="D925" s="157"/>
      <c r="E925" s="157"/>
      <c r="F925" s="121" t="s">
        <v>24</v>
      </c>
      <c r="G925" s="189"/>
      <c r="H925" s="136">
        <v>12.4</v>
      </c>
      <c r="I925" s="136"/>
    </row>
    <row r="926" spans="1:9" ht="12.75" customHeight="1" x14ac:dyDescent="0.2">
      <c r="A926" s="94">
        <v>917</v>
      </c>
      <c r="B926" s="78" t="s">
        <v>741</v>
      </c>
      <c r="C926" s="157" t="s">
        <v>2843</v>
      </c>
      <c r="D926" s="157"/>
      <c r="E926" s="157"/>
      <c r="F926" s="121" t="s">
        <v>65</v>
      </c>
      <c r="G926" s="189"/>
      <c r="H926" s="136">
        <f>13.3-2.1</f>
        <v>11.200000000000001</v>
      </c>
      <c r="I926" s="136"/>
    </row>
    <row r="927" spans="1:9" ht="12.75" customHeight="1" x14ac:dyDescent="0.2">
      <c r="A927" s="94">
        <v>918</v>
      </c>
      <c r="B927" s="78"/>
      <c r="C927" s="157" t="s">
        <v>2422</v>
      </c>
      <c r="D927" s="157"/>
      <c r="E927" s="157"/>
      <c r="F927" s="121" t="s">
        <v>65</v>
      </c>
      <c r="G927" s="189"/>
      <c r="H927" s="136">
        <f>38.8-9.4+16.8-43.7+33.4-2.5-10.2</f>
        <v>23.2</v>
      </c>
      <c r="I927" s="136"/>
    </row>
    <row r="928" spans="1:9" ht="12.75" customHeight="1" x14ac:dyDescent="0.2">
      <c r="A928" s="94">
        <v>919</v>
      </c>
      <c r="B928" s="78"/>
      <c r="C928" s="157" t="s">
        <v>864</v>
      </c>
      <c r="D928" s="157"/>
      <c r="E928" s="157"/>
      <c r="F928" s="121" t="s">
        <v>65</v>
      </c>
      <c r="G928" s="189"/>
      <c r="H928" s="136">
        <v>13.5</v>
      </c>
      <c r="I928" s="136"/>
    </row>
    <row r="929" spans="1:9" ht="12.75" customHeight="1" x14ac:dyDescent="0.2">
      <c r="A929" s="94">
        <v>920</v>
      </c>
      <c r="B929" s="78" t="s">
        <v>741</v>
      </c>
      <c r="C929" s="157" t="s">
        <v>3387</v>
      </c>
      <c r="D929" s="157"/>
      <c r="E929" s="157"/>
      <c r="F929" s="121" t="s">
        <v>65</v>
      </c>
      <c r="G929" s="189"/>
      <c r="H929" s="136">
        <f>53.4-1+66.2+12.9-34-12.9-10-1-1+0.1</f>
        <v>72.699999999999989</v>
      </c>
      <c r="I929" s="136"/>
    </row>
    <row r="930" spans="1:9" ht="12.75" customHeight="1" x14ac:dyDescent="0.2">
      <c r="A930" s="94">
        <v>921</v>
      </c>
      <c r="B930" s="78"/>
      <c r="C930" s="157" t="s">
        <v>946</v>
      </c>
      <c r="D930" s="157"/>
      <c r="E930" s="157"/>
      <c r="F930" s="121" t="s">
        <v>65</v>
      </c>
      <c r="G930" s="189"/>
      <c r="H930" s="136">
        <f>45.7-35.2-2.5+10.1-10.1+47.8</f>
        <v>55.8</v>
      </c>
      <c r="I930" s="136"/>
    </row>
    <row r="931" spans="1:9" s="28" customFormat="1" ht="12.75" customHeight="1" x14ac:dyDescent="0.2">
      <c r="A931" s="94">
        <v>922</v>
      </c>
      <c r="B931" s="78"/>
      <c r="C931" s="157" t="s">
        <v>4396</v>
      </c>
      <c r="D931" s="157"/>
      <c r="E931" s="157"/>
      <c r="F931" s="121" t="s">
        <v>83</v>
      </c>
      <c r="G931" s="122"/>
      <c r="H931" s="155">
        <f>10.5-3.5-3.5</f>
        <v>3.5</v>
      </c>
      <c r="I931" s="156"/>
    </row>
    <row r="932" spans="1:9" s="28" customFormat="1" ht="12.75" customHeight="1" x14ac:dyDescent="0.2">
      <c r="A932" s="94">
        <v>923</v>
      </c>
      <c r="B932" s="78"/>
      <c r="C932" s="157" t="s">
        <v>2542</v>
      </c>
      <c r="D932" s="157"/>
      <c r="E932" s="157"/>
      <c r="F932" s="121" t="s">
        <v>83</v>
      </c>
      <c r="G932" s="122"/>
      <c r="H932" s="155">
        <v>8</v>
      </c>
      <c r="I932" s="156"/>
    </row>
    <row r="933" spans="1:9" s="28" customFormat="1" ht="12.75" customHeight="1" x14ac:dyDescent="0.2">
      <c r="A933" s="94">
        <v>924</v>
      </c>
      <c r="B933" s="78"/>
      <c r="C933" s="157" t="s">
        <v>3795</v>
      </c>
      <c r="D933" s="157"/>
      <c r="E933" s="157"/>
      <c r="F933" s="121" t="s">
        <v>83</v>
      </c>
      <c r="G933" s="122"/>
      <c r="H933" s="155">
        <f>9.7-5</f>
        <v>4.6999999999999993</v>
      </c>
      <c r="I933" s="156"/>
    </row>
    <row r="934" spans="1:9" ht="12.75" customHeight="1" x14ac:dyDescent="0.2">
      <c r="A934" s="94">
        <v>925</v>
      </c>
      <c r="B934" s="78" t="s">
        <v>741</v>
      </c>
      <c r="C934" s="157" t="s">
        <v>3796</v>
      </c>
      <c r="D934" s="157"/>
      <c r="E934" s="157"/>
      <c r="F934" s="121" t="s">
        <v>81</v>
      </c>
      <c r="G934" s="189"/>
      <c r="H934" s="136">
        <f>11-2-2</f>
        <v>7</v>
      </c>
      <c r="I934" s="136"/>
    </row>
    <row r="935" spans="1:9" ht="12.75" customHeight="1" x14ac:dyDescent="0.2">
      <c r="A935" s="94">
        <v>926</v>
      </c>
      <c r="B935" s="78" t="s">
        <v>741</v>
      </c>
      <c r="C935" s="157" t="s">
        <v>2017</v>
      </c>
      <c r="D935" s="157"/>
      <c r="E935" s="157"/>
      <c r="F935" s="121" t="s">
        <v>81</v>
      </c>
      <c r="G935" s="189"/>
      <c r="H935" s="136">
        <f>21.4-1</f>
        <v>20.399999999999999</v>
      </c>
      <c r="I935" s="136"/>
    </row>
    <row r="936" spans="1:9" ht="12.75" customHeight="1" x14ac:dyDescent="0.2">
      <c r="A936" s="94">
        <v>927</v>
      </c>
      <c r="B936" s="78" t="s">
        <v>741</v>
      </c>
      <c r="C936" s="157" t="s">
        <v>5266</v>
      </c>
      <c r="D936" s="157"/>
      <c r="E936" s="157"/>
      <c r="F936" s="121" t="s">
        <v>81</v>
      </c>
      <c r="G936" s="189"/>
      <c r="H936" s="136">
        <f>95.6-1-0.6-0.4-1-1-3-1-1-1-1-1-1-1-2</f>
        <v>79.599999999999994</v>
      </c>
      <c r="I936" s="136"/>
    </row>
    <row r="937" spans="1:9" ht="12.75" customHeight="1" x14ac:dyDescent="0.2">
      <c r="A937" s="94">
        <v>928</v>
      </c>
      <c r="B937" s="78" t="s">
        <v>741</v>
      </c>
      <c r="C937" s="157" t="s">
        <v>4364</v>
      </c>
      <c r="D937" s="157"/>
      <c r="E937" s="157"/>
      <c r="F937" s="121" t="s">
        <v>81</v>
      </c>
      <c r="G937" s="189"/>
      <c r="H937" s="136">
        <f>68.8-1</f>
        <v>67.8</v>
      </c>
      <c r="I937" s="136"/>
    </row>
    <row r="938" spans="1:9" ht="12.75" customHeight="1" x14ac:dyDescent="0.2">
      <c r="A938" s="94">
        <v>929</v>
      </c>
      <c r="B938" s="78" t="s">
        <v>741</v>
      </c>
      <c r="C938" s="157" t="s">
        <v>4560</v>
      </c>
      <c r="D938" s="157"/>
      <c r="E938" s="157"/>
      <c r="F938" s="121" t="s">
        <v>81</v>
      </c>
      <c r="G938" s="189"/>
      <c r="H938" s="136">
        <f>38.7-3-1-1-1-1-1-3-1-1-1-1-2.3-6.8-1-1</f>
        <v>12.600000000000001</v>
      </c>
      <c r="I938" s="136"/>
    </row>
    <row r="939" spans="1:9" ht="12.75" customHeight="1" x14ac:dyDescent="0.2">
      <c r="A939" s="94">
        <v>930</v>
      </c>
      <c r="B939" s="78"/>
      <c r="C939" s="157" t="s">
        <v>1923</v>
      </c>
      <c r="D939" s="157"/>
      <c r="E939" s="157"/>
      <c r="F939" s="121" t="s">
        <v>743</v>
      </c>
      <c r="G939" s="122"/>
      <c r="H939" s="136">
        <f>12.1-2.3-1.3-2-1.2</f>
        <v>5.3</v>
      </c>
      <c r="I939" s="136"/>
    </row>
    <row r="940" spans="1:9" ht="12.75" customHeight="1" x14ac:dyDescent="0.2">
      <c r="A940" s="94">
        <v>931</v>
      </c>
      <c r="B940" s="78"/>
      <c r="C940" s="157" t="s">
        <v>5115</v>
      </c>
      <c r="D940" s="157"/>
      <c r="E940" s="157"/>
      <c r="F940" s="121" t="s">
        <v>81</v>
      </c>
      <c r="G940" s="189"/>
      <c r="H940" s="136">
        <f>182.2-1.9-10.5+44-5-2-15+32.6-3-3+3-8.2-8-1-1-5-7.5-1-1-2.9-1+2.7-2.7-1-2-5-0.5-1-1-47.8+0.2-3</f>
        <v>123.69999999999999</v>
      </c>
      <c r="I940" s="136"/>
    </row>
    <row r="941" spans="1:9" ht="12.75" customHeight="1" x14ac:dyDescent="0.2">
      <c r="A941" s="94">
        <v>932</v>
      </c>
      <c r="B941" s="78"/>
      <c r="C941" s="157" t="s">
        <v>2899</v>
      </c>
      <c r="D941" s="157"/>
      <c r="E941" s="157"/>
      <c r="F941" s="121" t="s">
        <v>81</v>
      </c>
      <c r="G941" s="189"/>
      <c r="H941" s="136">
        <f>53.8-2.2-0.2+10-8.2-10-2-14.2</f>
        <v>26.999999999999989</v>
      </c>
      <c r="I941" s="136"/>
    </row>
    <row r="942" spans="1:9" ht="12.75" customHeight="1" x14ac:dyDescent="0.2">
      <c r="A942" s="94">
        <v>933</v>
      </c>
      <c r="B942" s="78"/>
      <c r="C942" s="157" t="s">
        <v>4995</v>
      </c>
      <c r="D942" s="157"/>
      <c r="E942" s="157"/>
      <c r="F942" s="121" t="s">
        <v>83</v>
      </c>
      <c r="G942" s="189"/>
      <c r="H942" s="136">
        <f>19.5-2.5-3.2-1</f>
        <v>12.8</v>
      </c>
      <c r="I942" s="136"/>
    </row>
    <row r="943" spans="1:9" ht="12.75" customHeight="1" x14ac:dyDescent="0.2">
      <c r="A943" s="94">
        <v>934</v>
      </c>
      <c r="B943" s="78" t="s">
        <v>741</v>
      </c>
      <c r="C943" s="157" t="s">
        <v>3888</v>
      </c>
      <c r="D943" s="157"/>
      <c r="E943" s="157"/>
      <c r="F943" s="121" t="s">
        <v>81</v>
      </c>
      <c r="G943" s="189"/>
      <c r="H943" s="136">
        <f>53.7-1-1-0.5-3</f>
        <v>48.2</v>
      </c>
      <c r="I943" s="136"/>
    </row>
    <row r="944" spans="1:9" ht="12.75" customHeight="1" x14ac:dyDescent="0.2">
      <c r="A944" s="94">
        <v>935</v>
      </c>
      <c r="B944" s="78" t="s">
        <v>741</v>
      </c>
      <c r="C944" s="157" t="s">
        <v>4758</v>
      </c>
      <c r="D944" s="157"/>
      <c r="E944" s="157"/>
      <c r="F944" s="121" t="s">
        <v>81</v>
      </c>
      <c r="G944" s="189"/>
      <c r="H944" s="136">
        <f>73.9-1</f>
        <v>72.900000000000006</v>
      </c>
      <c r="I944" s="136"/>
    </row>
    <row r="945" spans="1:9" ht="12.75" customHeight="1" x14ac:dyDescent="0.2">
      <c r="A945" s="94">
        <v>936</v>
      </c>
      <c r="B945" s="78" t="s">
        <v>741</v>
      </c>
      <c r="C945" s="157" t="s">
        <v>4918</v>
      </c>
      <c r="D945" s="157"/>
      <c r="E945" s="157"/>
      <c r="F945" s="121" t="s">
        <v>81</v>
      </c>
      <c r="G945" s="189"/>
      <c r="H945" s="136">
        <f>6.6+11.9-0.5-0.9-0.4-11.5</f>
        <v>5.2000000000000028</v>
      </c>
      <c r="I945" s="136"/>
    </row>
    <row r="946" spans="1:9" ht="13.5" customHeight="1" x14ac:dyDescent="0.2">
      <c r="A946" s="94">
        <v>937</v>
      </c>
      <c r="B946" s="78" t="s">
        <v>741</v>
      </c>
      <c r="C946" s="157" t="s">
        <v>4701</v>
      </c>
      <c r="D946" s="157"/>
      <c r="E946" s="157"/>
      <c r="F946" s="121" t="s">
        <v>83</v>
      </c>
      <c r="G946" s="189"/>
      <c r="H946" s="136">
        <f>76.4-1.3-2-1-0.2-1-1.8-0.2-6.6-4.6-2-1-1</f>
        <v>53.7</v>
      </c>
      <c r="I946" s="136"/>
    </row>
    <row r="947" spans="1:9" ht="13.5" customHeight="1" x14ac:dyDescent="0.2">
      <c r="A947" s="94">
        <v>938</v>
      </c>
      <c r="B947" s="78" t="s">
        <v>741</v>
      </c>
      <c r="C947" s="157" t="s">
        <v>3934</v>
      </c>
      <c r="D947" s="157"/>
      <c r="E947" s="157"/>
      <c r="F947" s="121" t="s">
        <v>83</v>
      </c>
      <c r="G947" s="189"/>
      <c r="H947" s="136">
        <v>4.4000000000000004</v>
      </c>
      <c r="I947" s="136"/>
    </row>
    <row r="948" spans="1:9" ht="12.75" customHeight="1" x14ac:dyDescent="0.2">
      <c r="A948" s="94">
        <v>939</v>
      </c>
      <c r="B948" s="78" t="s">
        <v>741</v>
      </c>
      <c r="C948" s="157" t="s">
        <v>4602</v>
      </c>
      <c r="D948" s="157"/>
      <c r="E948" s="157"/>
      <c r="F948" s="121" t="s">
        <v>83</v>
      </c>
      <c r="G948" s="189"/>
      <c r="H948" s="136">
        <v>16.600000000000001</v>
      </c>
      <c r="I948" s="136"/>
    </row>
    <row r="949" spans="1:9" ht="12.75" customHeight="1" x14ac:dyDescent="0.2">
      <c r="A949" s="94">
        <v>940</v>
      </c>
      <c r="B949" s="78" t="s">
        <v>741</v>
      </c>
      <c r="C949" s="157" t="s">
        <v>4603</v>
      </c>
      <c r="D949" s="157"/>
      <c r="E949" s="157"/>
      <c r="F949" s="121" t="s">
        <v>83</v>
      </c>
      <c r="G949" s="189"/>
      <c r="H949" s="136">
        <v>43.2</v>
      </c>
      <c r="I949" s="136"/>
    </row>
    <row r="950" spans="1:9" ht="12.75" customHeight="1" x14ac:dyDescent="0.2">
      <c r="A950" s="94">
        <v>941</v>
      </c>
      <c r="B950" s="78"/>
      <c r="C950" s="157" t="s">
        <v>2566</v>
      </c>
      <c r="D950" s="157"/>
      <c r="E950" s="157"/>
      <c r="F950" s="121" t="s">
        <v>81</v>
      </c>
      <c r="G950" s="189"/>
      <c r="H950" s="136">
        <f>4.2+16.6-1</f>
        <v>19.8</v>
      </c>
      <c r="I950" s="136"/>
    </row>
    <row r="951" spans="1:9" ht="12.75" customHeight="1" x14ac:dyDescent="0.2">
      <c r="A951" s="94">
        <v>942</v>
      </c>
      <c r="B951" s="78" t="s">
        <v>741</v>
      </c>
      <c r="C951" s="157" t="s">
        <v>4604</v>
      </c>
      <c r="D951" s="157"/>
      <c r="E951" s="157"/>
      <c r="F951" s="121" t="s">
        <v>83</v>
      </c>
      <c r="G951" s="189"/>
      <c r="H951" s="136">
        <v>2</v>
      </c>
      <c r="I951" s="136"/>
    </row>
    <row r="952" spans="1:9" ht="12.75" customHeight="1" x14ac:dyDescent="0.2">
      <c r="A952" s="94">
        <v>943</v>
      </c>
      <c r="B952" s="78" t="s">
        <v>741</v>
      </c>
      <c r="C952" s="157" t="s">
        <v>4605</v>
      </c>
      <c r="D952" s="157"/>
      <c r="E952" s="157"/>
      <c r="F952" s="121" t="s">
        <v>83</v>
      </c>
      <c r="G952" s="189"/>
      <c r="H952" s="136">
        <v>1.2</v>
      </c>
      <c r="I952" s="136"/>
    </row>
    <row r="953" spans="1:9" ht="12.75" customHeight="1" x14ac:dyDescent="0.2">
      <c r="A953" s="94">
        <v>944</v>
      </c>
      <c r="B953" s="78"/>
      <c r="C953" s="157" t="s">
        <v>2082</v>
      </c>
      <c r="D953" s="157"/>
      <c r="E953" s="157"/>
      <c r="F953" s="121" t="s">
        <v>81</v>
      </c>
      <c r="G953" s="189"/>
      <c r="H953" s="136">
        <f>251.7-4.9-22.8-5-16-0.6-30-0.2-1.7-1-54.1-10.1-1</f>
        <v>104.30000000000001</v>
      </c>
      <c r="I953" s="136"/>
    </row>
    <row r="954" spans="1:9" ht="12.75" customHeight="1" x14ac:dyDescent="0.2">
      <c r="A954" s="94">
        <v>945</v>
      </c>
      <c r="B954" s="78"/>
      <c r="C954" s="157" t="s">
        <v>4702</v>
      </c>
      <c r="D954" s="157"/>
      <c r="E954" s="157"/>
      <c r="F954" s="121" t="s">
        <v>83</v>
      </c>
      <c r="G954" s="189"/>
      <c r="H954" s="136">
        <f>36.8-10-1</f>
        <v>25.799999999999997</v>
      </c>
      <c r="I954" s="136"/>
    </row>
    <row r="955" spans="1:9" ht="12.75" customHeight="1" x14ac:dyDescent="0.2">
      <c r="A955" s="94">
        <v>946</v>
      </c>
      <c r="B955" s="78"/>
      <c r="C955" s="157" t="s">
        <v>4623</v>
      </c>
      <c r="D955" s="157"/>
      <c r="E955" s="157"/>
      <c r="F955" s="121" t="s">
        <v>83</v>
      </c>
      <c r="G955" s="189"/>
      <c r="H955" s="136">
        <f>32-9.6-10.1</f>
        <v>12.299999999999999</v>
      </c>
      <c r="I955" s="136"/>
    </row>
    <row r="956" spans="1:9" ht="12.75" customHeight="1" x14ac:dyDescent="0.2">
      <c r="A956" s="94">
        <v>947</v>
      </c>
      <c r="B956" s="78"/>
      <c r="C956" s="157" t="s">
        <v>2387</v>
      </c>
      <c r="D956" s="157"/>
      <c r="E956" s="157"/>
      <c r="F956" s="121" t="s">
        <v>81</v>
      </c>
      <c r="G956" s="189"/>
      <c r="H956" s="136">
        <f>40.9+29.1-2.1</f>
        <v>67.900000000000006</v>
      </c>
      <c r="I956" s="136"/>
    </row>
    <row r="957" spans="1:9" ht="12.75" customHeight="1" x14ac:dyDescent="0.2">
      <c r="A957" s="94">
        <v>948</v>
      </c>
      <c r="B957" s="78" t="s">
        <v>741</v>
      </c>
      <c r="C957" s="157" t="s">
        <v>2487</v>
      </c>
      <c r="D957" s="157"/>
      <c r="E957" s="157"/>
      <c r="F957" s="121" t="s">
        <v>81</v>
      </c>
      <c r="G957" s="189"/>
      <c r="H957" s="136">
        <v>62.4</v>
      </c>
      <c r="I957" s="136"/>
    </row>
    <row r="958" spans="1:9" ht="12.75" customHeight="1" x14ac:dyDescent="0.2">
      <c r="A958" s="94">
        <v>949</v>
      </c>
      <c r="B958" s="78"/>
      <c r="C958" s="157" t="s">
        <v>4145</v>
      </c>
      <c r="D958" s="157"/>
      <c r="E958" s="157"/>
      <c r="F958" s="121" t="s">
        <v>81</v>
      </c>
      <c r="G958" s="189"/>
      <c r="H958" s="136">
        <f>204.8-19.9-27.6-69-49-1.8-2.1-5</f>
        <v>30.400000000000013</v>
      </c>
      <c r="I958" s="136"/>
    </row>
    <row r="959" spans="1:9" ht="12.75" customHeight="1" x14ac:dyDescent="0.2">
      <c r="A959" s="94">
        <v>950</v>
      </c>
      <c r="B959" s="78" t="s">
        <v>741</v>
      </c>
      <c r="C959" s="157" t="s">
        <v>4144</v>
      </c>
      <c r="D959" s="157"/>
      <c r="E959" s="157"/>
      <c r="F959" s="121" t="s">
        <v>81</v>
      </c>
      <c r="G959" s="189"/>
      <c r="H959" s="136">
        <v>11.9</v>
      </c>
      <c r="I959" s="136"/>
    </row>
    <row r="960" spans="1:9" ht="12.75" customHeight="1" x14ac:dyDescent="0.2">
      <c r="A960" s="94">
        <v>951</v>
      </c>
      <c r="B960" s="78"/>
      <c r="C960" s="157" t="s">
        <v>5268</v>
      </c>
      <c r="D960" s="157"/>
      <c r="E960" s="157"/>
      <c r="F960" s="121" t="s">
        <v>24</v>
      </c>
      <c r="G960" s="189"/>
      <c r="H960" s="136">
        <f>15.2-0.1-3-0.3-0.1</f>
        <v>11.7</v>
      </c>
      <c r="I960" s="136"/>
    </row>
    <row r="961" spans="1:9" ht="12.75" customHeight="1" x14ac:dyDescent="0.2">
      <c r="A961" s="94">
        <v>952</v>
      </c>
      <c r="B961" s="78" t="s">
        <v>741</v>
      </c>
      <c r="C961" s="157" t="s">
        <v>2042</v>
      </c>
      <c r="D961" s="157"/>
      <c r="E961" s="157"/>
      <c r="F961" s="121" t="s">
        <v>24</v>
      </c>
      <c r="G961" s="189"/>
      <c r="H961" s="136">
        <v>12.5</v>
      </c>
      <c r="I961" s="136"/>
    </row>
    <row r="962" spans="1:9" ht="28.5" customHeight="1" x14ac:dyDescent="0.2">
      <c r="A962" s="94">
        <v>953</v>
      </c>
      <c r="B962" s="78" t="s">
        <v>741</v>
      </c>
      <c r="C962" s="157" t="s">
        <v>3217</v>
      </c>
      <c r="D962" s="157"/>
      <c r="E962" s="157"/>
      <c r="F962" s="121" t="s">
        <v>24</v>
      </c>
      <c r="G962" s="189"/>
      <c r="H962" s="136">
        <f>70.7+63.7+78-14.6-0.3-2.9-25-0.1-12+0.4-1-20.3-20-0.9-25.5+0.1</f>
        <v>90.299999999999983</v>
      </c>
      <c r="I962" s="136"/>
    </row>
    <row r="963" spans="1:9" ht="12.75" customHeight="1" x14ac:dyDescent="0.2">
      <c r="A963" s="94">
        <v>954</v>
      </c>
      <c r="B963" s="78" t="s">
        <v>741</v>
      </c>
      <c r="C963" s="157" t="s">
        <v>2024</v>
      </c>
      <c r="D963" s="157"/>
      <c r="E963" s="157"/>
      <c r="F963" s="121" t="s">
        <v>24</v>
      </c>
      <c r="G963" s="189"/>
      <c r="H963" s="136">
        <v>14.2</v>
      </c>
      <c r="I963" s="136"/>
    </row>
    <row r="964" spans="1:9" ht="12.75" customHeight="1" x14ac:dyDescent="0.2">
      <c r="A964" s="94">
        <v>955</v>
      </c>
      <c r="B964" s="78"/>
      <c r="C964" s="157" t="s">
        <v>2192</v>
      </c>
      <c r="D964" s="157"/>
      <c r="E964" s="157"/>
      <c r="F964" s="121" t="s">
        <v>24</v>
      </c>
      <c r="G964" s="189"/>
      <c r="H964" s="136">
        <f>30.5-0.8-1-2.9-1-0.1</f>
        <v>24.7</v>
      </c>
      <c r="I964" s="136"/>
    </row>
    <row r="965" spans="1:9" ht="12.75" customHeight="1" x14ac:dyDescent="0.2">
      <c r="A965" s="94">
        <v>956</v>
      </c>
      <c r="B965" s="78"/>
      <c r="C965" s="157" t="s">
        <v>3438</v>
      </c>
      <c r="D965" s="157"/>
      <c r="E965" s="157"/>
      <c r="F965" s="121" t="s">
        <v>24</v>
      </c>
      <c r="G965" s="189"/>
      <c r="H965" s="136">
        <f>15.6-1-0.4-2.7-1-1</f>
        <v>9.5</v>
      </c>
      <c r="I965" s="136"/>
    </row>
    <row r="966" spans="1:9" ht="12.75" customHeight="1" x14ac:dyDescent="0.2">
      <c r="A966" s="94">
        <v>957</v>
      </c>
      <c r="B966" s="78" t="s">
        <v>741</v>
      </c>
      <c r="C966" s="157" t="s">
        <v>3817</v>
      </c>
      <c r="D966" s="157"/>
      <c r="E966" s="157"/>
      <c r="F966" s="121" t="s">
        <v>24</v>
      </c>
      <c r="G966" s="189"/>
      <c r="H966" s="136">
        <f>4.3-1-1-0.4</f>
        <v>1.9</v>
      </c>
      <c r="I966" s="136"/>
    </row>
    <row r="967" spans="1:9" ht="12.75" customHeight="1" x14ac:dyDescent="0.2">
      <c r="A967" s="94">
        <v>958</v>
      </c>
      <c r="B967" s="78"/>
      <c r="C967" s="157" t="s">
        <v>3615</v>
      </c>
      <c r="D967" s="157"/>
      <c r="E967" s="157"/>
      <c r="F967" s="121" t="s">
        <v>24</v>
      </c>
      <c r="G967" s="189"/>
      <c r="H967" s="136">
        <f>12-1-1-4-2-2+0.3-1+0.1</f>
        <v>1.4</v>
      </c>
      <c r="I967" s="136"/>
    </row>
    <row r="968" spans="1:9" ht="12.75" customHeight="1" x14ac:dyDescent="0.2">
      <c r="A968" s="94">
        <v>959</v>
      </c>
      <c r="B968" s="78" t="s">
        <v>741</v>
      </c>
      <c r="C968" s="157" t="s">
        <v>3445</v>
      </c>
      <c r="D968" s="157"/>
      <c r="E968" s="157"/>
      <c r="F968" s="121" t="s">
        <v>24</v>
      </c>
      <c r="G968" s="189"/>
      <c r="H968" s="136">
        <f>46.9-11.7-2.3-1-3-5.4-10.4-1-1.8-1-1</f>
        <v>8.300000000000006</v>
      </c>
      <c r="I968" s="136"/>
    </row>
    <row r="969" spans="1:9" ht="12.75" customHeight="1" x14ac:dyDescent="0.2">
      <c r="A969" s="94">
        <v>960</v>
      </c>
      <c r="B969" s="78" t="s">
        <v>741</v>
      </c>
      <c r="C969" s="157" t="s">
        <v>3381</v>
      </c>
      <c r="D969" s="157"/>
      <c r="E969" s="157"/>
      <c r="F969" s="121" t="s">
        <v>24</v>
      </c>
      <c r="G969" s="189"/>
      <c r="H969" s="136">
        <f>14.3-1-0.5-1-1-1.7</f>
        <v>9.1000000000000014</v>
      </c>
      <c r="I969" s="136"/>
    </row>
    <row r="970" spans="1:9" ht="12.75" customHeight="1" x14ac:dyDescent="0.2">
      <c r="A970" s="94">
        <v>961</v>
      </c>
      <c r="B970" s="78" t="s">
        <v>741</v>
      </c>
      <c r="C970" s="157" t="s">
        <v>2106</v>
      </c>
      <c r="D970" s="157"/>
      <c r="E970" s="157"/>
      <c r="F970" s="121" t="s">
        <v>24</v>
      </c>
      <c r="G970" s="189"/>
      <c r="H970" s="136">
        <v>7.8</v>
      </c>
      <c r="I970" s="136"/>
    </row>
    <row r="971" spans="1:9" ht="12.75" customHeight="1" x14ac:dyDescent="0.2">
      <c r="A971" s="94">
        <v>962</v>
      </c>
      <c r="B971" s="78" t="s">
        <v>741</v>
      </c>
      <c r="C971" s="157" t="s">
        <v>3129</v>
      </c>
      <c r="D971" s="157"/>
      <c r="E971" s="157"/>
      <c r="F971" s="121" t="s">
        <v>24</v>
      </c>
      <c r="G971" s="189"/>
      <c r="H971" s="136">
        <f>39.8-0.4-9.9-3-4.8-1</f>
        <v>20.7</v>
      </c>
      <c r="I971" s="136"/>
    </row>
    <row r="972" spans="1:9" ht="12.75" customHeight="1" x14ac:dyDescent="0.2">
      <c r="A972" s="94">
        <v>963</v>
      </c>
      <c r="B972" s="78" t="s">
        <v>741</v>
      </c>
      <c r="C972" s="157" t="s">
        <v>1937</v>
      </c>
      <c r="D972" s="157"/>
      <c r="E972" s="157"/>
      <c r="F972" s="121" t="s">
        <v>24</v>
      </c>
      <c r="G972" s="189"/>
      <c r="H972" s="136">
        <f>22.9-1-2</f>
        <v>19.899999999999999</v>
      </c>
      <c r="I972" s="136"/>
    </row>
    <row r="973" spans="1:9" ht="12.75" customHeight="1" x14ac:dyDescent="0.2">
      <c r="A973" s="94">
        <v>964</v>
      </c>
      <c r="B973" s="78" t="s">
        <v>741</v>
      </c>
      <c r="C973" s="157" t="s">
        <v>3992</v>
      </c>
      <c r="D973" s="157"/>
      <c r="E973" s="157"/>
      <c r="F973" s="121" t="s">
        <v>24</v>
      </c>
      <c r="G973" s="189"/>
      <c r="H973" s="136">
        <v>2.7</v>
      </c>
      <c r="I973" s="136"/>
    </row>
    <row r="974" spans="1:9" ht="12.75" customHeight="1" x14ac:dyDescent="0.2">
      <c r="A974" s="94">
        <v>965</v>
      </c>
      <c r="B974" s="78"/>
      <c r="C974" s="157" t="s">
        <v>2949</v>
      </c>
      <c r="D974" s="157"/>
      <c r="E974" s="157"/>
      <c r="F974" s="121" t="s">
        <v>24</v>
      </c>
      <c r="G974" s="189"/>
      <c r="H974" s="136">
        <f>4.4-0.3-1</f>
        <v>3.1000000000000005</v>
      </c>
      <c r="I974" s="136"/>
    </row>
    <row r="975" spans="1:9" ht="12.75" customHeight="1" x14ac:dyDescent="0.2">
      <c r="A975" s="94">
        <v>966</v>
      </c>
      <c r="B975" s="78"/>
      <c r="C975" s="157" t="s">
        <v>2409</v>
      </c>
      <c r="D975" s="157"/>
      <c r="E975" s="157"/>
      <c r="F975" s="121" t="s">
        <v>24</v>
      </c>
      <c r="G975" s="189"/>
      <c r="H975" s="136">
        <f>23.5-2-0.2-0.8-1-1+44.8-1.2+24.5-1.2-2-0.2-2-18.5-1.9</f>
        <v>60.79999999999999</v>
      </c>
      <c r="I975" s="136"/>
    </row>
    <row r="976" spans="1:9" ht="12.75" customHeight="1" x14ac:dyDescent="0.2">
      <c r="A976" s="94">
        <v>967</v>
      </c>
      <c r="B976" s="78" t="s">
        <v>741</v>
      </c>
      <c r="C976" s="157" t="s">
        <v>4518</v>
      </c>
      <c r="D976" s="157"/>
      <c r="E976" s="157"/>
      <c r="F976" s="121" t="s">
        <v>24</v>
      </c>
      <c r="G976" s="189"/>
      <c r="H976" s="136">
        <f>26.2-1.5-0.8</f>
        <v>23.9</v>
      </c>
      <c r="I976" s="136"/>
    </row>
    <row r="977" spans="1:9" ht="12.75" customHeight="1" x14ac:dyDescent="0.2">
      <c r="A977" s="94">
        <v>968</v>
      </c>
      <c r="B977" s="78" t="s">
        <v>741</v>
      </c>
      <c r="C977" s="157" t="s">
        <v>1954</v>
      </c>
      <c r="D977" s="157"/>
      <c r="E977" s="157"/>
      <c r="F977" s="121" t="s">
        <v>24</v>
      </c>
      <c r="G977" s="189"/>
      <c r="H977" s="136">
        <v>8.6</v>
      </c>
      <c r="I977" s="136"/>
    </row>
    <row r="978" spans="1:9" ht="12.75" customHeight="1" x14ac:dyDescent="0.2">
      <c r="A978" s="94">
        <v>969</v>
      </c>
      <c r="B978" s="78" t="s">
        <v>741</v>
      </c>
      <c r="C978" s="157" t="s">
        <v>2026</v>
      </c>
      <c r="D978" s="157"/>
      <c r="E978" s="157"/>
      <c r="F978" s="121" t="s">
        <v>24</v>
      </c>
      <c r="G978" s="189"/>
      <c r="H978" s="136">
        <v>19.2</v>
      </c>
      <c r="I978" s="136"/>
    </row>
    <row r="979" spans="1:9" ht="30" customHeight="1" x14ac:dyDescent="0.2">
      <c r="A979" s="94">
        <v>970</v>
      </c>
      <c r="B979" s="78"/>
      <c r="C979" s="157" t="s">
        <v>3563</v>
      </c>
      <c r="D979" s="157"/>
      <c r="E979" s="157"/>
      <c r="F979" s="121" t="s">
        <v>24</v>
      </c>
      <c r="G979" s="189"/>
      <c r="H979" s="136">
        <f>33.9-0.6-5.8-2.1+2.1-0.5-0.6-5.3-2.1</f>
        <v>18.999999999999993</v>
      </c>
      <c r="I979" s="136"/>
    </row>
    <row r="980" spans="1:9" ht="12.75" customHeight="1" x14ac:dyDescent="0.2">
      <c r="A980" s="94">
        <v>971</v>
      </c>
      <c r="B980" s="78" t="s">
        <v>741</v>
      </c>
      <c r="C980" s="157" t="s">
        <v>3794</v>
      </c>
      <c r="D980" s="157"/>
      <c r="E980" s="157"/>
      <c r="F980" s="121" t="s">
        <v>24</v>
      </c>
      <c r="G980" s="189"/>
      <c r="H980" s="136">
        <f>76.8-1-1.1-6.5-0.6-0.6-1.9-0.5-2.1-2.1-0.8-1-3-0.7-0.5</f>
        <v>54.400000000000006</v>
      </c>
      <c r="I980" s="136"/>
    </row>
    <row r="981" spans="1:9" ht="12.75" customHeight="1" x14ac:dyDescent="0.2">
      <c r="A981" s="94">
        <v>972</v>
      </c>
      <c r="B981" s="78"/>
      <c r="C981" s="157" t="s">
        <v>3612</v>
      </c>
      <c r="D981" s="157"/>
      <c r="E981" s="157"/>
      <c r="F981" s="121" t="s">
        <v>24</v>
      </c>
      <c r="G981" s="189"/>
      <c r="H981" s="136">
        <f>20.4-0.5-4.3-2.9-2-1.5-1</f>
        <v>8.1999999999999975</v>
      </c>
      <c r="I981" s="136"/>
    </row>
    <row r="982" spans="1:9" ht="12.75" customHeight="1" x14ac:dyDescent="0.2">
      <c r="A982" s="94">
        <v>973</v>
      </c>
      <c r="B982" s="78"/>
      <c r="C982" s="157" t="s">
        <v>3220</v>
      </c>
      <c r="D982" s="157"/>
      <c r="E982" s="157"/>
      <c r="F982" s="121" t="s">
        <v>24</v>
      </c>
      <c r="G982" s="189"/>
      <c r="H982" s="136">
        <f>28.5-3.9</f>
        <v>24.6</v>
      </c>
      <c r="I982" s="136"/>
    </row>
    <row r="983" spans="1:9" ht="12.75" customHeight="1" x14ac:dyDescent="0.2">
      <c r="A983" s="94">
        <v>974</v>
      </c>
      <c r="B983" s="78" t="s">
        <v>741</v>
      </c>
      <c r="C983" s="157" t="s">
        <v>2524</v>
      </c>
      <c r="D983" s="157"/>
      <c r="E983" s="157"/>
      <c r="F983" s="121" t="s">
        <v>24</v>
      </c>
      <c r="G983" s="189"/>
      <c r="H983" s="136">
        <v>20.9</v>
      </c>
      <c r="I983" s="136"/>
    </row>
    <row r="984" spans="1:9" ht="12.75" customHeight="1" x14ac:dyDescent="0.2">
      <c r="A984" s="94">
        <v>975</v>
      </c>
      <c r="B984" s="78" t="s">
        <v>741</v>
      </c>
      <c r="C984" s="157" t="s">
        <v>2534</v>
      </c>
      <c r="D984" s="157"/>
      <c r="E984" s="157"/>
      <c r="F984" s="121" t="s">
        <v>24</v>
      </c>
      <c r="G984" s="189"/>
      <c r="H984" s="136">
        <v>33.9</v>
      </c>
      <c r="I984" s="136"/>
    </row>
    <row r="985" spans="1:9" ht="12.75" customHeight="1" x14ac:dyDescent="0.2">
      <c r="A985" s="94">
        <v>976</v>
      </c>
      <c r="B985" s="78" t="s">
        <v>3540</v>
      </c>
      <c r="C985" s="157" t="s">
        <v>4047</v>
      </c>
      <c r="D985" s="157"/>
      <c r="E985" s="157"/>
      <c r="F985" s="121" t="s">
        <v>24</v>
      </c>
      <c r="G985" s="189"/>
      <c r="H985" s="136">
        <f>31.4-0.8-3-3.4-1-0.8-1-2.5-1-1.6+0.3</f>
        <v>16.599999999999998</v>
      </c>
      <c r="I985" s="136"/>
    </row>
    <row r="986" spans="1:9" ht="12.75" customHeight="1" x14ac:dyDescent="0.2">
      <c r="A986" s="94">
        <v>977</v>
      </c>
      <c r="B986" s="78" t="s">
        <v>3540</v>
      </c>
      <c r="C986" s="157" t="s">
        <v>4048</v>
      </c>
      <c r="D986" s="157"/>
      <c r="E986" s="157"/>
      <c r="F986" s="121" t="s">
        <v>24</v>
      </c>
      <c r="G986" s="189"/>
      <c r="H986" s="136">
        <f>27.5-4.9-3.6-1.7-11+0.1</f>
        <v>6.4</v>
      </c>
      <c r="I986" s="136"/>
    </row>
    <row r="987" spans="1:9" ht="12.75" customHeight="1" x14ac:dyDescent="0.2">
      <c r="A987" s="94">
        <v>978</v>
      </c>
      <c r="B987" s="78" t="s">
        <v>741</v>
      </c>
      <c r="C987" s="157" t="s">
        <v>4963</v>
      </c>
      <c r="D987" s="157"/>
      <c r="E987" s="157"/>
      <c r="F987" s="121" t="s">
        <v>24</v>
      </c>
      <c r="G987" s="189"/>
      <c r="H987" s="136">
        <f>5.7-0.3</f>
        <v>5.4</v>
      </c>
      <c r="I987" s="136"/>
    </row>
    <row r="988" spans="1:9" x14ac:dyDescent="0.2">
      <c r="A988" s="94">
        <v>979</v>
      </c>
      <c r="B988" s="78" t="s">
        <v>741</v>
      </c>
      <c r="C988" s="157" t="s">
        <v>3768</v>
      </c>
      <c r="D988" s="157"/>
      <c r="E988" s="157"/>
      <c r="F988" s="121" t="s">
        <v>24</v>
      </c>
      <c r="G988" s="189"/>
      <c r="H988" s="136">
        <v>43.2</v>
      </c>
      <c r="I988" s="136"/>
    </row>
    <row r="989" spans="1:9" x14ac:dyDescent="0.2">
      <c r="A989" s="94">
        <v>980</v>
      </c>
      <c r="B989" s="78" t="s">
        <v>741</v>
      </c>
      <c r="C989" s="157" t="s">
        <v>4348</v>
      </c>
      <c r="D989" s="157"/>
      <c r="E989" s="157"/>
      <c r="F989" s="121" t="s">
        <v>24</v>
      </c>
      <c r="G989" s="189"/>
      <c r="H989" s="136">
        <f>2.2-1.4</f>
        <v>0.80000000000000027</v>
      </c>
      <c r="I989" s="136"/>
    </row>
    <row r="990" spans="1:9" ht="12.75" customHeight="1" x14ac:dyDescent="0.2">
      <c r="A990" s="94">
        <v>981</v>
      </c>
      <c r="B990" s="78"/>
      <c r="C990" s="157" t="s">
        <v>3948</v>
      </c>
      <c r="D990" s="157"/>
      <c r="E990" s="157"/>
      <c r="F990" s="121" t="s">
        <v>9</v>
      </c>
      <c r="G990" s="189"/>
      <c r="H990" s="136">
        <f>25.3-1-1-1-0.5</f>
        <v>21.8</v>
      </c>
      <c r="I990" s="136"/>
    </row>
    <row r="991" spans="1:9" ht="12.75" customHeight="1" x14ac:dyDescent="0.2">
      <c r="A991" s="94">
        <v>982</v>
      </c>
      <c r="B991" s="78"/>
      <c r="C991" s="157" t="s">
        <v>1996</v>
      </c>
      <c r="D991" s="157"/>
      <c r="E991" s="157"/>
      <c r="F991" s="121" t="s">
        <v>9</v>
      </c>
      <c r="G991" s="189"/>
      <c r="H991" s="136">
        <v>38.799999999999997</v>
      </c>
      <c r="I991" s="136"/>
    </row>
    <row r="992" spans="1:9" ht="12.75" customHeight="1" x14ac:dyDescent="0.2">
      <c r="A992" s="94">
        <v>983</v>
      </c>
      <c r="B992" s="78"/>
      <c r="C992" s="157" t="s">
        <v>1834</v>
      </c>
      <c r="D992" s="157"/>
      <c r="E992" s="157"/>
      <c r="F992" s="121" t="s">
        <v>9</v>
      </c>
      <c r="G992" s="189"/>
      <c r="H992" s="136">
        <v>10.199999999999999</v>
      </c>
      <c r="I992" s="136"/>
    </row>
    <row r="993" spans="1:9" ht="12.75" customHeight="1" x14ac:dyDescent="0.2">
      <c r="A993" s="94">
        <v>984</v>
      </c>
      <c r="B993" s="78" t="s">
        <v>741</v>
      </c>
      <c r="C993" s="157" t="s">
        <v>3949</v>
      </c>
      <c r="D993" s="157"/>
      <c r="E993" s="157"/>
      <c r="F993" s="121" t="s">
        <v>9</v>
      </c>
      <c r="G993" s="189"/>
      <c r="H993" s="136">
        <f>20.2-1.6</f>
        <v>18.599999999999998</v>
      </c>
      <c r="I993" s="136"/>
    </row>
    <row r="994" spans="1:9" ht="12.75" customHeight="1" x14ac:dyDescent="0.2">
      <c r="A994" s="94">
        <v>985</v>
      </c>
      <c r="B994" s="78"/>
      <c r="C994" s="157" t="s">
        <v>3153</v>
      </c>
      <c r="D994" s="157"/>
      <c r="E994" s="157"/>
      <c r="F994" s="121" t="s">
        <v>9</v>
      </c>
      <c r="G994" s="189"/>
      <c r="H994" s="136">
        <f>3.6-0.9-0.9-0.9</f>
        <v>0.90000000000000024</v>
      </c>
      <c r="I994" s="136"/>
    </row>
    <row r="995" spans="1:9" ht="12.75" customHeight="1" x14ac:dyDescent="0.2">
      <c r="A995" s="94">
        <v>986</v>
      </c>
      <c r="B995" s="78" t="s">
        <v>741</v>
      </c>
      <c r="C995" s="157" t="s">
        <v>4682</v>
      </c>
      <c r="D995" s="157"/>
      <c r="E995" s="157"/>
      <c r="F995" s="121" t="s">
        <v>9</v>
      </c>
      <c r="G995" s="189"/>
      <c r="H995" s="136">
        <f>37-1</f>
        <v>36</v>
      </c>
      <c r="I995" s="136"/>
    </row>
    <row r="996" spans="1:9" ht="12.75" customHeight="1" x14ac:dyDescent="0.2">
      <c r="A996" s="94">
        <v>987</v>
      </c>
      <c r="B996" s="78" t="s">
        <v>741</v>
      </c>
      <c r="C996" s="157" t="s">
        <v>5196</v>
      </c>
      <c r="D996" s="157"/>
      <c r="E996" s="157"/>
      <c r="F996" s="121" t="s">
        <v>9</v>
      </c>
      <c r="G996" s="189"/>
      <c r="H996" s="136">
        <v>41.5</v>
      </c>
      <c r="I996" s="136"/>
    </row>
    <row r="997" spans="1:9" ht="12.75" customHeight="1" x14ac:dyDescent="0.2">
      <c r="A997" s="94">
        <v>988</v>
      </c>
      <c r="B997" s="78"/>
      <c r="C997" s="157" t="s">
        <v>1593</v>
      </c>
      <c r="D997" s="157"/>
      <c r="E997" s="157"/>
      <c r="F997" s="121" t="s">
        <v>9</v>
      </c>
      <c r="G997" s="189"/>
      <c r="H997" s="136">
        <v>1.4</v>
      </c>
      <c r="I997" s="136"/>
    </row>
    <row r="998" spans="1:9" ht="12.75" customHeight="1" x14ac:dyDescent="0.2">
      <c r="A998" s="94">
        <v>989</v>
      </c>
      <c r="B998" s="78" t="s">
        <v>741</v>
      </c>
      <c r="C998" s="157" t="s">
        <v>4593</v>
      </c>
      <c r="D998" s="157"/>
      <c r="E998" s="157"/>
      <c r="F998" s="121" t="s">
        <v>9</v>
      </c>
      <c r="G998" s="189"/>
      <c r="H998" s="136">
        <v>9.9</v>
      </c>
      <c r="I998" s="136"/>
    </row>
    <row r="999" spans="1:9" ht="12.75" customHeight="1" x14ac:dyDescent="0.2">
      <c r="A999" s="94">
        <v>990</v>
      </c>
      <c r="B999" s="78" t="s">
        <v>741</v>
      </c>
      <c r="C999" s="157" t="s">
        <v>4594</v>
      </c>
      <c r="D999" s="157"/>
      <c r="E999" s="157"/>
      <c r="F999" s="121" t="s">
        <v>9</v>
      </c>
      <c r="G999" s="189"/>
      <c r="H999" s="136">
        <v>14.6</v>
      </c>
      <c r="I999" s="136"/>
    </row>
    <row r="1000" spans="1:9" ht="12.75" customHeight="1" x14ac:dyDescent="0.2">
      <c r="A1000" s="94">
        <v>991</v>
      </c>
      <c r="B1000" s="78" t="s">
        <v>741</v>
      </c>
      <c r="C1000" s="157" t="s">
        <v>3910</v>
      </c>
      <c r="D1000" s="157"/>
      <c r="E1000" s="157"/>
      <c r="F1000" s="121" t="s">
        <v>9</v>
      </c>
      <c r="G1000" s="189"/>
      <c r="H1000" s="136">
        <v>24.1</v>
      </c>
      <c r="I1000" s="136"/>
    </row>
    <row r="1001" spans="1:9" ht="12.75" customHeight="1" x14ac:dyDescent="0.2">
      <c r="A1001" s="94">
        <v>992</v>
      </c>
      <c r="B1001" s="78" t="s">
        <v>741</v>
      </c>
      <c r="C1001" s="157" t="s">
        <v>4592</v>
      </c>
      <c r="D1001" s="157"/>
      <c r="E1001" s="157"/>
      <c r="F1001" s="121" t="s">
        <v>9</v>
      </c>
      <c r="G1001" s="189"/>
      <c r="H1001" s="136">
        <v>19.899999999999999</v>
      </c>
      <c r="I1001" s="136"/>
    </row>
    <row r="1002" spans="1:9" ht="12.75" customHeight="1" x14ac:dyDescent="0.2">
      <c r="A1002" s="94">
        <v>993</v>
      </c>
      <c r="B1002" s="78" t="s">
        <v>741</v>
      </c>
      <c r="C1002" s="157" t="s">
        <v>3575</v>
      </c>
      <c r="D1002" s="157"/>
      <c r="E1002" s="157"/>
      <c r="F1002" s="121" t="s">
        <v>9</v>
      </c>
      <c r="G1002" s="189"/>
      <c r="H1002" s="136">
        <v>45</v>
      </c>
      <c r="I1002" s="136"/>
    </row>
    <row r="1003" spans="1:9" ht="12.75" customHeight="1" x14ac:dyDescent="0.2">
      <c r="A1003" s="94">
        <v>994</v>
      </c>
      <c r="B1003" s="78"/>
      <c r="C1003" s="157" t="s">
        <v>3950</v>
      </c>
      <c r="D1003" s="157"/>
      <c r="E1003" s="157"/>
      <c r="F1003" s="121" t="s">
        <v>9</v>
      </c>
      <c r="G1003" s="189"/>
      <c r="H1003" s="136">
        <f>47-0.2-4.1</f>
        <v>42.699999999999996</v>
      </c>
      <c r="I1003" s="136"/>
    </row>
    <row r="1004" spans="1:9" ht="12.75" customHeight="1" x14ac:dyDescent="0.2">
      <c r="A1004" s="94">
        <v>995</v>
      </c>
      <c r="B1004" s="78"/>
      <c r="C1004" s="157" t="s">
        <v>3764</v>
      </c>
      <c r="D1004" s="157"/>
      <c r="E1004" s="157"/>
      <c r="F1004" s="121" t="s">
        <v>9</v>
      </c>
      <c r="G1004" s="189"/>
      <c r="H1004" s="136">
        <f>13.9-2.1</f>
        <v>11.8</v>
      </c>
      <c r="I1004" s="136"/>
    </row>
    <row r="1005" spans="1:9" ht="12.75" customHeight="1" x14ac:dyDescent="0.2">
      <c r="A1005" s="94">
        <v>996</v>
      </c>
      <c r="B1005" s="78"/>
      <c r="C1005" s="157" t="s">
        <v>4745</v>
      </c>
      <c r="D1005" s="157"/>
      <c r="E1005" s="157"/>
      <c r="F1005" s="121" t="s">
        <v>9</v>
      </c>
      <c r="G1005" s="189"/>
      <c r="H1005" s="136">
        <f>14-1-3-4.2</f>
        <v>5.8</v>
      </c>
      <c r="I1005" s="136"/>
    </row>
    <row r="1006" spans="1:9" ht="12.75" customHeight="1" x14ac:dyDescent="0.2">
      <c r="A1006" s="94">
        <v>997</v>
      </c>
      <c r="B1006" s="78"/>
      <c r="C1006" s="157" t="s">
        <v>4885</v>
      </c>
      <c r="D1006" s="157"/>
      <c r="E1006" s="157"/>
      <c r="F1006" s="121" t="s">
        <v>9</v>
      </c>
      <c r="G1006" s="189"/>
      <c r="H1006" s="136">
        <f>302-19.6-4-4-4-4-4-15.8-15.8-23.6-11.8-8-19.8-19.6-0.8-19.6-19.6</f>
        <v>107.99999999999994</v>
      </c>
      <c r="I1006" s="136"/>
    </row>
    <row r="1007" spans="1:9" x14ac:dyDescent="0.2">
      <c r="A1007" s="94">
        <v>998</v>
      </c>
      <c r="B1007" s="78"/>
      <c r="C1007" s="157" t="s">
        <v>4716</v>
      </c>
      <c r="D1007" s="157"/>
      <c r="E1007" s="157"/>
      <c r="F1007" s="121" t="s">
        <v>9</v>
      </c>
      <c r="G1007" s="189"/>
      <c r="H1007" s="136">
        <f>31.7-5.5+10.3-4.9-10.6-5.4</f>
        <v>15.6</v>
      </c>
      <c r="I1007" s="136"/>
    </row>
    <row r="1008" spans="1:9" ht="12.75" customHeight="1" x14ac:dyDescent="0.2">
      <c r="A1008" s="94">
        <v>999</v>
      </c>
      <c r="B1008" s="78"/>
      <c r="C1008" s="157" t="s">
        <v>3951</v>
      </c>
      <c r="D1008" s="157"/>
      <c r="E1008" s="157"/>
      <c r="F1008" s="121" t="s">
        <v>9</v>
      </c>
      <c r="G1008" s="189"/>
      <c r="H1008" s="136">
        <f>227.2-23.9-13.7-3.5-20.3-6.8-3.4-3.3-3.5-6.8-6.8-3.4-3.4-6.9-10.4-3.5-3.5-13.6-17-20.3-6.8-6.8</f>
        <v>39.599999999999923</v>
      </c>
      <c r="I1008" s="136"/>
    </row>
    <row r="1009" spans="1:9" ht="12.75" customHeight="1" x14ac:dyDescent="0.2">
      <c r="A1009" s="94">
        <v>1000</v>
      </c>
      <c r="B1009" s="78" t="s">
        <v>741</v>
      </c>
      <c r="C1009" s="157" t="s">
        <v>1454</v>
      </c>
      <c r="D1009" s="157"/>
      <c r="E1009" s="157"/>
      <c r="F1009" s="121" t="s">
        <v>9</v>
      </c>
      <c r="G1009" s="189"/>
      <c r="H1009" s="136">
        <v>61.3</v>
      </c>
      <c r="I1009" s="136"/>
    </row>
    <row r="1010" spans="1:9" ht="12.75" customHeight="1" x14ac:dyDescent="0.2">
      <c r="A1010" s="94">
        <v>1001</v>
      </c>
      <c r="B1010" s="78" t="s">
        <v>741</v>
      </c>
      <c r="C1010" s="157" t="s">
        <v>3488</v>
      </c>
      <c r="D1010" s="157"/>
      <c r="E1010" s="157"/>
      <c r="F1010" s="121" t="s">
        <v>111</v>
      </c>
      <c r="G1010" s="189"/>
      <c r="H1010" s="136">
        <f>32-1-0.5-1-10.5-1-2.7-2-1</f>
        <v>12.3</v>
      </c>
      <c r="I1010" s="136"/>
    </row>
    <row r="1011" spans="1:9" ht="12.75" customHeight="1" x14ac:dyDescent="0.2">
      <c r="A1011" s="94">
        <v>1002</v>
      </c>
      <c r="B1011" s="78"/>
      <c r="C1011" s="157" t="s">
        <v>4534</v>
      </c>
      <c r="D1011" s="157"/>
      <c r="E1011" s="157"/>
      <c r="F1011" s="121" t="s">
        <v>111</v>
      </c>
      <c r="G1011" s="189"/>
      <c r="H1011" s="136">
        <f>6.6-1-1</f>
        <v>4.5999999999999996</v>
      </c>
      <c r="I1011" s="136"/>
    </row>
    <row r="1012" spans="1:9" ht="12.75" customHeight="1" x14ac:dyDescent="0.2">
      <c r="A1012" s="94">
        <v>1003</v>
      </c>
      <c r="B1012" s="78" t="s">
        <v>741</v>
      </c>
      <c r="C1012" s="157" t="s">
        <v>1748</v>
      </c>
      <c r="D1012" s="157"/>
      <c r="E1012" s="157"/>
      <c r="F1012" s="121" t="s">
        <v>111</v>
      </c>
      <c r="G1012" s="189"/>
      <c r="H1012" s="136">
        <f>36.2-0.5</f>
        <v>35.700000000000003</v>
      </c>
      <c r="I1012" s="136"/>
    </row>
    <row r="1013" spans="1:9" ht="12.75" customHeight="1" x14ac:dyDescent="0.2">
      <c r="A1013" s="94">
        <v>1004</v>
      </c>
      <c r="B1013" s="78" t="s">
        <v>741</v>
      </c>
      <c r="C1013" s="157" t="s">
        <v>3967</v>
      </c>
      <c r="D1013" s="157"/>
      <c r="E1013" s="157"/>
      <c r="F1013" s="121" t="s">
        <v>111</v>
      </c>
      <c r="G1013" s="189"/>
      <c r="H1013" s="136">
        <f>12.3+50.2+35-4.6</f>
        <v>92.9</v>
      </c>
      <c r="I1013" s="136"/>
    </row>
    <row r="1014" spans="1:9" ht="12.75" customHeight="1" x14ac:dyDescent="0.2">
      <c r="A1014" s="94">
        <v>1005</v>
      </c>
      <c r="B1014" s="78" t="s">
        <v>741</v>
      </c>
      <c r="C1014" s="157" t="s">
        <v>5024</v>
      </c>
      <c r="D1014" s="157"/>
      <c r="E1014" s="157"/>
      <c r="F1014" s="121" t="s">
        <v>111</v>
      </c>
      <c r="G1014" s="189"/>
      <c r="H1014" s="136">
        <f>110.6-11+50.3-14-3.3-1-15-15.3-28.8-1-13.2-15-0.6-14.7-20.6+0.1</f>
        <v>7.4999999999999662</v>
      </c>
      <c r="I1014" s="136"/>
    </row>
    <row r="1015" spans="1:9" ht="12.75" customHeight="1" x14ac:dyDescent="0.2">
      <c r="A1015" s="94">
        <v>1006</v>
      </c>
      <c r="B1015" s="78" t="s">
        <v>741</v>
      </c>
      <c r="C1015" s="157" t="s">
        <v>4393</v>
      </c>
      <c r="D1015" s="157"/>
      <c r="E1015" s="157"/>
      <c r="F1015" s="121" t="s">
        <v>111</v>
      </c>
      <c r="G1015" s="189"/>
      <c r="H1015" s="136">
        <f>52.5-9.1-10-10-2+1.6-3</f>
        <v>20</v>
      </c>
      <c r="I1015" s="136"/>
    </row>
    <row r="1016" spans="1:9" ht="12.75" customHeight="1" x14ac:dyDescent="0.2">
      <c r="A1016" s="94">
        <v>1007</v>
      </c>
      <c r="B1016" s="78"/>
      <c r="C1016" s="157" t="s">
        <v>1817</v>
      </c>
      <c r="D1016" s="157"/>
      <c r="E1016" s="157"/>
      <c r="F1016" s="121" t="s">
        <v>111</v>
      </c>
      <c r="G1016" s="189"/>
      <c r="H1016" s="136">
        <v>8.1999999999999993</v>
      </c>
      <c r="I1016" s="136"/>
    </row>
    <row r="1017" spans="1:9" ht="12.75" customHeight="1" x14ac:dyDescent="0.2">
      <c r="A1017" s="94">
        <v>1008</v>
      </c>
      <c r="B1017" s="78" t="s">
        <v>741</v>
      </c>
      <c r="C1017" s="157" t="s">
        <v>5397</v>
      </c>
      <c r="D1017" s="157"/>
      <c r="E1017" s="157"/>
      <c r="F1017" s="121" t="s">
        <v>111</v>
      </c>
      <c r="G1017" s="189"/>
      <c r="H1017" s="136">
        <f>67.4-0.5-1-5.4-4.7-4.2-4.5-1-2-1.1</f>
        <v>43</v>
      </c>
      <c r="I1017" s="136"/>
    </row>
    <row r="1018" spans="1:9" ht="12.75" customHeight="1" x14ac:dyDescent="0.2">
      <c r="A1018" s="94">
        <v>1009</v>
      </c>
      <c r="B1018" s="78" t="s">
        <v>741</v>
      </c>
      <c r="C1018" s="157" t="s">
        <v>4677</v>
      </c>
      <c r="D1018" s="157"/>
      <c r="E1018" s="157"/>
      <c r="F1018" s="121" t="s">
        <v>111</v>
      </c>
      <c r="G1018" s="189"/>
      <c r="H1018" s="136">
        <f>56.5-3-10-1.5-2.3-2</f>
        <v>37.700000000000003</v>
      </c>
      <c r="I1018" s="136"/>
    </row>
    <row r="1019" spans="1:9" ht="12.75" customHeight="1" x14ac:dyDescent="0.2">
      <c r="A1019" s="94">
        <v>1010</v>
      </c>
      <c r="B1019" s="78"/>
      <c r="C1019" s="157" t="s">
        <v>641</v>
      </c>
      <c r="D1019" s="157"/>
      <c r="E1019" s="157"/>
      <c r="F1019" s="121" t="s">
        <v>111</v>
      </c>
      <c r="G1019" s="189"/>
      <c r="H1019" s="136">
        <v>45.8</v>
      </c>
      <c r="I1019" s="136"/>
    </row>
    <row r="1020" spans="1:9" ht="12.75" customHeight="1" x14ac:dyDescent="0.2">
      <c r="A1020" s="94">
        <v>1011</v>
      </c>
      <c r="B1020" s="78" t="s">
        <v>741</v>
      </c>
      <c r="C1020" s="157" t="s">
        <v>1309</v>
      </c>
      <c r="D1020" s="157"/>
      <c r="E1020" s="157"/>
      <c r="F1020" s="121" t="s">
        <v>111</v>
      </c>
      <c r="G1020" s="189"/>
      <c r="H1020" s="136">
        <v>2.2999999999999998</v>
      </c>
      <c r="I1020" s="136"/>
    </row>
    <row r="1021" spans="1:9" ht="12.75" customHeight="1" x14ac:dyDescent="0.2">
      <c r="A1021" s="94">
        <v>1012</v>
      </c>
      <c r="B1021" s="78" t="s">
        <v>741</v>
      </c>
      <c r="C1021" s="157" t="s">
        <v>4286</v>
      </c>
      <c r="D1021" s="157"/>
      <c r="E1021" s="157"/>
      <c r="F1021" s="121" t="s">
        <v>111</v>
      </c>
      <c r="G1021" s="189"/>
      <c r="H1021" s="136">
        <v>48.5</v>
      </c>
      <c r="I1021" s="136"/>
    </row>
    <row r="1022" spans="1:9" ht="12.75" customHeight="1" x14ac:dyDescent="0.2">
      <c r="A1022" s="94">
        <v>1013</v>
      </c>
      <c r="B1022" s="78" t="s">
        <v>741</v>
      </c>
      <c r="C1022" s="157" t="s">
        <v>4431</v>
      </c>
      <c r="D1022" s="157"/>
      <c r="E1022" s="157"/>
      <c r="F1022" s="121" t="s">
        <v>111</v>
      </c>
      <c r="G1022" s="189"/>
      <c r="H1022" s="155">
        <v>47.8</v>
      </c>
      <c r="I1022" s="156"/>
    </row>
    <row r="1023" spans="1:9" ht="12.75" customHeight="1" x14ac:dyDescent="0.2">
      <c r="A1023" s="94">
        <v>1014</v>
      </c>
      <c r="B1023" s="78" t="s">
        <v>741</v>
      </c>
      <c r="C1023" s="157" t="s">
        <v>2930</v>
      </c>
      <c r="D1023" s="157"/>
      <c r="E1023" s="157"/>
      <c r="F1023" s="121" t="s">
        <v>111</v>
      </c>
      <c r="G1023" s="189"/>
      <c r="H1023" s="136">
        <f>36-5-2-3-3.6-0.6</f>
        <v>21.799999999999997</v>
      </c>
      <c r="I1023" s="136"/>
    </row>
    <row r="1024" spans="1:9" ht="12.75" customHeight="1" x14ac:dyDescent="0.2">
      <c r="A1024" s="94">
        <v>1015</v>
      </c>
      <c r="B1024" s="78" t="s">
        <v>741</v>
      </c>
      <c r="C1024" s="157" t="s">
        <v>1310</v>
      </c>
      <c r="D1024" s="157"/>
      <c r="E1024" s="157"/>
      <c r="F1024" s="121" t="s">
        <v>111</v>
      </c>
      <c r="G1024" s="189"/>
      <c r="H1024" s="136">
        <v>3.6</v>
      </c>
      <c r="I1024" s="136"/>
    </row>
    <row r="1025" spans="1:9" ht="12.75" customHeight="1" x14ac:dyDescent="0.2">
      <c r="A1025" s="94">
        <v>1016</v>
      </c>
      <c r="B1025" s="78"/>
      <c r="C1025" s="157" t="s">
        <v>1374</v>
      </c>
      <c r="D1025" s="157"/>
      <c r="E1025" s="157"/>
      <c r="F1025" s="121" t="s">
        <v>111</v>
      </c>
      <c r="G1025" s="189"/>
      <c r="H1025" s="136">
        <f>37.9-11.9-9.6-9.5-0.8-1-1.6-0.5</f>
        <v>2.9999999999999987</v>
      </c>
      <c r="I1025" s="136"/>
    </row>
    <row r="1026" spans="1:9" ht="12.75" customHeight="1" x14ac:dyDescent="0.2">
      <c r="A1026" s="94">
        <v>1017</v>
      </c>
      <c r="B1026" s="78" t="s">
        <v>741</v>
      </c>
      <c r="C1026" s="157" t="s">
        <v>3178</v>
      </c>
      <c r="D1026" s="157"/>
      <c r="E1026" s="157"/>
      <c r="F1026" s="121" t="s">
        <v>111</v>
      </c>
      <c r="G1026" s="189"/>
      <c r="H1026" s="136">
        <v>26.2</v>
      </c>
      <c r="I1026" s="136"/>
    </row>
    <row r="1027" spans="1:9" ht="12.75" customHeight="1" x14ac:dyDescent="0.2">
      <c r="A1027" s="94">
        <v>1018</v>
      </c>
      <c r="B1027" s="78" t="s">
        <v>741</v>
      </c>
      <c r="C1027" s="157" t="s">
        <v>4395</v>
      </c>
      <c r="D1027" s="157"/>
      <c r="E1027" s="157"/>
      <c r="F1027" s="121" t="s">
        <v>111</v>
      </c>
      <c r="G1027" s="189"/>
      <c r="H1027" s="136">
        <f>67-2</f>
        <v>65</v>
      </c>
      <c r="I1027" s="136"/>
    </row>
    <row r="1028" spans="1:9" ht="12.75" customHeight="1" x14ac:dyDescent="0.2">
      <c r="A1028" s="94">
        <v>1019</v>
      </c>
      <c r="B1028" s="78"/>
      <c r="C1028" s="157" t="s">
        <v>4812</v>
      </c>
      <c r="D1028" s="157"/>
      <c r="E1028" s="157"/>
      <c r="F1028" s="121" t="s">
        <v>111</v>
      </c>
      <c r="G1028" s="189"/>
      <c r="H1028" s="136">
        <v>8.6999999999999993</v>
      </c>
      <c r="I1028" s="136"/>
    </row>
    <row r="1029" spans="1:9" ht="12.75" customHeight="1" x14ac:dyDescent="0.2">
      <c r="A1029" s="94">
        <v>1020</v>
      </c>
      <c r="B1029" s="78" t="s">
        <v>741</v>
      </c>
      <c r="C1029" s="157" t="s">
        <v>3994</v>
      </c>
      <c r="D1029" s="157"/>
      <c r="E1029" s="157"/>
      <c r="F1029" s="121" t="s">
        <v>1559</v>
      </c>
      <c r="G1029" s="189"/>
      <c r="H1029" s="155">
        <v>2.4</v>
      </c>
      <c r="I1029" s="156"/>
    </row>
    <row r="1030" spans="1:9" ht="12.75" customHeight="1" x14ac:dyDescent="0.2">
      <c r="A1030" s="94">
        <v>1021</v>
      </c>
      <c r="B1030" s="78" t="s">
        <v>741</v>
      </c>
      <c r="C1030" s="157" t="s">
        <v>4948</v>
      </c>
      <c r="D1030" s="157"/>
      <c r="E1030" s="157"/>
      <c r="F1030" s="121" t="s">
        <v>1559</v>
      </c>
      <c r="G1030" s="189"/>
      <c r="H1030" s="136">
        <f>150-5-18-3.3-3.6-5.8-15.4-5.5-5.3-5.5-5.5-5.4-5.5-11-5.5-11-5.4-10.7-5.1-10.1+2.7</f>
        <v>10.100000000000009</v>
      </c>
      <c r="I1030" s="136"/>
    </row>
    <row r="1031" spans="1:9" ht="12.75" customHeight="1" x14ac:dyDescent="0.2">
      <c r="A1031" s="94">
        <v>1022</v>
      </c>
      <c r="B1031" s="78" t="s">
        <v>741</v>
      </c>
      <c r="C1031" s="157" t="s">
        <v>1560</v>
      </c>
      <c r="D1031" s="157"/>
      <c r="E1031" s="157"/>
      <c r="F1031" s="121" t="s">
        <v>1559</v>
      </c>
      <c r="G1031" s="189"/>
      <c r="H1031" s="136">
        <f>76.6-1.8-16.5-7.1</f>
        <v>51.199999999999996</v>
      </c>
      <c r="I1031" s="136"/>
    </row>
    <row r="1032" spans="1:9" ht="12.75" customHeight="1" x14ac:dyDescent="0.2">
      <c r="A1032" s="94">
        <v>1023</v>
      </c>
      <c r="B1032" s="78"/>
      <c r="C1032" s="157" t="s">
        <v>1193</v>
      </c>
      <c r="D1032" s="157"/>
      <c r="E1032" s="157"/>
      <c r="F1032" s="121" t="s">
        <v>647</v>
      </c>
      <c r="G1032" s="189"/>
      <c r="H1032" s="192">
        <f>6.8-0.05</f>
        <v>6.75</v>
      </c>
      <c r="I1032" s="192"/>
    </row>
    <row r="1033" spans="1:9" ht="12.75" customHeight="1" x14ac:dyDescent="0.2">
      <c r="A1033" s="94">
        <v>1024</v>
      </c>
      <c r="B1033" s="78" t="s">
        <v>741</v>
      </c>
      <c r="C1033" s="157" t="s">
        <v>4243</v>
      </c>
      <c r="D1033" s="157"/>
      <c r="E1033" s="157"/>
      <c r="F1033" s="121" t="s">
        <v>18</v>
      </c>
      <c r="G1033" s="189"/>
      <c r="H1033" s="136">
        <f>17-0.2-0.7</f>
        <v>16.100000000000001</v>
      </c>
      <c r="I1033" s="136"/>
    </row>
    <row r="1034" spans="1:9" ht="12.75" customHeight="1" x14ac:dyDescent="0.2">
      <c r="A1034" s="94">
        <v>1025</v>
      </c>
      <c r="B1034" s="78" t="s">
        <v>741</v>
      </c>
      <c r="C1034" s="157" t="s">
        <v>4512</v>
      </c>
      <c r="D1034" s="157"/>
      <c r="E1034" s="157"/>
      <c r="F1034" s="121" t="s">
        <v>18</v>
      </c>
      <c r="G1034" s="189"/>
      <c r="H1034" s="136">
        <f>7.1-1-1</f>
        <v>5.0999999999999996</v>
      </c>
      <c r="I1034" s="136"/>
    </row>
    <row r="1035" spans="1:9" ht="12.75" customHeight="1" x14ac:dyDescent="0.2">
      <c r="A1035" s="94">
        <v>1026</v>
      </c>
      <c r="B1035" s="78" t="s">
        <v>1624</v>
      </c>
      <c r="C1035" s="157" t="s">
        <v>4374</v>
      </c>
      <c r="D1035" s="157"/>
      <c r="E1035" s="157"/>
      <c r="F1035" s="121" t="s">
        <v>18</v>
      </c>
      <c r="G1035" s="189"/>
      <c r="H1035" s="136">
        <f>43.4-0.3</f>
        <v>43.1</v>
      </c>
      <c r="I1035" s="136"/>
    </row>
    <row r="1036" spans="1:9" ht="12.75" customHeight="1" x14ac:dyDescent="0.2">
      <c r="A1036" s="94">
        <v>1027</v>
      </c>
      <c r="B1036" s="78" t="s">
        <v>741</v>
      </c>
      <c r="C1036" s="157" t="s">
        <v>3969</v>
      </c>
      <c r="D1036" s="157"/>
      <c r="E1036" s="157"/>
      <c r="F1036" s="121" t="s">
        <v>18</v>
      </c>
      <c r="G1036" s="189"/>
      <c r="H1036" s="136">
        <f>330-4.5-29.7-0.9-25-262</f>
        <v>7.9000000000000341</v>
      </c>
      <c r="I1036" s="136"/>
    </row>
    <row r="1037" spans="1:9" ht="12.75" customHeight="1" x14ac:dyDescent="0.2">
      <c r="A1037" s="94">
        <v>1028</v>
      </c>
      <c r="B1037" s="78"/>
      <c r="C1037" s="157" t="s">
        <v>3257</v>
      </c>
      <c r="D1037" s="157"/>
      <c r="E1037" s="157"/>
      <c r="F1037" s="121" t="s">
        <v>18</v>
      </c>
      <c r="G1037" s="189"/>
      <c r="H1037" s="136">
        <v>6.1</v>
      </c>
      <c r="I1037" s="136"/>
    </row>
    <row r="1038" spans="1:9" ht="12.75" customHeight="1" x14ac:dyDescent="0.2">
      <c r="A1038" s="94">
        <v>1029</v>
      </c>
      <c r="B1038" s="78"/>
      <c r="C1038" s="157" t="s">
        <v>3001</v>
      </c>
      <c r="D1038" s="157"/>
      <c r="E1038" s="157"/>
      <c r="F1038" s="121" t="s">
        <v>18</v>
      </c>
      <c r="G1038" s="189"/>
      <c r="H1038" s="136">
        <v>5.3</v>
      </c>
      <c r="I1038" s="136"/>
    </row>
    <row r="1039" spans="1:9" ht="12.75" customHeight="1" x14ac:dyDescent="0.2">
      <c r="A1039" s="94">
        <v>1030</v>
      </c>
      <c r="B1039" s="78" t="s">
        <v>3540</v>
      </c>
      <c r="C1039" s="157" t="s">
        <v>3554</v>
      </c>
      <c r="D1039" s="157"/>
      <c r="E1039" s="157"/>
      <c r="F1039" s="121" t="s">
        <v>84</v>
      </c>
      <c r="G1039" s="189"/>
      <c r="H1039" s="136">
        <v>4.3</v>
      </c>
      <c r="I1039" s="136"/>
    </row>
    <row r="1040" spans="1:9" ht="12.75" customHeight="1" x14ac:dyDescent="0.2">
      <c r="A1040" s="94">
        <v>1031</v>
      </c>
      <c r="B1040" s="78" t="s">
        <v>3540</v>
      </c>
      <c r="C1040" s="157" t="s">
        <v>5086</v>
      </c>
      <c r="D1040" s="157"/>
      <c r="E1040" s="157"/>
      <c r="F1040" s="121" t="s">
        <v>84</v>
      </c>
      <c r="G1040" s="189"/>
      <c r="H1040" s="136">
        <v>14.2</v>
      </c>
      <c r="I1040" s="136"/>
    </row>
    <row r="1041" spans="1:9" ht="12.75" customHeight="1" x14ac:dyDescent="0.2">
      <c r="A1041" s="94">
        <v>1032</v>
      </c>
      <c r="B1041" s="78"/>
      <c r="C1041" s="157" t="s">
        <v>1414</v>
      </c>
      <c r="D1041" s="157"/>
      <c r="E1041" s="157"/>
      <c r="F1041" s="121" t="s">
        <v>74</v>
      </c>
      <c r="G1041" s="189"/>
      <c r="H1041" s="136">
        <f>149.5-14.8</f>
        <v>134.69999999999999</v>
      </c>
      <c r="I1041" s="136"/>
    </row>
    <row r="1042" spans="1:9" s="55" customFormat="1" ht="15.75" customHeight="1" x14ac:dyDescent="0.2">
      <c r="A1042" s="94">
        <v>1033</v>
      </c>
      <c r="B1042" s="57"/>
      <c r="C1042" s="165" t="s">
        <v>1036</v>
      </c>
      <c r="D1042" s="165"/>
      <c r="E1042" s="165"/>
      <c r="F1042" s="209" t="s">
        <v>1037</v>
      </c>
      <c r="G1042" s="190"/>
      <c r="H1042" s="199">
        <v>27.6</v>
      </c>
      <c r="I1042" s="199"/>
    </row>
    <row r="1043" spans="1:9" s="55" customFormat="1" ht="15.75" customHeight="1" x14ac:dyDescent="0.2">
      <c r="A1043" s="94">
        <v>1034</v>
      </c>
      <c r="B1043" s="57"/>
      <c r="C1043" s="175" t="s">
        <v>3685</v>
      </c>
      <c r="D1043" s="176"/>
      <c r="E1043" s="177"/>
      <c r="F1043" s="190" t="s">
        <v>711</v>
      </c>
      <c r="G1043" s="191"/>
      <c r="H1043" s="199">
        <f>170-19-6.4</f>
        <v>144.6</v>
      </c>
      <c r="I1043" s="199"/>
    </row>
    <row r="1044" spans="1:9" ht="12.75" customHeight="1" x14ac:dyDescent="0.2">
      <c r="A1044" s="94">
        <v>1035</v>
      </c>
      <c r="B1044" s="78" t="s">
        <v>741</v>
      </c>
      <c r="C1044" s="175" t="s">
        <v>1777</v>
      </c>
      <c r="D1044" s="176"/>
      <c r="E1044" s="177"/>
      <c r="F1044" s="190" t="s">
        <v>711</v>
      </c>
      <c r="G1044" s="191"/>
      <c r="H1044" s="199">
        <f>28+33.6-0.3</f>
        <v>61.300000000000004</v>
      </c>
      <c r="I1044" s="199"/>
    </row>
    <row r="1045" spans="1:9" ht="12.75" customHeight="1" x14ac:dyDescent="0.2">
      <c r="A1045" s="94">
        <v>1036</v>
      </c>
      <c r="B1045" s="78"/>
      <c r="C1045" s="175" t="s">
        <v>4245</v>
      </c>
      <c r="D1045" s="176"/>
      <c r="E1045" s="177"/>
      <c r="F1045" s="190" t="s">
        <v>711</v>
      </c>
      <c r="G1045" s="191"/>
      <c r="H1045" s="199">
        <f>64.3+52.2-1.6-7.7-1.5-2</f>
        <v>103.7</v>
      </c>
      <c r="I1045" s="199"/>
    </row>
    <row r="1046" spans="1:9" ht="12.75" customHeight="1" x14ac:dyDescent="0.2">
      <c r="A1046" s="94">
        <v>1037</v>
      </c>
      <c r="B1046" s="78"/>
      <c r="C1046" s="175" t="s">
        <v>4244</v>
      </c>
      <c r="D1046" s="176"/>
      <c r="E1046" s="177"/>
      <c r="F1046" s="190" t="s">
        <v>1120</v>
      </c>
      <c r="G1046" s="191"/>
      <c r="H1046" s="199">
        <f>26.2-1</f>
        <v>25.2</v>
      </c>
      <c r="I1046" s="199"/>
    </row>
    <row r="1047" spans="1:9" ht="12.75" customHeight="1" x14ac:dyDescent="0.2">
      <c r="A1047" s="94">
        <v>1038</v>
      </c>
      <c r="B1047" s="78"/>
      <c r="C1047" s="157" t="s">
        <v>3996</v>
      </c>
      <c r="D1047" s="157"/>
      <c r="E1047" s="157"/>
      <c r="F1047" s="121" t="s">
        <v>83</v>
      </c>
      <c r="G1047" s="189"/>
      <c r="H1047" s="155">
        <v>3</v>
      </c>
      <c r="I1047" s="156"/>
    </row>
    <row r="1048" spans="1:9" ht="30.75" customHeight="1" x14ac:dyDescent="0.2">
      <c r="A1048" s="94">
        <v>1039</v>
      </c>
      <c r="B1048" s="78" t="s">
        <v>741</v>
      </c>
      <c r="C1048" s="157" t="s">
        <v>5038</v>
      </c>
      <c r="D1048" s="157"/>
      <c r="E1048" s="157"/>
      <c r="F1048" s="121" t="s">
        <v>83</v>
      </c>
      <c r="G1048" s="189"/>
      <c r="H1048" s="136">
        <f>144.1-1-1.3-0.3-1-2-1-0.7-5-50.1-1-10+0.3</f>
        <v>70.999999999999986</v>
      </c>
      <c r="I1048" s="136"/>
    </row>
    <row r="1049" spans="1:9" ht="12.75" customHeight="1" x14ac:dyDescent="0.2">
      <c r="A1049" s="94">
        <v>1040</v>
      </c>
      <c r="B1049" s="78" t="s">
        <v>741</v>
      </c>
      <c r="C1049" s="157" t="s">
        <v>4475</v>
      </c>
      <c r="D1049" s="157"/>
      <c r="E1049" s="157"/>
      <c r="F1049" s="121" t="s">
        <v>83</v>
      </c>
      <c r="G1049" s="189"/>
      <c r="H1049" s="136">
        <f>28.3-1</f>
        <v>27.3</v>
      </c>
      <c r="I1049" s="136"/>
    </row>
    <row r="1050" spans="1:9" ht="12.75" customHeight="1" x14ac:dyDescent="0.2">
      <c r="A1050" s="94">
        <v>1041</v>
      </c>
      <c r="B1050" s="78" t="s">
        <v>741</v>
      </c>
      <c r="C1050" s="157" t="s">
        <v>2733</v>
      </c>
      <c r="D1050" s="157"/>
      <c r="E1050" s="157"/>
      <c r="F1050" s="121" t="s">
        <v>83</v>
      </c>
      <c r="G1050" s="189"/>
      <c r="H1050" s="136">
        <v>18.399999999999999</v>
      </c>
      <c r="I1050" s="136"/>
    </row>
    <row r="1051" spans="1:9" ht="12.75" customHeight="1" x14ac:dyDescent="0.2">
      <c r="A1051" s="94">
        <v>1042</v>
      </c>
      <c r="B1051" s="78"/>
      <c r="C1051" s="157" t="s">
        <v>3074</v>
      </c>
      <c r="D1051" s="157"/>
      <c r="E1051" s="157"/>
      <c r="F1051" s="121" t="s">
        <v>81</v>
      </c>
      <c r="G1051" s="189"/>
      <c r="H1051" s="136">
        <f>38.7-1.1-1-1.5-1-1.4-1-4.1-1.1-1-2</f>
        <v>23.5</v>
      </c>
      <c r="I1051" s="136"/>
    </row>
    <row r="1052" spans="1:9" ht="12.75" customHeight="1" x14ac:dyDescent="0.2">
      <c r="A1052" s="94">
        <v>1043</v>
      </c>
      <c r="B1052" s="78"/>
      <c r="C1052" s="157" t="s">
        <v>4857</v>
      </c>
      <c r="D1052" s="157"/>
      <c r="E1052" s="157"/>
      <c r="F1052" s="121" t="s">
        <v>83</v>
      </c>
      <c r="G1052" s="189"/>
      <c r="H1052" s="136">
        <f>63.8-4.6-4.6-6.9-2-0.3-1-1-1-1</f>
        <v>41.4</v>
      </c>
      <c r="I1052" s="136"/>
    </row>
    <row r="1053" spans="1:9" ht="12.75" customHeight="1" x14ac:dyDescent="0.2">
      <c r="A1053" s="94">
        <v>1044</v>
      </c>
      <c r="B1053" s="78" t="s">
        <v>741</v>
      </c>
      <c r="C1053" s="157" t="s">
        <v>3786</v>
      </c>
      <c r="D1053" s="157"/>
      <c r="E1053" s="157"/>
      <c r="F1053" s="121" t="s">
        <v>83</v>
      </c>
      <c r="G1053" s="189"/>
      <c r="H1053" s="136">
        <f>33.6-3.6-1-6.7-3.8-1-1-4.4-7-2</f>
        <v>3.0999999999999996</v>
      </c>
      <c r="I1053" s="136"/>
    </row>
    <row r="1054" spans="1:9" ht="12.75" customHeight="1" x14ac:dyDescent="0.2">
      <c r="A1054" s="94">
        <v>1045</v>
      </c>
      <c r="B1054" s="78" t="s">
        <v>741</v>
      </c>
      <c r="C1054" s="157" t="s">
        <v>3654</v>
      </c>
      <c r="D1054" s="157"/>
      <c r="E1054" s="157"/>
      <c r="F1054" s="121" t="s">
        <v>83</v>
      </c>
      <c r="G1054" s="189"/>
      <c r="H1054" s="136">
        <f>54.5-1-1-0.2</f>
        <v>52.3</v>
      </c>
      <c r="I1054" s="136"/>
    </row>
    <row r="1055" spans="1:9" ht="12.75" customHeight="1" x14ac:dyDescent="0.2">
      <c r="A1055" s="94">
        <v>1046</v>
      </c>
      <c r="B1055" s="78" t="s">
        <v>741</v>
      </c>
      <c r="C1055" s="157" t="s">
        <v>5084</v>
      </c>
      <c r="D1055" s="157"/>
      <c r="E1055" s="157"/>
      <c r="F1055" s="121" t="s">
        <v>83</v>
      </c>
      <c r="G1055" s="189"/>
      <c r="H1055" s="136">
        <f>30-1-5-0.2-0.2-1.5-0.5-2-1-1.7</f>
        <v>16.900000000000002</v>
      </c>
      <c r="I1055" s="136"/>
    </row>
    <row r="1056" spans="1:9" ht="12.75" customHeight="1" x14ac:dyDescent="0.2">
      <c r="A1056" s="94">
        <v>1047</v>
      </c>
      <c r="B1056" s="78" t="s">
        <v>741</v>
      </c>
      <c r="C1056" s="157" t="s">
        <v>4017</v>
      </c>
      <c r="D1056" s="157"/>
      <c r="E1056" s="157"/>
      <c r="F1056" s="121" t="s">
        <v>83</v>
      </c>
      <c r="G1056" s="189"/>
      <c r="H1056" s="136">
        <f>22.9-1-4.5-5.6-7.5-0.6</f>
        <v>3.6999999999999988</v>
      </c>
      <c r="I1056" s="136"/>
    </row>
    <row r="1057" spans="1:9" ht="12.75" customHeight="1" x14ac:dyDescent="0.2">
      <c r="A1057" s="94">
        <v>1048</v>
      </c>
      <c r="B1057" s="78" t="s">
        <v>741</v>
      </c>
      <c r="C1057" s="157" t="s">
        <v>3243</v>
      </c>
      <c r="D1057" s="157"/>
      <c r="E1057" s="157"/>
      <c r="F1057" s="121" t="s">
        <v>83</v>
      </c>
      <c r="G1057" s="189"/>
      <c r="H1057" s="136">
        <v>67.7</v>
      </c>
      <c r="I1057" s="136"/>
    </row>
    <row r="1058" spans="1:9" ht="12.75" customHeight="1" x14ac:dyDescent="0.2">
      <c r="A1058" s="94">
        <v>1049</v>
      </c>
      <c r="B1058" s="78" t="s">
        <v>741</v>
      </c>
      <c r="C1058" s="157" t="s">
        <v>1925</v>
      </c>
      <c r="D1058" s="157"/>
      <c r="E1058" s="157"/>
      <c r="F1058" s="121" t="s">
        <v>83</v>
      </c>
      <c r="G1058" s="189"/>
      <c r="H1058" s="136">
        <f>12.8-2-1.5</f>
        <v>9.3000000000000007</v>
      </c>
      <c r="I1058" s="136"/>
    </row>
    <row r="1059" spans="1:9" ht="12.75" customHeight="1" x14ac:dyDescent="0.2">
      <c r="A1059" s="94">
        <v>1050</v>
      </c>
      <c r="B1059" s="78" t="s">
        <v>741</v>
      </c>
      <c r="C1059" s="157" t="s">
        <v>4392</v>
      </c>
      <c r="D1059" s="157"/>
      <c r="E1059" s="157"/>
      <c r="F1059" s="121" t="s">
        <v>83</v>
      </c>
      <c r="G1059" s="189"/>
      <c r="H1059" s="136">
        <f>88-3-12.2-5.6-2.9-3-5.8-3-3+3-3-14.5-6-3-3</f>
        <v>23</v>
      </c>
      <c r="I1059" s="136"/>
    </row>
    <row r="1060" spans="1:9" ht="12.75" customHeight="1" x14ac:dyDescent="0.2">
      <c r="A1060" s="94">
        <v>1051</v>
      </c>
      <c r="B1060" s="78" t="s">
        <v>741</v>
      </c>
      <c r="C1060" s="157" t="s">
        <v>2652</v>
      </c>
      <c r="D1060" s="157"/>
      <c r="E1060" s="157"/>
      <c r="F1060" s="121" t="s">
        <v>83</v>
      </c>
      <c r="G1060" s="189"/>
      <c r="H1060" s="136">
        <f>7.3-1-1-1.3</f>
        <v>4</v>
      </c>
      <c r="I1060" s="136"/>
    </row>
    <row r="1061" spans="1:9" ht="12.75" customHeight="1" x14ac:dyDescent="0.2">
      <c r="A1061" s="94">
        <v>1052</v>
      </c>
      <c r="B1061" s="78" t="s">
        <v>741</v>
      </c>
      <c r="C1061" s="157" t="s">
        <v>3928</v>
      </c>
      <c r="D1061" s="157"/>
      <c r="E1061" s="157"/>
      <c r="F1061" s="121" t="s">
        <v>83</v>
      </c>
      <c r="G1061" s="189"/>
      <c r="H1061" s="136">
        <f>9-1.8-2</f>
        <v>5.2</v>
      </c>
      <c r="I1061" s="136"/>
    </row>
    <row r="1062" spans="1:9" ht="12.75" customHeight="1" x14ac:dyDescent="0.2">
      <c r="A1062" s="94">
        <v>1053</v>
      </c>
      <c r="B1062" s="78" t="s">
        <v>741</v>
      </c>
      <c r="C1062" s="157" t="s">
        <v>5224</v>
      </c>
      <c r="D1062" s="157"/>
      <c r="E1062" s="157"/>
      <c r="F1062" s="121" t="s">
        <v>83</v>
      </c>
      <c r="G1062" s="189"/>
      <c r="H1062" s="136">
        <f>66.8+76-1.3-7-2.4</f>
        <v>132.1</v>
      </c>
      <c r="I1062" s="136"/>
    </row>
    <row r="1063" spans="1:9" ht="12.75" customHeight="1" x14ac:dyDescent="0.2">
      <c r="A1063" s="94">
        <v>1054</v>
      </c>
      <c r="B1063" s="78" t="s">
        <v>741</v>
      </c>
      <c r="C1063" s="157" t="s">
        <v>4207</v>
      </c>
      <c r="D1063" s="157"/>
      <c r="E1063" s="157"/>
      <c r="F1063" s="121" t="s">
        <v>83</v>
      </c>
      <c r="G1063" s="189"/>
      <c r="H1063" s="136">
        <f>49.2+56-0.8-48.4+58.5</f>
        <v>114.5</v>
      </c>
      <c r="I1063" s="136"/>
    </row>
    <row r="1064" spans="1:9" ht="12.75" customHeight="1" x14ac:dyDescent="0.2">
      <c r="A1064" s="94">
        <v>1055</v>
      </c>
      <c r="B1064" s="78"/>
      <c r="C1064" s="157" t="s">
        <v>3493</v>
      </c>
      <c r="D1064" s="157"/>
      <c r="E1064" s="157"/>
      <c r="F1064" s="121" t="s">
        <v>83</v>
      </c>
      <c r="G1064" s="189"/>
      <c r="H1064" s="136">
        <v>44.7</v>
      </c>
      <c r="I1064" s="136"/>
    </row>
    <row r="1065" spans="1:9" ht="12.75" customHeight="1" x14ac:dyDescent="0.2">
      <c r="A1065" s="94">
        <v>1056</v>
      </c>
      <c r="B1065" s="78" t="s">
        <v>741</v>
      </c>
      <c r="C1065" s="157" t="s">
        <v>1847</v>
      </c>
      <c r="D1065" s="157"/>
      <c r="E1065" s="157"/>
      <c r="F1065" s="121" t="s">
        <v>83</v>
      </c>
      <c r="G1065" s="189"/>
      <c r="H1065" s="136">
        <f>129-17.2-8.8-13.5</f>
        <v>89.5</v>
      </c>
      <c r="I1065" s="136"/>
    </row>
    <row r="1066" spans="1:9" ht="12.75" customHeight="1" x14ac:dyDescent="0.2">
      <c r="A1066" s="94">
        <v>1057</v>
      </c>
      <c r="B1066" s="78" t="s">
        <v>741</v>
      </c>
      <c r="C1066" s="157" t="s">
        <v>1848</v>
      </c>
      <c r="D1066" s="157"/>
      <c r="E1066" s="157"/>
      <c r="F1066" s="121" t="s">
        <v>83</v>
      </c>
      <c r="G1066" s="189"/>
      <c r="H1066" s="136">
        <f>47.6-4.3</f>
        <v>43.300000000000004</v>
      </c>
      <c r="I1066" s="136"/>
    </row>
    <row r="1067" spans="1:9" ht="12.75" customHeight="1" x14ac:dyDescent="0.2">
      <c r="A1067" s="94">
        <v>1058</v>
      </c>
      <c r="B1067" s="78" t="s">
        <v>741</v>
      </c>
      <c r="C1067" s="157" t="s">
        <v>5051</v>
      </c>
      <c r="D1067" s="157"/>
      <c r="E1067" s="157"/>
      <c r="F1067" s="121" t="s">
        <v>83</v>
      </c>
      <c r="G1067" s="189"/>
      <c r="H1067" s="136">
        <f>16-5.3-5.4+0.1</f>
        <v>5.3999999999999986</v>
      </c>
      <c r="I1067" s="136"/>
    </row>
    <row r="1068" spans="1:9" ht="12.75" customHeight="1" x14ac:dyDescent="0.2">
      <c r="A1068" s="94">
        <v>1059</v>
      </c>
      <c r="B1068" s="78" t="s">
        <v>741</v>
      </c>
      <c r="C1068" s="157" t="s">
        <v>3459</v>
      </c>
      <c r="D1068" s="157"/>
      <c r="E1068" s="157"/>
      <c r="F1068" s="121" t="s">
        <v>83</v>
      </c>
      <c r="G1068" s="189"/>
      <c r="H1068" s="136">
        <f>91.6-80-2</f>
        <v>9.5999999999999943</v>
      </c>
      <c r="I1068" s="136"/>
    </row>
    <row r="1069" spans="1:9" ht="12.75" customHeight="1" x14ac:dyDescent="0.2">
      <c r="A1069" s="94">
        <v>1060</v>
      </c>
      <c r="B1069" s="78"/>
      <c r="C1069" s="157" t="s">
        <v>4588</v>
      </c>
      <c r="D1069" s="157"/>
      <c r="E1069" s="157"/>
      <c r="F1069" s="121" t="s">
        <v>83</v>
      </c>
      <c r="G1069" s="189"/>
      <c r="H1069" s="136">
        <v>53.9</v>
      </c>
      <c r="I1069" s="136"/>
    </row>
    <row r="1070" spans="1:9" ht="12.75" customHeight="1" x14ac:dyDescent="0.2">
      <c r="A1070" s="94">
        <v>1061</v>
      </c>
      <c r="B1070" s="78" t="s">
        <v>741</v>
      </c>
      <c r="C1070" s="157" t="s">
        <v>4601</v>
      </c>
      <c r="D1070" s="157"/>
      <c r="E1070" s="157"/>
      <c r="F1070" s="121" t="s">
        <v>83</v>
      </c>
      <c r="G1070" s="189"/>
      <c r="H1070" s="136">
        <v>11.6</v>
      </c>
      <c r="I1070" s="136"/>
    </row>
    <row r="1071" spans="1:9" ht="12.75" customHeight="1" x14ac:dyDescent="0.2">
      <c r="A1071" s="94">
        <v>1062</v>
      </c>
      <c r="B1071" s="78"/>
      <c r="C1071" s="157" t="s">
        <v>1849</v>
      </c>
      <c r="D1071" s="157"/>
      <c r="E1071" s="157"/>
      <c r="F1071" s="121" t="s">
        <v>83</v>
      </c>
      <c r="G1071" s="189"/>
      <c r="H1071" s="136">
        <v>12.6</v>
      </c>
      <c r="I1071" s="136"/>
    </row>
    <row r="1072" spans="1:9" ht="12.75" customHeight="1" x14ac:dyDescent="0.2">
      <c r="A1072" s="94">
        <v>1063</v>
      </c>
      <c r="B1072" s="78" t="s">
        <v>741</v>
      </c>
      <c r="C1072" s="157" t="s">
        <v>4600</v>
      </c>
      <c r="D1072" s="157"/>
      <c r="E1072" s="157"/>
      <c r="F1072" s="121" t="s">
        <v>83</v>
      </c>
      <c r="G1072" s="189"/>
      <c r="H1072" s="136">
        <v>20.9</v>
      </c>
      <c r="I1072" s="136"/>
    </row>
    <row r="1073" spans="1:9" ht="12.75" customHeight="1" x14ac:dyDescent="0.2">
      <c r="A1073" s="94">
        <v>1064</v>
      </c>
      <c r="B1073" s="78" t="s">
        <v>1734</v>
      </c>
      <c r="C1073" s="157" t="s">
        <v>3414</v>
      </c>
      <c r="D1073" s="157"/>
      <c r="E1073" s="157"/>
      <c r="F1073" s="121" t="s">
        <v>83</v>
      </c>
      <c r="G1073" s="189"/>
      <c r="H1073" s="136">
        <f>94-7</f>
        <v>87</v>
      </c>
      <c r="I1073" s="136"/>
    </row>
    <row r="1074" spans="1:9" ht="12.75" customHeight="1" x14ac:dyDescent="0.2">
      <c r="A1074" s="94">
        <v>1065</v>
      </c>
      <c r="B1074" s="78"/>
      <c r="C1074" s="157" t="s">
        <v>5011</v>
      </c>
      <c r="D1074" s="157"/>
      <c r="E1074" s="157"/>
      <c r="F1074" s="121" t="s">
        <v>81</v>
      </c>
      <c r="G1074" s="189"/>
      <c r="H1074" s="136">
        <v>16.600000000000001</v>
      </c>
      <c r="I1074" s="136"/>
    </row>
    <row r="1075" spans="1:9" ht="12.75" customHeight="1" x14ac:dyDescent="0.2">
      <c r="A1075" s="94">
        <v>1066</v>
      </c>
      <c r="B1075" s="78"/>
      <c r="C1075" s="157" t="s">
        <v>1772</v>
      </c>
      <c r="D1075" s="157"/>
      <c r="E1075" s="157"/>
      <c r="F1075" s="121" t="s">
        <v>81</v>
      </c>
      <c r="G1075" s="189"/>
      <c r="H1075" s="136"/>
      <c r="I1075" s="136"/>
    </row>
    <row r="1076" spans="1:9" x14ac:dyDescent="0.2">
      <c r="A1076" s="94">
        <v>1067</v>
      </c>
      <c r="B1076" s="78"/>
      <c r="C1076" s="157" t="s">
        <v>2873</v>
      </c>
      <c r="D1076" s="157"/>
      <c r="E1076" s="157"/>
      <c r="F1076" s="121" t="s">
        <v>83</v>
      </c>
      <c r="G1076" s="189"/>
      <c r="H1076" s="136">
        <v>13</v>
      </c>
      <c r="I1076" s="136"/>
    </row>
    <row r="1077" spans="1:9" x14ac:dyDescent="0.2">
      <c r="A1077" s="94">
        <v>1068</v>
      </c>
      <c r="B1077" s="78"/>
      <c r="C1077" s="157" t="s">
        <v>4361</v>
      </c>
      <c r="D1077" s="157"/>
      <c r="E1077" s="157"/>
      <c r="F1077" s="121" t="s">
        <v>83</v>
      </c>
      <c r="G1077" s="189"/>
      <c r="H1077" s="136">
        <f>40.5-1.1-3-14-7.7</f>
        <v>14.7</v>
      </c>
      <c r="I1077" s="136"/>
    </row>
    <row r="1078" spans="1:9" x14ac:dyDescent="0.2">
      <c r="A1078" s="94">
        <v>1069</v>
      </c>
      <c r="B1078" s="78"/>
      <c r="C1078" s="157" t="s">
        <v>4558</v>
      </c>
      <c r="D1078" s="157"/>
      <c r="E1078" s="157"/>
      <c r="F1078" s="121" t="s">
        <v>83</v>
      </c>
      <c r="G1078" s="189"/>
      <c r="H1078" s="136">
        <f>116.7+116-3.2-11.5-14.6-2.9-3.8</f>
        <v>196.7</v>
      </c>
      <c r="I1078" s="136"/>
    </row>
    <row r="1079" spans="1:9" x14ac:dyDescent="0.2">
      <c r="A1079" s="94">
        <v>1070</v>
      </c>
      <c r="B1079" s="78" t="s">
        <v>741</v>
      </c>
      <c r="C1079" s="157" t="s">
        <v>4610</v>
      </c>
      <c r="D1079" s="157"/>
      <c r="E1079" s="157"/>
      <c r="F1079" s="121" t="s">
        <v>83</v>
      </c>
      <c r="G1079" s="189"/>
      <c r="H1079" s="136">
        <v>143.80000000000001</v>
      </c>
      <c r="I1079" s="136"/>
    </row>
    <row r="1080" spans="1:9" x14ac:dyDescent="0.2">
      <c r="A1080" s="94">
        <v>1071</v>
      </c>
      <c r="B1080" s="78" t="s">
        <v>3540</v>
      </c>
      <c r="C1080" s="157" t="s">
        <v>3936</v>
      </c>
      <c r="D1080" s="157"/>
      <c r="E1080" s="157"/>
      <c r="F1080" s="121" t="s">
        <v>83</v>
      </c>
      <c r="G1080" s="189"/>
      <c r="H1080" s="136">
        <v>14.7</v>
      </c>
      <c r="I1080" s="136"/>
    </row>
    <row r="1081" spans="1:9" ht="12.75" customHeight="1" x14ac:dyDescent="0.2">
      <c r="A1081" s="94">
        <v>1072</v>
      </c>
      <c r="B1081" s="78"/>
      <c r="C1081" s="157" t="s">
        <v>535</v>
      </c>
      <c r="D1081" s="157"/>
      <c r="E1081" s="157"/>
      <c r="F1081" s="121" t="s">
        <v>83</v>
      </c>
      <c r="G1081" s="189"/>
      <c r="H1081" s="136"/>
      <c r="I1081" s="136"/>
    </row>
    <row r="1082" spans="1:9" ht="12.75" customHeight="1" x14ac:dyDescent="0.2">
      <c r="A1082" s="94">
        <v>1073</v>
      </c>
      <c r="B1082" s="78"/>
      <c r="C1082" s="157" t="s">
        <v>5121</v>
      </c>
      <c r="D1082" s="157"/>
      <c r="E1082" s="157"/>
      <c r="F1082" s="121" t="s">
        <v>81</v>
      </c>
      <c r="G1082" s="189"/>
      <c r="H1082" s="136">
        <v>10.4</v>
      </c>
      <c r="I1082" s="136"/>
    </row>
    <row r="1083" spans="1:9" ht="32.25" customHeight="1" x14ac:dyDescent="0.2">
      <c r="A1083" s="94">
        <v>1074</v>
      </c>
      <c r="B1083" s="78"/>
      <c r="C1083" s="145" t="s">
        <v>3912</v>
      </c>
      <c r="D1083" s="146"/>
      <c r="E1083" s="147"/>
      <c r="F1083" s="121" t="s">
        <v>83</v>
      </c>
      <c r="G1083" s="189"/>
      <c r="H1083" s="136">
        <f>54-17.8+20.2+54.4-9.3-8.3-18.6-9</f>
        <v>65.600000000000023</v>
      </c>
      <c r="I1083" s="136"/>
    </row>
    <row r="1084" spans="1:9" ht="12.75" customHeight="1" x14ac:dyDescent="0.2">
      <c r="A1084" s="94">
        <v>1075</v>
      </c>
      <c r="B1084" s="78"/>
      <c r="C1084" s="157" t="s">
        <v>1807</v>
      </c>
      <c r="D1084" s="157"/>
      <c r="E1084" s="157"/>
      <c r="F1084" s="121" t="s">
        <v>83</v>
      </c>
      <c r="G1084" s="189"/>
      <c r="H1084" s="136">
        <f>28.2-18.4+63.7-9.8-9.1-8.8</f>
        <v>45.8</v>
      </c>
      <c r="I1084" s="136"/>
    </row>
    <row r="1085" spans="1:9" ht="12.75" customHeight="1" x14ac:dyDescent="0.2">
      <c r="A1085" s="94">
        <v>1076</v>
      </c>
      <c r="B1085" s="78"/>
      <c r="C1085" s="157" t="s">
        <v>5012</v>
      </c>
      <c r="D1085" s="157"/>
      <c r="E1085" s="157"/>
      <c r="F1085" s="121" t="s">
        <v>81</v>
      </c>
      <c r="G1085" s="189"/>
      <c r="H1085" s="136">
        <v>12.9</v>
      </c>
      <c r="I1085" s="136"/>
    </row>
    <row r="1086" spans="1:9" ht="12.75" customHeight="1" x14ac:dyDescent="0.2">
      <c r="A1086" s="94">
        <v>1077</v>
      </c>
      <c r="B1086" s="78"/>
      <c r="C1086" s="157" t="s">
        <v>3526</v>
      </c>
      <c r="D1086" s="157"/>
      <c r="E1086" s="157"/>
      <c r="F1086" s="121" t="s">
        <v>81</v>
      </c>
      <c r="G1086" s="189"/>
      <c r="H1086" s="136">
        <f>122+15.4+18.3-2.1-3.5-3.4-6.4-2.6-15.7-15.4-5.4-3.2-15.3-6.6-15.4-1.3-15.4-15.2-3.3-15.2+0.2</f>
        <v>10.500000000000014</v>
      </c>
      <c r="I1086" s="136"/>
    </row>
    <row r="1087" spans="1:9" ht="12.75" customHeight="1" x14ac:dyDescent="0.2">
      <c r="A1087" s="94">
        <v>1078</v>
      </c>
      <c r="B1087" s="78"/>
      <c r="C1087" s="157" t="s">
        <v>3595</v>
      </c>
      <c r="D1087" s="157"/>
      <c r="E1087" s="157"/>
      <c r="F1087" s="121" t="s">
        <v>81</v>
      </c>
      <c r="G1087" s="189"/>
      <c r="H1087" s="136">
        <f>59.5-1</f>
        <v>58.5</v>
      </c>
      <c r="I1087" s="136"/>
    </row>
    <row r="1088" spans="1:9" x14ac:dyDescent="0.2">
      <c r="A1088" s="94">
        <v>1079</v>
      </c>
      <c r="B1088" s="78"/>
      <c r="C1088" s="157" t="s">
        <v>3732</v>
      </c>
      <c r="D1088" s="157"/>
      <c r="E1088" s="157"/>
      <c r="F1088" s="121" t="s">
        <v>83</v>
      </c>
      <c r="G1088" s="189"/>
      <c r="H1088" s="136">
        <f>43+21.9-9.7</f>
        <v>55.2</v>
      </c>
      <c r="I1088" s="136"/>
    </row>
    <row r="1089" spans="1:9" x14ac:dyDescent="0.2">
      <c r="A1089" s="94">
        <v>1080</v>
      </c>
      <c r="B1089" s="78"/>
      <c r="C1089" s="157" t="s">
        <v>3733</v>
      </c>
      <c r="D1089" s="157"/>
      <c r="E1089" s="157"/>
      <c r="F1089" s="121" t="s">
        <v>83</v>
      </c>
      <c r="G1089" s="189"/>
      <c r="H1089" s="136">
        <f>217.6-1.8-65.5-10.4-9.5-21.7-21.8-7.4-6-43.4-14.4-7.5+0.3</f>
        <v>8.4999999999999734</v>
      </c>
      <c r="I1089" s="136"/>
    </row>
    <row r="1090" spans="1:9" ht="12.75" customHeight="1" x14ac:dyDescent="0.2">
      <c r="A1090" s="94">
        <v>1081</v>
      </c>
      <c r="B1090" s="78"/>
      <c r="C1090" s="157" t="s">
        <v>5010</v>
      </c>
      <c r="D1090" s="157"/>
      <c r="E1090" s="157"/>
      <c r="F1090" s="121" t="s">
        <v>83</v>
      </c>
      <c r="G1090" s="189"/>
      <c r="H1090" s="136">
        <v>8.1</v>
      </c>
      <c r="I1090" s="136"/>
    </row>
    <row r="1091" spans="1:9" ht="12.75" customHeight="1" x14ac:dyDescent="0.2">
      <c r="A1091" s="94">
        <v>1082</v>
      </c>
      <c r="B1091" s="78"/>
      <c r="C1091" s="157" t="s">
        <v>331</v>
      </c>
      <c r="D1091" s="157"/>
      <c r="E1091" s="157"/>
      <c r="F1091" s="121" t="s">
        <v>83</v>
      </c>
      <c r="G1091" s="189"/>
      <c r="H1091" s="136"/>
      <c r="I1091" s="136"/>
    </row>
    <row r="1092" spans="1:9" ht="12.75" customHeight="1" x14ac:dyDescent="0.2">
      <c r="A1092" s="94">
        <v>1083</v>
      </c>
      <c r="B1092" s="78"/>
      <c r="C1092" s="157" t="s">
        <v>183</v>
      </c>
      <c r="D1092" s="157"/>
      <c r="E1092" s="157"/>
      <c r="F1092" s="121" t="s">
        <v>83</v>
      </c>
      <c r="G1092" s="189"/>
      <c r="H1092" s="136"/>
      <c r="I1092" s="136"/>
    </row>
    <row r="1093" spans="1:9" ht="12.75" customHeight="1" x14ac:dyDescent="0.2">
      <c r="A1093" s="94">
        <v>1084</v>
      </c>
      <c r="B1093" s="78"/>
      <c r="C1093" s="157" t="s">
        <v>3331</v>
      </c>
      <c r="D1093" s="157"/>
      <c r="E1093" s="157"/>
      <c r="F1093" s="124" t="s">
        <v>682</v>
      </c>
      <c r="G1093" s="121"/>
      <c r="H1093" s="136">
        <v>22.7</v>
      </c>
      <c r="I1093" s="136"/>
    </row>
    <row r="1094" spans="1:9" ht="27.75" customHeight="1" x14ac:dyDescent="0.2">
      <c r="A1094" s="94">
        <v>1085</v>
      </c>
      <c r="B1094" s="78"/>
      <c r="C1094" s="157" t="s">
        <v>2264</v>
      </c>
      <c r="D1094" s="157"/>
      <c r="E1094" s="157"/>
      <c r="F1094" s="121" t="s">
        <v>83</v>
      </c>
      <c r="G1094" s="189"/>
      <c r="H1094" s="136">
        <v>63.3</v>
      </c>
      <c r="I1094" s="136"/>
    </row>
    <row r="1095" spans="1:9" ht="12.75" customHeight="1" x14ac:dyDescent="0.2">
      <c r="A1095" s="94">
        <v>1086</v>
      </c>
      <c r="B1095" s="78"/>
      <c r="C1095" s="157" t="s">
        <v>3944</v>
      </c>
      <c r="D1095" s="157"/>
      <c r="E1095" s="157"/>
      <c r="F1095" s="121" t="s">
        <v>83</v>
      </c>
      <c r="G1095" s="189"/>
      <c r="H1095" s="136">
        <v>87.6</v>
      </c>
      <c r="I1095" s="136"/>
    </row>
    <row r="1096" spans="1:9" x14ac:dyDescent="0.2">
      <c r="A1096" s="94">
        <v>1087</v>
      </c>
      <c r="B1096" s="78"/>
      <c r="C1096" s="157" t="s">
        <v>4014</v>
      </c>
      <c r="D1096" s="157"/>
      <c r="E1096" s="157"/>
      <c r="F1096" s="121" t="s">
        <v>83</v>
      </c>
      <c r="G1096" s="189"/>
      <c r="H1096" s="136">
        <v>117.5</v>
      </c>
      <c r="I1096" s="136"/>
    </row>
    <row r="1097" spans="1:9" ht="12.75" customHeight="1" x14ac:dyDescent="0.2">
      <c r="A1097" s="94">
        <v>1088</v>
      </c>
      <c r="B1097" s="78"/>
      <c r="C1097" s="157" t="s">
        <v>3999</v>
      </c>
      <c r="D1097" s="157"/>
      <c r="E1097" s="157"/>
      <c r="F1097" s="121" t="s">
        <v>83</v>
      </c>
      <c r="G1097" s="189"/>
      <c r="H1097" s="136">
        <v>57.5</v>
      </c>
      <c r="I1097" s="136"/>
    </row>
    <row r="1098" spans="1:9" ht="12.75" customHeight="1" x14ac:dyDescent="0.2">
      <c r="A1098" s="94">
        <v>1089</v>
      </c>
      <c r="B1098" s="78" t="s">
        <v>741</v>
      </c>
      <c r="C1098" s="157" t="s">
        <v>3889</v>
      </c>
      <c r="D1098" s="157"/>
      <c r="E1098" s="157"/>
      <c r="F1098" s="121" t="s">
        <v>83</v>
      </c>
      <c r="G1098" s="189"/>
      <c r="H1098" s="136">
        <f>148.4-29.7-59.4+0.1-29.7-10-4</f>
        <v>15.700000000000006</v>
      </c>
      <c r="I1098" s="136"/>
    </row>
    <row r="1099" spans="1:9" ht="12.75" customHeight="1" x14ac:dyDescent="0.2">
      <c r="A1099" s="94">
        <v>1090</v>
      </c>
      <c r="B1099" s="78"/>
      <c r="C1099" s="157" t="s">
        <v>3525</v>
      </c>
      <c r="D1099" s="157"/>
      <c r="E1099" s="157"/>
      <c r="F1099" s="121" t="s">
        <v>83</v>
      </c>
      <c r="G1099" s="189"/>
      <c r="H1099" s="136">
        <v>26.7</v>
      </c>
      <c r="I1099" s="136"/>
    </row>
    <row r="1100" spans="1:9" ht="12.75" customHeight="1" x14ac:dyDescent="0.2">
      <c r="A1100" s="94">
        <v>1091</v>
      </c>
      <c r="B1100" s="78" t="s">
        <v>4639</v>
      </c>
      <c r="C1100" s="157" t="s">
        <v>4640</v>
      </c>
      <c r="D1100" s="157"/>
      <c r="E1100" s="157"/>
      <c r="F1100" s="121" t="s">
        <v>81</v>
      </c>
      <c r="G1100" s="189"/>
      <c r="H1100" s="136">
        <v>206.4</v>
      </c>
      <c r="I1100" s="136"/>
    </row>
    <row r="1101" spans="1:9" ht="12.75" customHeight="1" x14ac:dyDescent="0.2">
      <c r="A1101" s="94">
        <v>1092</v>
      </c>
      <c r="B1101" s="78"/>
      <c r="C1101" s="157" t="s">
        <v>4700</v>
      </c>
      <c r="D1101" s="157"/>
      <c r="E1101" s="157"/>
      <c r="F1101" s="121" t="s">
        <v>81</v>
      </c>
      <c r="G1101" s="189"/>
      <c r="H1101" s="136">
        <v>29.5</v>
      </c>
      <c r="I1101" s="136"/>
    </row>
    <row r="1102" spans="1:9" ht="12.75" customHeight="1" x14ac:dyDescent="0.2">
      <c r="A1102" s="94">
        <v>1093</v>
      </c>
      <c r="B1102" s="78"/>
      <c r="C1102" s="157" t="s">
        <v>3378</v>
      </c>
      <c r="D1102" s="157"/>
      <c r="E1102" s="157"/>
      <c r="F1102" s="121" t="s">
        <v>81</v>
      </c>
      <c r="G1102" s="189"/>
      <c r="H1102" s="136">
        <f>24.2-6.1</f>
        <v>18.100000000000001</v>
      </c>
      <c r="I1102" s="136"/>
    </row>
    <row r="1103" spans="1:9" ht="12.75" customHeight="1" x14ac:dyDescent="0.2">
      <c r="A1103" s="94">
        <v>1094</v>
      </c>
      <c r="B1103" s="78"/>
      <c r="C1103" s="157" t="s">
        <v>428</v>
      </c>
      <c r="D1103" s="157"/>
      <c r="E1103" s="157"/>
      <c r="F1103" s="121" t="s">
        <v>81</v>
      </c>
      <c r="G1103" s="189"/>
      <c r="H1103" s="136"/>
      <c r="I1103" s="136"/>
    </row>
    <row r="1104" spans="1:9" ht="12.75" customHeight="1" x14ac:dyDescent="0.2">
      <c r="A1104" s="94">
        <v>1095</v>
      </c>
      <c r="B1104" s="78"/>
      <c r="C1104" s="157" t="s">
        <v>787</v>
      </c>
      <c r="D1104" s="157"/>
      <c r="E1104" s="157"/>
      <c r="F1104" s="121" t="s">
        <v>81</v>
      </c>
      <c r="G1104" s="189"/>
      <c r="H1104" s="136"/>
      <c r="I1104" s="136"/>
    </row>
    <row r="1105" spans="1:9" ht="29.25" customHeight="1" x14ac:dyDescent="0.2">
      <c r="A1105" s="94">
        <v>1096</v>
      </c>
      <c r="B1105" s="78"/>
      <c r="C1105" s="157" t="s">
        <v>4050</v>
      </c>
      <c r="D1105" s="157"/>
      <c r="E1105" s="157"/>
      <c r="F1105" s="121" t="s">
        <v>83</v>
      </c>
      <c r="G1105" s="189"/>
      <c r="H1105" s="136">
        <f>104.8+35.6+32+104.7-12.5-20.3-11.6-12-2.2</f>
        <v>218.50000000000003</v>
      </c>
      <c r="I1105" s="136"/>
    </row>
    <row r="1106" spans="1:9" x14ac:dyDescent="0.2">
      <c r="A1106" s="94">
        <v>1097</v>
      </c>
      <c r="B1106" s="78"/>
      <c r="C1106" s="157" t="s">
        <v>4183</v>
      </c>
      <c r="D1106" s="157"/>
      <c r="E1106" s="157"/>
      <c r="F1106" s="121" t="s">
        <v>83</v>
      </c>
      <c r="G1106" s="189"/>
      <c r="H1106" s="136">
        <v>4.7</v>
      </c>
      <c r="I1106" s="136"/>
    </row>
    <row r="1107" spans="1:9" x14ac:dyDescent="0.2">
      <c r="A1107" s="94">
        <v>1098</v>
      </c>
      <c r="B1107" s="78"/>
      <c r="C1107" s="157" t="s">
        <v>5173</v>
      </c>
      <c r="D1107" s="157"/>
      <c r="E1107" s="157"/>
      <c r="F1107" s="121" t="s">
        <v>83</v>
      </c>
      <c r="G1107" s="189"/>
      <c r="H1107" s="136">
        <f>380.7+19.8+17+29.7+81+205.4-17-29.7-20+122.4-8-17.6-37.2-19.8-42.7-40.5-16.2-0.3-24.1-42.5-39.9</f>
        <v>500.49999999999989</v>
      </c>
      <c r="I1107" s="136"/>
    </row>
    <row r="1108" spans="1:9" ht="12.75" customHeight="1" x14ac:dyDescent="0.2">
      <c r="A1108" s="94">
        <v>1099</v>
      </c>
      <c r="B1108" s="78"/>
      <c r="C1108" s="157" t="s">
        <v>4882</v>
      </c>
      <c r="D1108" s="157"/>
      <c r="E1108" s="157"/>
      <c r="F1108" s="121" t="s">
        <v>81</v>
      </c>
      <c r="G1108" s="189"/>
      <c r="H1108" s="136">
        <f>67.4-9.6</f>
        <v>57.800000000000004</v>
      </c>
      <c r="I1108" s="136"/>
    </row>
    <row r="1109" spans="1:9" ht="12.75" customHeight="1" x14ac:dyDescent="0.2">
      <c r="A1109" s="94">
        <v>1100</v>
      </c>
      <c r="B1109" s="78"/>
      <c r="C1109" s="157" t="s">
        <v>4728</v>
      </c>
      <c r="D1109" s="157"/>
      <c r="E1109" s="157"/>
      <c r="F1109" s="121" t="s">
        <v>81</v>
      </c>
      <c r="G1109" s="189"/>
      <c r="H1109" s="136">
        <v>71.099999999999994</v>
      </c>
      <c r="I1109" s="136"/>
    </row>
    <row r="1110" spans="1:9" ht="12.75" customHeight="1" x14ac:dyDescent="0.2">
      <c r="A1110" s="94">
        <v>1101</v>
      </c>
      <c r="B1110" s="78"/>
      <c r="C1110" s="157" t="s">
        <v>3304</v>
      </c>
      <c r="D1110" s="157"/>
      <c r="E1110" s="157"/>
      <c r="F1110" s="124" t="s">
        <v>682</v>
      </c>
      <c r="G1110" s="121"/>
      <c r="H1110" s="136">
        <f>32.9-3.5</f>
        <v>29.4</v>
      </c>
      <c r="I1110" s="136"/>
    </row>
    <row r="1111" spans="1:9" ht="12.75" customHeight="1" x14ac:dyDescent="0.2">
      <c r="A1111" s="94">
        <v>1102</v>
      </c>
      <c r="B1111" s="78"/>
      <c r="C1111" s="157" t="s">
        <v>4108</v>
      </c>
      <c r="D1111" s="157"/>
      <c r="E1111" s="157"/>
      <c r="F1111" s="121" t="s">
        <v>83</v>
      </c>
      <c r="G1111" s="189"/>
      <c r="H1111" s="136">
        <f>89.2-44.6+21.3+44-44.6</f>
        <v>65.300000000000011</v>
      </c>
      <c r="I1111" s="136"/>
    </row>
    <row r="1112" spans="1:9" ht="12.75" customHeight="1" x14ac:dyDescent="0.2">
      <c r="A1112" s="94">
        <v>1103</v>
      </c>
      <c r="B1112" s="78"/>
      <c r="C1112" s="145" t="s">
        <v>1280</v>
      </c>
      <c r="D1112" s="146"/>
      <c r="E1112" s="147"/>
      <c r="F1112" s="121" t="s">
        <v>83</v>
      </c>
      <c r="G1112" s="189"/>
      <c r="H1112" s="136">
        <f>130-43.4-43.4+45.2-45.2</f>
        <v>43.2</v>
      </c>
      <c r="I1112" s="136"/>
    </row>
    <row r="1113" spans="1:9" ht="12.75" customHeight="1" x14ac:dyDescent="0.2">
      <c r="A1113" s="94">
        <v>1104</v>
      </c>
      <c r="B1113" s="78"/>
      <c r="C1113" s="145" t="s">
        <v>4909</v>
      </c>
      <c r="D1113" s="146"/>
      <c r="E1113" s="147"/>
      <c r="F1113" s="121" t="s">
        <v>83</v>
      </c>
      <c r="G1113" s="189"/>
      <c r="H1113" s="136">
        <f>75.9+7.1-7.1-25.8+42.3-25.3-5.5-19.3-12.2</f>
        <v>30.100000000000012</v>
      </c>
      <c r="I1113" s="136"/>
    </row>
    <row r="1114" spans="1:9" ht="12.75" customHeight="1" x14ac:dyDescent="0.2">
      <c r="A1114" s="94">
        <v>1105</v>
      </c>
      <c r="B1114" s="78"/>
      <c r="C1114" s="145" t="s">
        <v>5370</v>
      </c>
      <c r="D1114" s="146"/>
      <c r="E1114" s="147"/>
      <c r="F1114" s="121" t="s">
        <v>83</v>
      </c>
      <c r="G1114" s="189"/>
      <c r="H1114" s="136">
        <v>7.4</v>
      </c>
      <c r="I1114" s="136"/>
    </row>
    <row r="1115" spans="1:9" ht="12.75" customHeight="1" x14ac:dyDescent="0.2">
      <c r="A1115" s="94">
        <v>1106</v>
      </c>
      <c r="B1115" s="78"/>
      <c r="C1115" s="145" t="s">
        <v>3374</v>
      </c>
      <c r="D1115" s="146"/>
      <c r="E1115" s="147"/>
      <c r="F1115" s="121" t="s">
        <v>83</v>
      </c>
      <c r="G1115" s="189"/>
      <c r="H1115" s="136">
        <f>106.6-9-13+20.2-20.2-4.8-4.8-23.9-5.8-19.3+42-4.8+48.5-21.2-14-42</f>
        <v>34.5</v>
      </c>
      <c r="I1115" s="136"/>
    </row>
    <row r="1116" spans="1:9" ht="30" customHeight="1" x14ac:dyDescent="0.2">
      <c r="A1116" s="94">
        <v>1107</v>
      </c>
      <c r="B1116" s="78"/>
      <c r="C1116" s="157" t="s">
        <v>4313</v>
      </c>
      <c r="D1116" s="157"/>
      <c r="E1116" s="157"/>
      <c r="F1116" s="121" t="s">
        <v>83</v>
      </c>
      <c r="G1116" s="189"/>
      <c r="H1116" s="136">
        <f>117-58.6+58.8-58.4+58.9+58.5+117+118.1-24-59.4-21.8-8.5</f>
        <v>297.59999999999997</v>
      </c>
      <c r="I1116" s="136"/>
    </row>
    <row r="1117" spans="1:9" ht="12.75" customHeight="1" x14ac:dyDescent="0.2">
      <c r="A1117" s="94">
        <v>1108</v>
      </c>
      <c r="B1117" s="78"/>
      <c r="C1117" s="157" t="s">
        <v>840</v>
      </c>
      <c r="D1117" s="157"/>
      <c r="E1117" s="157"/>
      <c r="F1117" s="121" t="s">
        <v>83</v>
      </c>
      <c r="G1117" s="189"/>
      <c r="H1117" s="136"/>
      <c r="I1117" s="136"/>
    </row>
    <row r="1118" spans="1:9" ht="12.75" customHeight="1" x14ac:dyDescent="0.2">
      <c r="A1118" s="94">
        <v>1109</v>
      </c>
      <c r="B1118" s="78"/>
      <c r="C1118" s="145" t="s">
        <v>3489</v>
      </c>
      <c r="D1118" s="146"/>
      <c r="E1118" s="147"/>
      <c r="F1118" s="121" t="s">
        <v>83</v>
      </c>
      <c r="G1118" s="189"/>
      <c r="H1118" s="136">
        <f>82.5-12-24.1</f>
        <v>46.4</v>
      </c>
      <c r="I1118" s="136"/>
    </row>
    <row r="1119" spans="1:9" x14ac:dyDescent="0.2">
      <c r="A1119" s="94">
        <v>1110</v>
      </c>
      <c r="B1119" s="78"/>
      <c r="C1119" s="145" t="s">
        <v>4404</v>
      </c>
      <c r="D1119" s="146"/>
      <c r="E1119" s="147"/>
      <c r="F1119" s="121" t="s">
        <v>83</v>
      </c>
      <c r="G1119" s="189"/>
      <c r="H1119" s="136">
        <f>150+147.2+136.9+74+68.2+74.2+20.4-222-7.3-13.5-6.9-73.4-72.6-105.7-17.9-10.2-24.6+8.7+63.7-49.6-8.7-15.8-9.5-9.3</f>
        <v>96.300000000000097</v>
      </c>
      <c r="I1119" s="136"/>
    </row>
    <row r="1120" spans="1:9" ht="12.75" customHeight="1" x14ac:dyDescent="0.2">
      <c r="A1120" s="94">
        <v>1111</v>
      </c>
      <c r="B1120" s="78"/>
      <c r="C1120" s="157" t="s">
        <v>5195</v>
      </c>
      <c r="D1120" s="157"/>
      <c r="E1120" s="157"/>
      <c r="F1120" s="121" t="s">
        <v>83</v>
      </c>
      <c r="G1120" s="189"/>
      <c r="H1120" s="136">
        <f>83.5-13.8</f>
        <v>69.7</v>
      </c>
      <c r="I1120" s="136"/>
    </row>
    <row r="1121" spans="1:9" ht="12.75" customHeight="1" x14ac:dyDescent="0.2">
      <c r="A1121" s="94">
        <v>1112</v>
      </c>
      <c r="B1121" s="78"/>
      <c r="C1121" s="157" t="s">
        <v>4214</v>
      </c>
      <c r="D1121" s="157"/>
      <c r="E1121" s="157"/>
      <c r="F1121" s="121" t="s">
        <v>83</v>
      </c>
      <c r="G1121" s="189"/>
      <c r="H1121" s="136">
        <v>102</v>
      </c>
      <c r="I1121" s="136"/>
    </row>
    <row r="1122" spans="1:9" ht="12.75" customHeight="1" x14ac:dyDescent="0.2">
      <c r="A1122" s="94">
        <v>1113</v>
      </c>
      <c r="B1122" s="78"/>
      <c r="C1122" s="157" t="s">
        <v>3487</v>
      </c>
      <c r="D1122" s="157"/>
      <c r="E1122" s="157"/>
      <c r="F1122" s="121" t="s">
        <v>81</v>
      </c>
      <c r="G1122" s="189"/>
      <c r="H1122" s="136">
        <f>264-132-14-19-19</f>
        <v>80</v>
      </c>
      <c r="I1122" s="136"/>
    </row>
    <row r="1123" spans="1:9" ht="29.25" customHeight="1" x14ac:dyDescent="0.2">
      <c r="A1123" s="94">
        <v>1114</v>
      </c>
      <c r="B1123" s="78">
        <v>2</v>
      </c>
      <c r="C1123" s="157" t="s">
        <v>4683</v>
      </c>
      <c r="D1123" s="157"/>
      <c r="E1123" s="157"/>
      <c r="F1123" s="121" t="s">
        <v>81</v>
      </c>
      <c r="G1123" s="189"/>
      <c r="H1123" s="136">
        <f>980-565</f>
        <v>415</v>
      </c>
      <c r="I1123" s="136"/>
    </row>
    <row r="1124" spans="1:9" ht="12.75" customHeight="1" x14ac:dyDescent="0.2">
      <c r="A1124" s="94">
        <v>1115</v>
      </c>
      <c r="B1124" s="78">
        <v>2</v>
      </c>
      <c r="C1124" s="157" t="s">
        <v>3886</v>
      </c>
      <c r="D1124" s="157"/>
      <c r="E1124" s="157"/>
      <c r="F1124" s="121" t="s">
        <v>83</v>
      </c>
      <c r="G1124" s="189"/>
      <c r="H1124" s="136">
        <f>229.7-25.7-16-11</f>
        <v>177</v>
      </c>
      <c r="I1124" s="136"/>
    </row>
    <row r="1125" spans="1:9" ht="28.5" customHeight="1" x14ac:dyDescent="0.2">
      <c r="A1125" s="94">
        <v>1116</v>
      </c>
      <c r="B1125" s="78">
        <v>2</v>
      </c>
      <c r="C1125" s="157" t="s">
        <v>5358</v>
      </c>
      <c r="D1125" s="157"/>
      <c r="E1125" s="157"/>
      <c r="F1125" s="121" t="s">
        <v>81</v>
      </c>
      <c r="G1125" s="189"/>
      <c r="H1125" s="136">
        <f>474-24-13-29-10</f>
        <v>398</v>
      </c>
      <c r="I1125" s="136"/>
    </row>
    <row r="1126" spans="1:9" ht="12.75" customHeight="1" x14ac:dyDescent="0.2">
      <c r="A1126" s="94">
        <v>1117</v>
      </c>
      <c r="B1126" s="78"/>
      <c r="C1126" s="157" t="s">
        <v>1938</v>
      </c>
      <c r="D1126" s="157"/>
      <c r="E1126" s="157"/>
      <c r="F1126" s="121" t="s">
        <v>81</v>
      </c>
      <c r="G1126" s="189"/>
      <c r="H1126" s="136">
        <f>8-2.5</f>
        <v>5.5</v>
      </c>
      <c r="I1126" s="136"/>
    </row>
    <row r="1127" spans="1:9" ht="12.75" customHeight="1" x14ac:dyDescent="0.2">
      <c r="A1127" s="94">
        <v>1118</v>
      </c>
      <c r="B1127" s="78">
        <v>2</v>
      </c>
      <c r="C1127" s="157" t="s">
        <v>3443</v>
      </c>
      <c r="D1127" s="157"/>
      <c r="E1127" s="157"/>
      <c r="F1127" s="121" t="s">
        <v>81</v>
      </c>
      <c r="G1127" s="189"/>
      <c r="H1127" s="136">
        <f>165-26-71+1</f>
        <v>69</v>
      </c>
      <c r="I1127" s="136"/>
    </row>
    <row r="1128" spans="1:9" ht="30.75" customHeight="1" x14ac:dyDescent="0.2">
      <c r="A1128" s="94">
        <v>1119</v>
      </c>
      <c r="B1128" s="78">
        <v>2</v>
      </c>
      <c r="C1128" s="157" t="s">
        <v>2374</v>
      </c>
      <c r="D1128" s="157"/>
      <c r="E1128" s="157"/>
      <c r="F1128" s="121" t="s">
        <v>81</v>
      </c>
      <c r="G1128" s="189"/>
      <c r="H1128" s="136">
        <v>347</v>
      </c>
      <c r="I1128" s="136"/>
    </row>
    <row r="1129" spans="1:9" ht="12.75" customHeight="1" x14ac:dyDescent="0.2">
      <c r="A1129" s="94">
        <v>1120</v>
      </c>
      <c r="B1129" s="78">
        <v>2</v>
      </c>
      <c r="C1129" s="157" t="s">
        <v>4687</v>
      </c>
      <c r="D1129" s="157"/>
      <c r="E1129" s="157"/>
      <c r="F1129" s="121" t="s">
        <v>83</v>
      </c>
      <c r="G1129" s="189"/>
      <c r="H1129" s="136">
        <f>178-85-30+1</f>
        <v>64</v>
      </c>
      <c r="I1129" s="136"/>
    </row>
    <row r="1130" spans="1:9" ht="12.75" customHeight="1" x14ac:dyDescent="0.2">
      <c r="A1130" s="94">
        <v>1121</v>
      </c>
      <c r="B1130" s="78"/>
      <c r="C1130" s="157" t="s">
        <v>2439</v>
      </c>
      <c r="D1130" s="157"/>
      <c r="E1130" s="157"/>
      <c r="F1130" s="121" t="s">
        <v>83</v>
      </c>
      <c r="G1130" s="189"/>
      <c r="H1130" s="136">
        <f>34.9-10.5</f>
        <v>24.4</v>
      </c>
      <c r="I1130" s="136"/>
    </row>
    <row r="1131" spans="1:9" ht="12.75" customHeight="1" x14ac:dyDescent="0.2">
      <c r="A1131" s="94">
        <v>1122</v>
      </c>
      <c r="B1131" s="78"/>
      <c r="C1131" s="157" t="s">
        <v>3803</v>
      </c>
      <c r="D1131" s="157"/>
      <c r="E1131" s="157"/>
      <c r="F1131" s="121" t="s">
        <v>83</v>
      </c>
      <c r="G1131" s="189"/>
      <c r="H1131" s="136">
        <f>101-62</f>
        <v>39</v>
      </c>
      <c r="I1131" s="136"/>
    </row>
    <row r="1132" spans="1:9" ht="12.75" customHeight="1" x14ac:dyDescent="0.2">
      <c r="A1132" s="94">
        <v>1123</v>
      </c>
      <c r="B1132" s="78"/>
      <c r="C1132" s="157" t="s">
        <v>3166</v>
      </c>
      <c r="D1132" s="157"/>
      <c r="E1132" s="157"/>
      <c r="F1132" s="124" t="s">
        <v>82</v>
      </c>
      <c r="G1132" s="121"/>
      <c r="H1132" s="136">
        <v>27.6</v>
      </c>
      <c r="I1132" s="136"/>
    </row>
    <row r="1133" spans="1:9" ht="12.75" customHeight="1" x14ac:dyDescent="0.2">
      <c r="A1133" s="94">
        <v>1124</v>
      </c>
      <c r="B1133" s="78"/>
      <c r="C1133" s="157" t="s">
        <v>1986</v>
      </c>
      <c r="D1133" s="157"/>
      <c r="E1133" s="157"/>
      <c r="F1133" s="124" t="s">
        <v>82</v>
      </c>
      <c r="G1133" s="121"/>
      <c r="H1133" s="136">
        <v>27.5</v>
      </c>
      <c r="I1133" s="136"/>
    </row>
    <row r="1134" spans="1:9" ht="28.5" customHeight="1" x14ac:dyDescent="0.2">
      <c r="A1134" s="94">
        <v>1125</v>
      </c>
      <c r="B1134" s="78"/>
      <c r="C1134" s="157" t="s">
        <v>3808</v>
      </c>
      <c r="D1134" s="157"/>
      <c r="E1134" s="157"/>
      <c r="F1134" s="124" t="s">
        <v>82</v>
      </c>
      <c r="G1134" s="121"/>
      <c r="H1134" s="136">
        <f>50-2-1-1-2-1-1-10-2-1-1-1</f>
        <v>27</v>
      </c>
      <c r="I1134" s="136"/>
    </row>
    <row r="1135" spans="1:9" ht="12.75" customHeight="1" x14ac:dyDescent="0.2">
      <c r="A1135" s="94">
        <v>1126</v>
      </c>
      <c r="B1135" s="78"/>
      <c r="C1135" s="157" t="s">
        <v>4491</v>
      </c>
      <c r="D1135" s="157"/>
      <c r="E1135" s="157"/>
      <c r="F1135" s="124" t="s">
        <v>82</v>
      </c>
      <c r="G1135" s="121"/>
      <c r="H1135" s="136">
        <f>25.7-0.9-1-1-1-1-3-5-1-3</f>
        <v>8.8000000000000007</v>
      </c>
      <c r="I1135" s="136"/>
    </row>
    <row r="1136" spans="1:9" ht="12.75" customHeight="1" x14ac:dyDescent="0.2">
      <c r="A1136" s="94">
        <v>1127</v>
      </c>
      <c r="B1136" s="78"/>
      <c r="C1136" s="157" t="s">
        <v>3593</v>
      </c>
      <c r="D1136" s="157"/>
      <c r="E1136" s="157"/>
      <c r="F1136" s="124" t="s">
        <v>82</v>
      </c>
      <c r="G1136" s="121"/>
      <c r="H1136" s="136">
        <f>24.4-1-1-1-1-2-1</f>
        <v>17.399999999999999</v>
      </c>
      <c r="I1136" s="136"/>
    </row>
    <row r="1137" spans="1:9" ht="12.75" customHeight="1" x14ac:dyDescent="0.2">
      <c r="A1137" s="94">
        <v>1128</v>
      </c>
      <c r="B1137" s="78" t="s">
        <v>1734</v>
      </c>
      <c r="C1137" s="157" t="s">
        <v>3989</v>
      </c>
      <c r="D1137" s="157"/>
      <c r="E1137" s="157"/>
      <c r="F1137" s="124" t="s">
        <v>82</v>
      </c>
      <c r="G1137" s="121"/>
      <c r="H1137" s="136">
        <v>15.9</v>
      </c>
      <c r="I1137" s="136"/>
    </row>
    <row r="1138" spans="1:9" ht="12.75" customHeight="1" x14ac:dyDescent="0.2">
      <c r="A1138" s="94">
        <v>1129</v>
      </c>
      <c r="B1138" s="78"/>
      <c r="C1138" s="157" t="s">
        <v>3905</v>
      </c>
      <c r="D1138" s="157"/>
      <c r="E1138" s="157"/>
      <c r="F1138" s="124" t="s">
        <v>82</v>
      </c>
      <c r="G1138" s="121"/>
      <c r="H1138" s="136">
        <f>37.9-2-1-0.2-0.3-1-1-1-3-0.3-5-5</f>
        <v>18.099999999999998</v>
      </c>
      <c r="I1138" s="136"/>
    </row>
    <row r="1139" spans="1:9" ht="12.75" customHeight="1" x14ac:dyDescent="0.2">
      <c r="A1139" s="94">
        <v>1130</v>
      </c>
      <c r="B1139" s="78"/>
      <c r="C1139" s="157" t="s">
        <v>4599</v>
      </c>
      <c r="D1139" s="157"/>
      <c r="E1139" s="157"/>
      <c r="F1139" s="124" t="s">
        <v>82</v>
      </c>
      <c r="G1139" s="121"/>
      <c r="H1139" s="136">
        <v>13.4</v>
      </c>
      <c r="I1139" s="136"/>
    </row>
    <row r="1140" spans="1:9" ht="12.75" customHeight="1" x14ac:dyDescent="0.2">
      <c r="A1140" s="94">
        <v>1131</v>
      </c>
      <c r="B1140" s="78"/>
      <c r="C1140" s="157" t="s">
        <v>1965</v>
      </c>
      <c r="D1140" s="157"/>
      <c r="E1140" s="157"/>
      <c r="F1140" s="124" t="s">
        <v>82</v>
      </c>
      <c r="G1140" s="121"/>
      <c r="H1140" s="136">
        <v>9.1999999999999993</v>
      </c>
      <c r="I1140" s="136"/>
    </row>
    <row r="1141" spans="1:9" ht="12.75" customHeight="1" x14ac:dyDescent="0.2">
      <c r="A1141" s="94">
        <v>1132</v>
      </c>
      <c r="B1141" s="78"/>
      <c r="C1141" s="157" t="s">
        <v>5261</v>
      </c>
      <c r="D1141" s="157"/>
      <c r="E1141" s="157"/>
      <c r="F1141" s="124" t="s">
        <v>82</v>
      </c>
      <c r="G1141" s="121"/>
      <c r="H1141" s="136">
        <f>13.2-1-1-1-3</f>
        <v>7.1999999999999993</v>
      </c>
      <c r="I1141" s="136"/>
    </row>
    <row r="1142" spans="1:9" ht="12.75" customHeight="1" x14ac:dyDescent="0.2">
      <c r="A1142" s="94">
        <v>1133</v>
      </c>
      <c r="B1142" s="78" t="s">
        <v>741</v>
      </c>
      <c r="C1142" s="157" t="s">
        <v>2765</v>
      </c>
      <c r="D1142" s="157"/>
      <c r="E1142" s="157"/>
      <c r="F1142" s="124" t="s">
        <v>82</v>
      </c>
      <c r="G1142" s="121"/>
      <c r="H1142" s="136">
        <f>32.5-0.7-1.6-1.7-3-1-1</f>
        <v>23.5</v>
      </c>
      <c r="I1142" s="136"/>
    </row>
    <row r="1143" spans="1:9" ht="12.75" customHeight="1" x14ac:dyDescent="0.2">
      <c r="A1143" s="94">
        <v>1134</v>
      </c>
      <c r="B1143" s="78" t="s">
        <v>1734</v>
      </c>
      <c r="C1143" s="157" t="s">
        <v>4908</v>
      </c>
      <c r="D1143" s="157"/>
      <c r="E1143" s="157"/>
      <c r="F1143" s="124" t="s">
        <v>82</v>
      </c>
      <c r="G1143" s="121"/>
      <c r="H1143" s="136">
        <f>45.8-0.5-1-1-4.5-1-1.5</f>
        <v>36.299999999999997</v>
      </c>
      <c r="I1143" s="136"/>
    </row>
    <row r="1144" spans="1:9" ht="12.75" customHeight="1" x14ac:dyDescent="0.2">
      <c r="A1144" s="94">
        <v>1135</v>
      </c>
      <c r="B1144" s="78"/>
      <c r="C1144" s="157" t="s">
        <v>4810</v>
      </c>
      <c r="D1144" s="157"/>
      <c r="E1144" s="157"/>
      <c r="F1144" s="124" t="s">
        <v>82</v>
      </c>
      <c r="G1144" s="121"/>
      <c r="H1144" s="136">
        <f>8.4-0.5-1-4-1</f>
        <v>1.9000000000000004</v>
      </c>
      <c r="I1144" s="136"/>
    </row>
    <row r="1145" spans="1:9" ht="12.75" customHeight="1" x14ac:dyDescent="0.2">
      <c r="A1145" s="94">
        <v>1136</v>
      </c>
      <c r="B1145" s="78" t="s">
        <v>1624</v>
      </c>
      <c r="C1145" s="157" t="s">
        <v>4636</v>
      </c>
      <c r="D1145" s="157"/>
      <c r="E1145" s="157"/>
      <c r="F1145" s="124" t="s">
        <v>82</v>
      </c>
      <c r="G1145" s="121"/>
      <c r="H1145" s="136">
        <f>51-1-0.2-1-1</f>
        <v>47.8</v>
      </c>
      <c r="I1145" s="136"/>
    </row>
    <row r="1146" spans="1:9" ht="12.75" customHeight="1" x14ac:dyDescent="0.2">
      <c r="A1146" s="94">
        <v>1137</v>
      </c>
      <c r="B1146" s="78" t="s">
        <v>741</v>
      </c>
      <c r="C1146" s="157" t="s">
        <v>3581</v>
      </c>
      <c r="D1146" s="157"/>
      <c r="E1146" s="157"/>
      <c r="F1146" s="124" t="s">
        <v>82</v>
      </c>
      <c r="G1146" s="121"/>
      <c r="H1146" s="74">
        <f>84.4-1-1-2-9.9-2-5.1</f>
        <v>63.4</v>
      </c>
      <c r="I1146" s="74"/>
    </row>
    <row r="1147" spans="1:9" ht="12.75" customHeight="1" x14ac:dyDescent="0.2">
      <c r="A1147" s="94">
        <v>1138</v>
      </c>
      <c r="B1147" s="78" t="s">
        <v>741</v>
      </c>
      <c r="C1147" s="157" t="s">
        <v>4493</v>
      </c>
      <c r="D1147" s="157"/>
      <c r="E1147" s="157"/>
      <c r="F1147" s="124" t="s">
        <v>82</v>
      </c>
      <c r="G1147" s="121"/>
      <c r="H1147" s="136">
        <f>33-6-1</f>
        <v>26</v>
      </c>
      <c r="I1147" s="136"/>
    </row>
    <row r="1148" spans="1:9" ht="12.75" customHeight="1" x14ac:dyDescent="0.2">
      <c r="A1148" s="94">
        <v>1139</v>
      </c>
      <c r="B1148" s="78" t="s">
        <v>1624</v>
      </c>
      <c r="C1148" s="157" t="s">
        <v>4492</v>
      </c>
      <c r="D1148" s="157"/>
      <c r="E1148" s="157"/>
      <c r="F1148" s="124" t="s">
        <v>82</v>
      </c>
      <c r="G1148" s="121"/>
      <c r="H1148" s="136">
        <f>55.3-1-2-1-1.5-10-15-3-1</f>
        <v>20.799999999999997</v>
      </c>
      <c r="I1148" s="136"/>
    </row>
    <row r="1149" spans="1:9" ht="12.75" customHeight="1" x14ac:dyDescent="0.2">
      <c r="A1149" s="94">
        <v>1140</v>
      </c>
      <c r="B1149" s="78" t="s">
        <v>741</v>
      </c>
      <c r="C1149" s="157" t="s">
        <v>4289</v>
      </c>
      <c r="D1149" s="157"/>
      <c r="E1149" s="157"/>
      <c r="F1149" s="124" t="s">
        <v>82</v>
      </c>
      <c r="G1149" s="121"/>
      <c r="H1149" s="136">
        <f>45.6-0.1-5.3-1.2-10-0.6-1</f>
        <v>27.4</v>
      </c>
      <c r="I1149" s="136"/>
    </row>
    <row r="1150" spans="1:9" ht="12.75" customHeight="1" x14ac:dyDescent="0.2">
      <c r="A1150" s="94">
        <v>1141</v>
      </c>
      <c r="B1150" s="78" t="s">
        <v>2200</v>
      </c>
      <c r="C1150" s="145" t="s">
        <v>4385</v>
      </c>
      <c r="D1150" s="146"/>
      <c r="E1150" s="147"/>
      <c r="F1150" s="121" t="s">
        <v>82</v>
      </c>
      <c r="G1150" s="122"/>
      <c r="H1150" s="155">
        <v>82</v>
      </c>
      <c r="I1150" s="156"/>
    </row>
    <row r="1151" spans="1:9" ht="12.75" customHeight="1" x14ac:dyDescent="0.2">
      <c r="A1151" s="94">
        <v>1142</v>
      </c>
      <c r="B1151" s="78" t="s">
        <v>741</v>
      </c>
      <c r="C1151" s="157" t="s">
        <v>2428</v>
      </c>
      <c r="D1151" s="157"/>
      <c r="E1151" s="157"/>
      <c r="F1151" s="124" t="s">
        <v>82</v>
      </c>
      <c r="G1151" s="121"/>
      <c r="H1151" s="136">
        <f>6-1-1-0.7-0.9-0.4-1</f>
        <v>1</v>
      </c>
      <c r="I1151" s="136"/>
    </row>
    <row r="1152" spans="1:9" ht="12.75" customHeight="1" x14ac:dyDescent="0.2">
      <c r="A1152" s="94">
        <v>1143</v>
      </c>
      <c r="B1152" s="78" t="s">
        <v>741</v>
      </c>
      <c r="C1152" s="157" t="s">
        <v>4598</v>
      </c>
      <c r="D1152" s="157"/>
      <c r="E1152" s="157"/>
      <c r="F1152" s="124" t="s">
        <v>82</v>
      </c>
      <c r="G1152" s="121"/>
      <c r="H1152" s="136">
        <v>7.8</v>
      </c>
      <c r="I1152" s="136"/>
    </row>
    <row r="1153" spans="1:9" ht="12.75" customHeight="1" x14ac:dyDescent="0.2">
      <c r="A1153" s="94">
        <v>1144</v>
      </c>
      <c r="B1153" s="78" t="s">
        <v>2272</v>
      </c>
      <c r="C1153" s="145" t="s">
        <v>3187</v>
      </c>
      <c r="D1153" s="146"/>
      <c r="E1153" s="147"/>
      <c r="F1153" s="121" t="s">
        <v>82</v>
      </c>
      <c r="G1153" s="189"/>
      <c r="H1153" s="136">
        <v>126.5</v>
      </c>
      <c r="I1153" s="136"/>
    </row>
    <row r="1154" spans="1:9" ht="12.75" customHeight="1" x14ac:dyDescent="0.2">
      <c r="A1154" s="94">
        <v>1145</v>
      </c>
      <c r="B1154" s="78"/>
      <c r="C1154" s="145" t="s">
        <v>2906</v>
      </c>
      <c r="D1154" s="146"/>
      <c r="E1154" s="147"/>
      <c r="F1154" s="121" t="s">
        <v>82</v>
      </c>
      <c r="G1154" s="122"/>
      <c r="H1154" s="136">
        <f>90-6-24.2-6-24+24-6-6.1-6-6.3+0.9-12.2+0.2-6.3-2.1+0.2</f>
        <v>10.099999999999993</v>
      </c>
      <c r="I1154" s="136"/>
    </row>
    <row r="1155" spans="1:9" ht="12.75" customHeight="1" x14ac:dyDescent="0.2">
      <c r="A1155" s="94">
        <v>1146</v>
      </c>
      <c r="B1155" s="78" t="s">
        <v>741</v>
      </c>
      <c r="C1155" s="157" t="s">
        <v>4998</v>
      </c>
      <c r="D1155" s="157"/>
      <c r="E1155" s="157"/>
      <c r="F1155" s="124" t="s">
        <v>82</v>
      </c>
      <c r="G1155" s="121"/>
      <c r="H1155" s="136">
        <f>22+28.9-12.7</f>
        <v>38.200000000000003</v>
      </c>
      <c r="I1155" s="136"/>
    </row>
    <row r="1156" spans="1:9" ht="12.75" customHeight="1" x14ac:dyDescent="0.2">
      <c r="A1156" s="94">
        <v>1147</v>
      </c>
      <c r="B1156" s="78"/>
      <c r="C1156" s="157" t="s">
        <v>4969</v>
      </c>
      <c r="D1156" s="157"/>
      <c r="E1156" s="157"/>
      <c r="F1156" s="124" t="s">
        <v>82</v>
      </c>
      <c r="G1156" s="121"/>
      <c r="H1156" s="136">
        <f>22.5-7.5-2.6+0.1-7.5</f>
        <v>5</v>
      </c>
      <c r="I1156" s="136"/>
    </row>
    <row r="1157" spans="1:9" ht="12.75" customHeight="1" x14ac:dyDescent="0.2">
      <c r="A1157" s="94">
        <v>1148</v>
      </c>
      <c r="B1157" s="78"/>
      <c r="C1157" s="157" t="s">
        <v>4562</v>
      </c>
      <c r="D1157" s="157"/>
      <c r="E1157" s="157"/>
      <c r="F1157" s="124" t="s">
        <v>82</v>
      </c>
      <c r="G1157" s="121"/>
      <c r="H1157" s="136">
        <f>79.2-8-8-8</f>
        <v>55.2</v>
      </c>
      <c r="I1157" s="136"/>
    </row>
    <row r="1158" spans="1:9" ht="12.75" customHeight="1" x14ac:dyDescent="0.2">
      <c r="A1158" s="94">
        <v>1149</v>
      </c>
      <c r="B1158" s="78"/>
      <c r="C1158" s="157" t="s">
        <v>3392</v>
      </c>
      <c r="D1158" s="157"/>
      <c r="E1158" s="157"/>
      <c r="F1158" s="124" t="s">
        <v>82</v>
      </c>
      <c r="G1158" s="121"/>
      <c r="H1158" s="136">
        <f>22.5-7.5</f>
        <v>15</v>
      </c>
      <c r="I1158" s="136"/>
    </row>
    <row r="1159" spans="1:9" ht="12.75" customHeight="1" x14ac:dyDescent="0.2">
      <c r="A1159" s="94">
        <v>1150</v>
      </c>
      <c r="B1159" s="78"/>
      <c r="C1159" s="157" t="s">
        <v>358</v>
      </c>
      <c r="D1159" s="157"/>
      <c r="E1159" s="157"/>
      <c r="F1159" s="124" t="s">
        <v>82</v>
      </c>
      <c r="G1159" s="121"/>
      <c r="H1159" s="136"/>
      <c r="I1159" s="136"/>
    </row>
    <row r="1160" spans="1:9" ht="12.75" customHeight="1" x14ac:dyDescent="0.2">
      <c r="A1160" s="94">
        <v>1151</v>
      </c>
      <c r="B1160" s="78"/>
      <c r="C1160" s="157" t="s">
        <v>3631</v>
      </c>
      <c r="D1160" s="157"/>
      <c r="E1160" s="157"/>
      <c r="F1160" s="124" t="s">
        <v>82</v>
      </c>
      <c r="G1160" s="121"/>
      <c r="H1160" s="136">
        <f>108.5-27.2-3.1+0.3-1.5-54.4</f>
        <v>22.6</v>
      </c>
      <c r="I1160" s="136"/>
    </row>
    <row r="1161" spans="1:9" ht="12.75" customHeight="1" x14ac:dyDescent="0.2">
      <c r="A1161" s="94">
        <v>1152</v>
      </c>
      <c r="B1161" s="78" t="s">
        <v>741</v>
      </c>
      <c r="C1161" s="157" t="s">
        <v>4537</v>
      </c>
      <c r="D1161" s="157"/>
      <c r="E1161" s="157"/>
      <c r="F1161" s="124" t="s">
        <v>82</v>
      </c>
      <c r="G1161" s="121"/>
      <c r="H1161" s="136">
        <v>11.7</v>
      </c>
      <c r="I1161" s="136"/>
    </row>
    <row r="1162" spans="1:9" ht="12.75" customHeight="1" x14ac:dyDescent="0.2">
      <c r="A1162" s="94">
        <v>1153</v>
      </c>
      <c r="B1162" s="78"/>
      <c r="C1162" s="157" t="s">
        <v>3467</v>
      </c>
      <c r="D1162" s="157"/>
      <c r="E1162" s="157"/>
      <c r="F1162" s="124" t="s">
        <v>82</v>
      </c>
      <c r="G1162" s="124"/>
      <c r="H1162" s="136">
        <f>248-12.4-12.5-5-8.2</f>
        <v>209.9</v>
      </c>
      <c r="I1162" s="136"/>
    </row>
    <row r="1163" spans="1:9" ht="12.75" customHeight="1" x14ac:dyDescent="0.2">
      <c r="A1163" s="94">
        <v>1154</v>
      </c>
      <c r="B1163" s="78" t="s">
        <v>3540</v>
      </c>
      <c r="C1163" s="157" t="s">
        <v>4772</v>
      </c>
      <c r="D1163" s="157"/>
      <c r="E1163" s="157"/>
      <c r="F1163" s="124" t="s">
        <v>82</v>
      </c>
      <c r="G1163" s="121"/>
      <c r="H1163" s="136">
        <v>4.9000000000000004</v>
      </c>
      <c r="I1163" s="136"/>
    </row>
    <row r="1164" spans="1:9" ht="12.75" customHeight="1" x14ac:dyDescent="0.2">
      <c r="A1164" s="94">
        <v>1155</v>
      </c>
      <c r="B1164" s="78"/>
      <c r="C1164" s="157" t="s">
        <v>3451</v>
      </c>
      <c r="D1164" s="157"/>
      <c r="E1164" s="157"/>
      <c r="F1164" s="124" t="s">
        <v>82</v>
      </c>
      <c r="G1164" s="121"/>
      <c r="H1164" s="136">
        <f>60.4+20-11</f>
        <v>69.400000000000006</v>
      </c>
      <c r="I1164" s="136"/>
    </row>
    <row r="1165" spans="1:9" ht="12.75" customHeight="1" x14ac:dyDescent="0.2">
      <c r="A1165" s="94">
        <v>1156</v>
      </c>
      <c r="B1165" s="78"/>
      <c r="C1165" s="157" t="s">
        <v>3480</v>
      </c>
      <c r="D1165" s="157"/>
      <c r="E1165" s="157"/>
      <c r="F1165" s="124" t="s">
        <v>82</v>
      </c>
      <c r="G1165" s="121"/>
      <c r="H1165" s="136">
        <v>18</v>
      </c>
      <c r="I1165" s="136"/>
    </row>
    <row r="1166" spans="1:9" ht="12.75" customHeight="1" x14ac:dyDescent="0.2">
      <c r="A1166" s="94">
        <v>1157</v>
      </c>
      <c r="B1166" s="78"/>
      <c r="C1166" s="157" t="s">
        <v>4718</v>
      </c>
      <c r="D1166" s="157"/>
      <c r="E1166" s="157"/>
      <c r="F1166" s="124" t="s">
        <v>82</v>
      </c>
      <c r="G1166" s="121"/>
      <c r="H1166" s="136">
        <f>19.7-4-4-3.9-3.9</f>
        <v>3.899999999999999</v>
      </c>
      <c r="I1166" s="136"/>
    </row>
    <row r="1167" spans="1:9" x14ac:dyDescent="0.2">
      <c r="A1167" s="94">
        <v>1158</v>
      </c>
      <c r="B1167" s="78"/>
      <c r="C1167" s="157" t="s">
        <v>4835</v>
      </c>
      <c r="D1167" s="157"/>
      <c r="E1167" s="157"/>
      <c r="F1167" s="124" t="s">
        <v>82</v>
      </c>
      <c r="G1167" s="121"/>
      <c r="H1167" s="136">
        <f>70-23.4+21.1+9.2+3.9-3.9-3.5-9.2-17.6-6.3-4.6-12</f>
        <v>23.700000000000003</v>
      </c>
      <c r="I1167" s="136"/>
    </row>
    <row r="1168" spans="1:9" x14ac:dyDescent="0.2">
      <c r="A1168" s="94">
        <v>1159</v>
      </c>
      <c r="B1168" s="78"/>
      <c r="C1168" s="145" t="s">
        <v>2598</v>
      </c>
      <c r="D1168" s="146"/>
      <c r="E1168" s="147"/>
      <c r="F1168" s="124" t="s">
        <v>82</v>
      </c>
      <c r="G1168" s="121"/>
      <c r="H1168" s="136">
        <f>23.2+347.2+21.2-23.1-5.2-3.5+23.4-23.3+12.9-5.5-7.4-12.5-23.2-15.6-23.5-7.6-3.3-4.8-23-15.3-69.6-115.4+18.6+23.4+12.2-12.2-18.6-3.2-3.3-4.9-12</f>
        <v>46.099999999999859</v>
      </c>
      <c r="I1168" s="136"/>
    </row>
    <row r="1169" spans="1:9" ht="28.5" customHeight="1" x14ac:dyDescent="0.2">
      <c r="A1169" s="94">
        <v>1160</v>
      </c>
      <c r="B1169" s="78"/>
      <c r="C1169" s="145" t="s">
        <v>3491</v>
      </c>
      <c r="D1169" s="146"/>
      <c r="E1169" s="147"/>
      <c r="F1169" s="124" t="s">
        <v>82</v>
      </c>
      <c r="G1169" s="121"/>
      <c r="H1169" s="136">
        <f>147.3-13.3-10-12.4-26.8-28.7-28.3+51.8+69.8-7-6.5-46.1+19.8-14.3+73.9-4-1.7-2.5</f>
        <v>161</v>
      </c>
      <c r="I1169" s="136"/>
    </row>
    <row r="1170" spans="1:9" ht="12.75" customHeight="1" x14ac:dyDescent="0.2">
      <c r="A1170" s="94">
        <v>1161</v>
      </c>
      <c r="B1170" s="78"/>
      <c r="C1170" s="157" t="s">
        <v>2840</v>
      </c>
      <c r="D1170" s="157"/>
      <c r="E1170" s="157"/>
      <c r="F1170" s="124" t="s">
        <v>82</v>
      </c>
      <c r="G1170" s="121"/>
      <c r="H1170" s="136">
        <f>89.5-44.7</f>
        <v>44.8</v>
      </c>
      <c r="I1170" s="136"/>
    </row>
    <row r="1171" spans="1:9" ht="12.75" customHeight="1" x14ac:dyDescent="0.2">
      <c r="A1171" s="94">
        <v>1162</v>
      </c>
      <c r="B1171" s="78" t="s">
        <v>741</v>
      </c>
      <c r="C1171" s="157" t="s">
        <v>4012</v>
      </c>
      <c r="D1171" s="157"/>
      <c r="E1171" s="157"/>
      <c r="F1171" s="124" t="s">
        <v>82</v>
      </c>
      <c r="G1171" s="121"/>
      <c r="H1171" s="136">
        <f>153.5-11.5-9.6-6-1.9-9.2</f>
        <v>115.3</v>
      </c>
      <c r="I1171" s="136"/>
    </row>
    <row r="1172" spans="1:9" ht="12.75" customHeight="1" x14ac:dyDescent="0.2">
      <c r="A1172" s="94">
        <v>1163</v>
      </c>
      <c r="B1172" s="78"/>
      <c r="C1172" s="145" t="s">
        <v>837</v>
      </c>
      <c r="D1172" s="146"/>
      <c r="E1172" s="147"/>
      <c r="F1172" s="124" t="s">
        <v>82</v>
      </c>
      <c r="G1172" s="121"/>
      <c r="H1172" s="136"/>
      <c r="I1172" s="136"/>
    </row>
    <row r="1173" spans="1:9" x14ac:dyDescent="0.2">
      <c r="A1173" s="94">
        <v>1164</v>
      </c>
      <c r="B1173" s="78" t="s">
        <v>3540</v>
      </c>
      <c r="C1173" s="157" t="s">
        <v>4608</v>
      </c>
      <c r="D1173" s="157"/>
      <c r="E1173" s="157"/>
      <c r="F1173" s="124" t="s">
        <v>82</v>
      </c>
      <c r="G1173" s="121"/>
      <c r="H1173" s="136">
        <v>29.8</v>
      </c>
      <c r="I1173" s="136"/>
    </row>
    <row r="1174" spans="1:9" x14ac:dyDescent="0.2">
      <c r="A1174" s="94">
        <v>1165</v>
      </c>
      <c r="B1174" s="78" t="s">
        <v>4606</v>
      </c>
      <c r="C1174" s="157" t="s">
        <v>4607</v>
      </c>
      <c r="D1174" s="157"/>
      <c r="E1174" s="157"/>
      <c r="F1174" s="124" t="s">
        <v>82</v>
      </c>
      <c r="G1174" s="121"/>
      <c r="H1174" s="136">
        <v>47</v>
      </c>
      <c r="I1174" s="136"/>
    </row>
    <row r="1175" spans="1:9" x14ac:dyDescent="0.2">
      <c r="A1175" s="94">
        <v>1166</v>
      </c>
      <c r="B1175" s="78"/>
      <c r="C1175" s="157" t="s">
        <v>3843</v>
      </c>
      <c r="D1175" s="157"/>
      <c r="E1175" s="157"/>
      <c r="F1175" s="124" t="s">
        <v>82</v>
      </c>
      <c r="G1175" s="121"/>
      <c r="H1175" s="136">
        <f>31.9+29.5+23.4-12.5-19.4-23.4</f>
        <v>29.5</v>
      </c>
      <c r="I1175" s="136"/>
    </row>
    <row r="1176" spans="1:9" x14ac:dyDescent="0.2">
      <c r="A1176" s="94">
        <v>1167</v>
      </c>
      <c r="B1176" s="78"/>
      <c r="C1176" s="157" t="s">
        <v>3543</v>
      </c>
      <c r="D1176" s="157"/>
      <c r="E1176" s="157"/>
      <c r="F1176" s="124" t="s">
        <v>82</v>
      </c>
      <c r="G1176" s="121"/>
      <c r="H1176" s="136">
        <f>93.4-8.4-9</f>
        <v>76</v>
      </c>
      <c r="I1176" s="136"/>
    </row>
    <row r="1177" spans="1:9" ht="12.75" customHeight="1" x14ac:dyDescent="0.2">
      <c r="A1177" s="94">
        <v>1168</v>
      </c>
      <c r="B1177" s="78"/>
      <c r="C1177" s="157" t="s">
        <v>3481</v>
      </c>
      <c r="D1177" s="157"/>
      <c r="E1177" s="157"/>
      <c r="F1177" s="124" t="s">
        <v>82</v>
      </c>
      <c r="G1177" s="121"/>
      <c r="H1177" s="136">
        <v>27.4</v>
      </c>
      <c r="I1177" s="136"/>
    </row>
    <row r="1178" spans="1:9" ht="12.75" customHeight="1" x14ac:dyDescent="0.2">
      <c r="A1178" s="94">
        <v>1169</v>
      </c>
      <c r="B1178" s="78"/>
      <c r="C1178" s="157" t="s">
        <v>4435</v>
      </c>
      <c r="D1178" s="157"/>
      <c r="E1178" s="157"/>
      <c r="F1178" s="124" t="s">
        <v>82</v>
      </c>
      <c r="G1178" s="121"/>
      <c r="H1178" s="136">
        <v>234</v>
      </c>
      <c r="I1178" s="136"/>
    </row>
    <row r="1179" spans="1:9" x14ac:dyDescent="0.2">
      <c r="A1179" s="94">
        <v>1170</v>
      </c>
      <c r="B1179" s="78"/>
      <c r="C1179" s="157" t="s">
        <v>4436</v>
      </c>
      <c r="D1179" s="157"/>
      <c r="E1179" s="157"/>
      <c r="F1179" s="124" t="s">
        <v>82</v>
      </c>
      <c r="G1179" s="121"/>
      <c r="H1179" s="136">
        <f>139.1-42.7+51+68.2-20-19.4-48.8+77.5+14.7-18.7-32.3-3.8+77.4-76.4-10.9-25.6</f>
        <v>129.29999999999995</v>
      </c>
      <c r="I1179" s="136"/>
    </row>
    <row r="1180" spans="1:9" ht="12.75" customHeight="1" x14ac:dyDescent="0.2">
      <c r="A1180" s="94">
        <v>1171</v>
      </c>
      <c r="B1180" s="78" t="s">
        <v>741</v>
      </c>
      <c r="C1180" s="157" t="s">
        <v>4437</v>
      </c>
      <c r="D1180" s="157"/>
      <c r="E1180" s="157"/>
      <c r="F1180" s="124" t="s">
        <v>82</v>
      </c>
      <c r="G1180" s="121"/>
      <c r="H1180" s="136">
        <f>338.5-95.5-17.4-17.3-5.5-18.5</f>
        <v>184.29999999999998</v>
      </c>
      <c r="I1180" s="136"/>
    </row>
    <row r="1181" spans="1:9" ht="12.75" customHeight="1" x14ac:dyDescent="0.2">
      <c r="A1181" s="94">
        <v>1172</v>
      </c>
      <c r="B1181" s="78">
        <v>2</v>
      </c>
      <c r="C1181" s="157" t="s">
        <v>1733</v>
      </c>
      <c r="D1181" s="157"/>
      <c r="E1181" s="157"/>
      <c r="F1181" s="124" t="s">
        <v>82</v>
      </c>
      <c r="G1181" s="121"/>
      <c r="H1181" s="136">
        <v>256</v>
      </c>
      <c r="I1181" s="136"/>
    </row>
    <row r="1182" spans="1:9" ht="12.75" customHeight="1" x14ac:dyDescent="0.2">
      <c r="A1182" s="94">
        <v>1173</v>
      </c>
      <c r="B1182" s="78"/>
      <c r="C1182" s="157" t="s">
        <v>4387</v>
      </c>
      <c r="D1182" s="157"/>
      <c r="E1182" s="157"/>
      <c r="F1182" s="124" t="s">
        <v>82</v>
      </c>
      <c r="G1182" s="121"/>
      <c r="H1182" s="136">
        <f>160.4-11.7-73.2-10.1-16</f>
        <v>49.40000000000002</v>
      </c>
      <c r="I1182" s="136"/>
    </row>
    <row r="1183" spans="1:9" ht="12.75" customHeight="1" x14ac:dyDescent="0.2">
      <c r="A1183" s="94">
        <v>1174</v>
      </c>
      <c r="B1183" s="78"/>
      <c r="C1183" s="157" t="s">
        <v>4087</v>
      </c>
      <c r="D1183" s="157"/>
      <c r="E1183" s="157"/>
      <c r="F1183" s="124" t="s">
        <v>82</v>
      </c>
      <c r="G1183" s="121"/>
      <c r="H1183" s="136">
        <f>98.8-48.7+0.5</f>
        <v>50.599999999999994</v>
      </c>
      <c r="I1183" s="136"/>
    </row>
    <row r="1184" spans="1:9" ht="12.75" customHeight="1" x14ac:dyDescent="0.2">
      <c r="A1184" s="94">
        <v>1175</v>
      </c>
      <c r="B1184" s="78"/>
      <c r="C1184" s="157" t="s">
        <v>2523</v>
      </c>
      <c r="D1184" s="157"/>
      <c r="E1184" s="157"/>
      <c r="F1184" s="124" t="s">
        <v>82</v>
      </c>
      <c r="G1184" s="121"/>
      <c r="H1184" s="136">
        <f>56+42.5-13.2-42.5</f>
        <v>42.8</v>
      </c>
      <c r="I1184" s="136"/>
    </row>
    <row r="1185" spans="1:9" ht="32.25" customHeight="1" x14ac:dyDescent="0.2">
      <c r="A1185" s="94">
        <v>1176</v>
      </c>
      <c r="B1185" s="78">
        <v>2</v>
      </c>
      <c r="C1185" s="157" t="s">
        <v>2199</v>
      </c>
      <c r="D1185" s="157"/>
      <c r="E1185" s="157"/>
      <c r="F1185" s="124" t="s">
        <v>82</v>
      </c>
      <c r="G1185" s="121"/>
      <c r="H1185" s="136">
        <f>154-55+1-8</f>
        <v>92</v>
      </c>
      <c r="I1185" s="136"/>
    </row>
    <row r="1186" spans="1:9" ht="12.75" customHeight="1" x14ac:dyDescent="0.2">
      <c r="A1186" s="94">
        <v>1177</v>
      </c>
      <c r="B1186" s="78"/>
      <c r="C1186" s="157" t="s">
        <v>3018</v>
      </c>
      <c r="D1186" s="157"/>
      <c r="E1186" s="157"/>
      <c r="F1186" s="124" t="s">
        <v>82</v>
      </c>
      <c r="G1186" s="121"/>
      <c r="H1186" s="136">
        <f>46.7-16.9</f>
        <v>29.800000000000004</v>
      </c>
      <c r="I1186" s="136"/>
    </row>
    <row r="1187" spans="1:9" ht="12.75" customHeight="1" x14ac:dyDescent="0.2">
      <c r="A1187" s="94">
        <v>1178</v>
      </c>
      <c r="B1187" s="78" t="s">
        <v>3540</v>
      </c>
      <c r="C1187" s="157" t="s">
        <v>3583</v>
      </c>
      <c r="D1187" s="157"/>
      <c r="E1187" s="157"/>
      <c r="F1187" s="124" t="s">
        <v>82</v>
      </c>
      <c r="G1187" s="121"/>
      <c r="H1187" s="136">
        <v>8.6</v>
      </c>
      <c r="I1187" s="136"/>
    </row>
    <row r="1188" spans="1:9" ht="12.75" customHeight="1" x14ac:dyDescent="0.2">
      <c r="A1188" s="94">
        <v>1179</v>
      </c>
      <c r="B1188" s="78"/>
      <c r="C1188" s="157" t="s">
        <v>4502</v>
      </c>
      <c r="D1188" s="157"/>
      <c r="E1188" s="157"/>
      <c r="F1188" s="124" t="s">
        <v>82</v>
      </c>
      <c r="G1188" s="121"/>
      <c r="H1188" s="136">
        <f>155.2-10.5-59</f>
        <v>85.699999999999989</v>
      </c>
      <c r="I1188" s="136"/>
    </row>
    <row r="1189" spans="1:9" ht="12.75" customHeight="1" x14ac:dyDescent="0.2">
      <c r="A1189" s="94">
        <v>1180</v>
      </c>
      <c r="B1189" s="78">
        <v>2</v>
      </c>
      <c r="C1189" s="157" t="s">
        <v>5144</v>
      </c>
      <c r="D1189" s="157"/>
      <c r="E1189" s="157"/>
      <c r="F1189" s="124" t="s">
        <v>82</v>
      </c>
      <c r="G1189" s="121"/>
      <c r="H1189" s="136">
        <f>110-35</f>
        <v>75</v>
      </c>
      <c r="I1189" s="136"/>
    </row>
    <row r="1190" spans="1:9" ht="12.75" customHeight="1" x14ac:dyDescent="0.2">
      <c r="A1190" s="94">
        <v>1181</v>
      </c>
      <c r="B1190" s="78">
        <v>2</v>
      </c>
      <c r="C1190" s="157" t="s">
        <v>2851</v>
      </c>
      <c r="D1190" s="157"/>
      <c r="E1190" s="157"/>
      <c r="F1190" s="124" t="s">
        <v>82</v>
      </c>
      <c r="G1190" s="121"/>
      <c r="H1190" s="136">
        <v>252</v>
      </c>
      <c r="I1190" s="136"/>
    </row>
    <row r="1191" spans="1:9" ht="12.75" customHeight="1" x14ac:dyDescent="0.2">
      <c r="A1191" s="94">
        <v>1182</v>
      </c>
      <c r="B1191" s="78">
        <v>2</v>
      </c>
      <c r="C1191" s="157" t="s">
        <v>2852</v>
      </c>
      <c r="D1191" s="157"/>
      <c r="E1191" s="157"/>
      <c r="F1191" s="124" t="s">
        <v>82</v>
      </c>
      <c r="G1191" s="121"/>
      <c r="H1191" s="136">
        <v>280</v>
      </c>
      <c r="I1191" s="136"/>
    </row>
    <row r="1192" spans="1:9" ht="12.75" customHeight="1" x14ac:dyDescent="0.2">
      <c r="A1192" s="94">
        <v>1183</v>
      </c>
      <c r="B1192" s="78"/>
      <c r="C1192" s="145" t="s">
        <v>4712</v>
      </c>
      <c r="D1192" s="146"/>
      <c r="E1192" s="147"/>
      <c r="F1192" s="124" t="s">
        <v>82</v>
      </c>
      <c r="G1192" s="121"/>
      <c r="H1192" s="136">
        <f>24.9-1-1-0.5-2.5-1.5-3.1-1.9-1-1-2.8-1.5-1.5-1.5</f>
        <v>4.0999999999999979</v>
      </c>
      <c r="I1192" s="136"/>
    </row>
    <row r="1193" spans="1:9" ht="12.75" customHeight="1" x14ac:dyDescent="0.2">
      <c r="A1193" s="94">
        <v>1184</v>
      </c>
      <c r="B1193" s="78"/>
      <c r="C1193" s="145" t="s">
        <v>3947</v>
      </c>
      <c r="D1193" s="146"/>
      <c r="E1193" s="147"/>
      <c r="F1193" s="124" t="s">
        <v>82</v>
      </c>
      <c r="G1193" s="121"/>
      <c r="H1193" s="136">
        <f>17.3-1.1-3.2-4.4+0.2-1.2-4.4-0.7</f>
        <v>2.4999999999999982</v>
      </c>
      <c r="I1193" s="136"/>
    </row>
    <row r="1194" spans="1:9" ht="12.75" customHeight="1" x14ac:dyDescent="0.2">
      <c r="A1194" s="94">
        <v>1185</v>
      </c>
      <c r="B1194" s="78"/>
      <c r="C1194" s="145" t="s">
        <v>2460</v>
      </c>
      <c r="D1194" s="146"/>
      <c r="E1194" s="147"/>
      <c r="F1194" s="124" t="s">
        <v>82</v>
      </c>
      <c r="G1194" s="121"/>
      <c r="H1194" s="136">
        <f>11.2-2.8-2.8</f>
        <v>5.5999999999999988</v>
      </c>
      <c r="I1194" s="136"/>
    </row>
    <row r="1195" spans="1:9" ht="30" customHeight="1" x14ac:dyDescent="0.2">
      <c r="A1195" s="94">
        <v>1186</v>
      </c>
      <c r="B1195" s="78" t="s">
        <v>741</v>
      </c>
      <c r="C1195" s="145" t="s">
        <v>2496</v>
      </c>
      <c r="D1195" s="146"/>
      <c r="E1195" s="147"/>
      <c r="F1195" s="124" t="s">
        <v>82</v>
      </c>
      <c r="G1195" s="121"/>
      <c r="H1195" s="136">
        <f>29.3-5.5</f>
        <v>23.8</v>
      </c>
      <c r="I1195" s="136"/>
    </row>
    <row r="1196" spans="1:9" ht="12.75" customHeight="1" x14ac:dyDescent="0.2">
      <c r="A1196" s="94">
        <v>1187</v>
      </c>
      <c r="B1196" s="78"/>
      <c r="C1196" s="145" t="s">
        <v>3646</v>
      </c>
      <c r="D1196" s="146"/>
      <c r="E1196" s="147"/>
      <c r="F1196" s="124" t="s">
        <v>82</v>
      </c>
      <c r="G1196" s="121"/>
      <c r="H1196" s="136">
        <f>10.8-1.9</f>
        <v>8.9</v>
      </c>
      <c r="I1196" s="136"/>
    </row>
    <row r="1197" spans="1:9" ht="12.75" customHeight="1" x14ac:dyDescent="0.2">
      <c r="A1197" s="94">
        <v>1188</v>
      </c>
      <c r="B1197" s="78" t="s">
        <v>741</v>
      </c>
      <c r="C1197" s="145" t="s">
        <v>2166</v>
      </c>
      <c r="D1197" s="146"/>
      <c r="E1197" s="147"/>
      <c r="F1197" s="124" t="s">
        <v>82</v>
      </c>
      <c r="G1197" s="121"/>
      <c r="H1197" s="136">
        <v>21.6</v>
      </c>
      <c r="I1197" s="136"/>
    </row>
    <row r="1198" spans="1:9" ht="12.75" customHeight="1" x14ac:dyDescent="0.2">
      <c r="A1198" s="94">
        <v>1189</v>
      </c>
      <c r="B1198" s="78"/>
      <c r="C1198" s="145" t="s">
        <v>2098</v>
      </c>
      <c r="D1198" s="146"/>
      <c r="E1198" s="147"/>
      <c r="F1198" s="124" t="s">
        <v>82</v>
      </c>
      <c r="G1198" s="121"/>
      <c r="H1198" s="136">
        <f>13+13</f>
        <v>26</v>
      </c>
      <c r="I1198" s="136"/>
    </row>
    <row r="1199" spans="1:9" ht="27.75" customHeight="1" x14ac:dyDescent="0.2">
      <c r="A1199" s="94">
        <v>1190</v>
      </c>
      <c r="B1199" s="78" t="s">
        <v>741</v>
      </c>
      <c r="C1199" s="145" t="s">
        <v>2167</v>
      </c>
      <c r="D1199" s="146"/>
      <c r="E1199" s="147"/>
      <c r="F1199" s="124" t="s">
        <v>82</v>
      </c>
      <c r="G1199" s="121"/>
      <c r="H1199" s="136">
        <v>52.4</v>
      </c>
      <c r="I1199" s="136"/>
    </row>
    <row r="1200" spans="1:9" ht="12.75" customHeight="1" x14ac:dyDescent="0.2">
      <c r="A1200" s="94">
        <v>1191</v>
      </c>
      <c r="B1200" s="78"/>
      <c r="C1200" s="145" t="s">
        <v>5295</v>
      </c>
      <c r="D1200" s="146"/>
      <c r="E1200" s="147"/>
      <c r="F1200" s="124" t="s">
        <v>82</v>
      </c>
      <c r="G1200" s="121"/>
      <c r="H1200" s="136">
        <f>16.8-3.1-3.1-3.2</f>
        <v>7.4000000000000012</v>
      </c>
      <c r="I1200" s="136"/>
    </row>
    <row r="1201" spans="1:9" ht="12.75" customHeight="1" x14ac:dyDescent="0.2">
      <c r="A1201" s="94">
        <v>1192</v>
      </c>
      <c r="B1201" s="78" t="s">
        <v>741</v>
      </c>
      <c r="C1201" s="145" t="s">
        <v>2168</v>
      </c>
      <c r="D1201" s="146"/>
      <c r="E1201" s="147"/>
      <c r="F1201" s="124" t="s">
        <v>82</v>
      </c>
      <c r="G1201" s="121"/>
      <c r="H1201" s="136">
        <v>33.6</v>
      </c>
      <c r="I1201" s="136"/>
    </row>
    <row r="1202" spans="1:9" ht="12.75" customHeight="1" x14ac:dyDescent="0.2">
      <c r="A1202" s="94">
        <v>1193</v>
      </c>
      <c r="B1202" s="78"/>
      <c r="C1202" s="145" t="s">
        <v>1477</v>
      </c>
      <c r="D1202" s="146"/>
      <c r="E1202" s="147"/>
      <c r="F1202" s="124" t="s">
        <v>82</v>
      </c>
      <c r="G1202" s="121"/>
      <c r="H1202" s="136">
        <v>17.600000000000001</v>
      </c>
      <c r="I1202" s="136"/>
    </row>
    <row r="1203" spans="1:9" ht="12.75" customHeight="1" x14ac:dyDescent="0.2">
      <c r="A1203" s="94">
        <v>1194</v>
      </c>
      <c r="B1203" s="78"/>
      <c r="C1203" s="145" t="s">
        <v>3719</v>
      </c>
      <c r="D1203" s="146"/>
      <c r="E1203" s="147"/>
      <c r="F1203" s="124" t="s">
        <v>82</v>
      </c>
      <c r="G1203" s="121"/>
      <c r="H1203" s="136">
        <v>22</v>
      </c>
      <c r="I1203" s="136"/>
    </row>
    <row r="1204" spans="1:9" x14ac:dyDescent="0.2">
      <c r="A1204" s="94">
        <v>1195</v>
      </c>
      <c r="B1204" s="78" t="s">
        <v>741</v>
      </c>
      <c r="C1204" s="145" t="s">
        <v>2277</v>
      </c>
      <c r="D1204" s="146"/>
      <c r="E1204" s="147"/>
      <c r="F1204" s="124" t="s">
        <v>82</v>
      </c>
      <c r="G1204" s="121"/>
      <c r="H1204" s="136">
        <f>38.5-16.8</f>
        <v>21.7</v>
      </c>
      <c r="I1204" s="136"/>
    </row>
    <row r="1205" spans="1:9" ht="12.75" customHeight="1" x14ac:dyDescent="0.2">
      <c r="A1205" s="94">
        <v>1196</v>
      </c>
      <c r="B1205" s="78"/>
      <c r="C1205" s="145" t="s">
        <v>3720</v>
      </c>
      <c r="D1205" s="146"/>
      <c r="E1205" s="147"/>
      <c r="F1205" s="124" t="s">
        <v>82</v>
      </c>
      <c r="G1205" s="121"/>
      <c r="H1205" s="136">
        <v>43.4</v>
      </c>
      <c r="I1205" s="136"/>
    </row>
    <row r="1206" spans="1:9" ht="12.75" customHeight="1" x14ac:dyDescent="0.2">
      <c r="A1206" s="94">
        <v>1197</v>
      </c>
      <c r="B1206" s="78"/>
      <c r="C1206" s="145" t="s">
        <v>3346</v>
      </c>
      <c r="D1206" s="146"/>
      <c r="E1206" s="147"/>
      <c r="F1206" s="124" t="s">
        <v>82</v>
      </c>
      <c r="G1206" s="121"/>
      <c r="H1206" s="136">
        <f>29.4-7.4-3.7-3.6</f>
        <v>14.700000000000001</v>
      </c>
      <c r="I1206" s="136"/>
    </row>
    <row r="1207" spans="1:9" ht="12.75" customHeight="1" x14ac:dyDescent="0.2">
      <c r="A1207" s="94">
        <v>1198</v>
      </c>
      <c r="B1207" s="78"/>
      <c r="C1207" s="145" t="s">
        <v>3347</v>
      </c>
      <c r="D1207" s="146"/>
      <c r="E1207" s="147"/>
      <c r="F1207" s="124" t="s">
        <v>82</v>
      </c>
      <c r="G1207" s="121"/>
      <c r="H1207" s="136">
        <v>3.6</v>
      </c>
      <c r="I1207" s="136"/>
    </row>
    <row r="1208" spans="1:9" ht="12.75" customHeight="1" x14ac:dyDescent="0.2">
      <c r="A1208" s="94">
        <v>1199</v>
      </c>
      <c r="B1208" s="78"/>
      <c r="C1208" s="145" t="s">
        <v>4556</v>
      </c>
      <c r="D1208" s="146"/>
      <c r="E1208" s="147"/>
      <c r="F1208" s="124" t="s">
        <v>82</v>
      </c>
      <c r="G1208" s="121"/>
      <c r="H1208" s="136">
        <f>17.7+17.4+17.4-17.4</f>
        <v>35.099999999999994</v>
      </c>
      <c r="I1208" s="136"/>
    </row>
    <row r="1209" spans="1:9" ht="12.75" customHeight="1" x14ac:dyDescent="0.2">
      <c r="A1209" s="94">
        <v>1200</v>
      </c>
      <c r="B1209" s="78" t="s">
        <v>741</v>
      </c>
      <c r="C1209" s="145" t="s">
        <v>4822</v>
      </c>
      <c r="D1209" s="146"/>
      <c r="E1209" s="147"/>
      <c r="F1209" s="124" t="s">
        <v>82</v>
      </c>
      <c r="G1209" s="121"/>
      <c r="H1209" s="136">
        <f>17.4-5.2-4.3</f>
        <v>7.8999999999999995</v>
      </c>
      <c r="I1209" s="136"/>
    </row>
    <row r="1210" spans="1:9" ht="12.75" customHeight="1" x14ac:dyDescent="0.2">
      <c r="A1210" s="94">
        <v>1201</v>
      </c>
      <c r="B1210" s="78" t="s">
        <v>741</v>
      </c>
      <c r="C1210" s="145" t="s">
        <v>3665</v>
      </c>
      <c r="D1210" s="146"/>
      <c r="E1210" s="147"/>
      <c r="F1210" s="124" t="s">
        <v>82</v>
      </c>
      <c r="G1210" s="121"/>
      <c r="H1210" s="136">
        <f>127.7-108-2.6</f>
        <v>17.100000000000001</v>
      </c>
      <c r="I1210" s="136"/>
    </row>
    <row r="1211" spans="1:9" ht="12.75" customHeight="1" x14ac:dyDescent="0.2">
      <c r="A1211" s="94">
        <v>1202</v>
      </c>
      <c r="B1211" s="78" t="s">
        <v>741</v>
      </c>
      <c r="C1211" s="145" t="s">
        <v>2910</v>
      </c>
      <c r="D1211" s="146"/>
      <c r="E1211" s="147"/>
      <c r="F1211" s="124" t="s">
        <v>82</v>
      </c>
      <c r="G1211" s="121"/>
      <c r="H1211" s="136">
        <f>45.4-11.6</f>
        <v>33.799999999999997</v>
      </c>
      <c r="I1211" s="136"/>
    </row>
    <row r="1212" spans="1:9" ht="12.75" customHeight="1" x14ac:dyDescent="0.2">
      <c r="A1212" s="94">
        <v>1203</v>
      </c>
      <c r="B1212" s="78"/>
      <c r="C1212" s="145" t="s">
        <v>3721</v>
      </c>
      <c r="D1212" s="146"/>
      <c r="E1212" s="147"/>
      <c r="F1212" s="124" t="s">
        <v>82</v>
      </c>
      <c r="G1212" s="121"/>
      <c r="H1212" s="136">
        <v>57.4</v>
      </c>
      <c r="I1212" s="136"/>
    </row>
    <row r="1213" spans="1:9" ht="28.5" customHeight="1" x14ac:dyDescent="0.2">
      <c r="A1213" s="94">
        <v>1204</v>
      </c>
      <c r="B1213" s="78"/>
      <c r="C1213" s="145" t="s">
        <v>4085</v>
      </c>
      <c r="D1213" s="146"/>
      <c r="E1213" s="147"/>
      <c r="F1213" s="124" t="s">
        <v>82</v>
      </c>
      <c r="G1213" s="121"/>
      <c r="H1213" s="136">
        <f>86.4-1.4-3.6-3.6-9.5-1.8-3.7</f>
        <v>62.800000000000011</v>
      </c>
      <c r="I1213" s="136"/>
    </row>
    <row r="1214" spans="1:9" ht="12.75" customHeight="1" x14ac:dyDescent="0.2">
      <c r="A1214" s="94">
        <v>1205</v>
      </c>
      <c r="B1214" s="78"/>
      <c r="C1214" s="145" t="s">
        <v>4088</v>
      </c>
      <c r="D1214" s="146"/>
      <c r="E1214" s="147"/>
      <c r="F1214" s="124" t="s">
        <v>82</v>
      </c>
      <c r="G1214" s="121"/>
      <c r="H1214" s="136">
        <f>27.7-7.3-3.6-3.6</f>
        <v>13.199999999999998</v>
      </c>
      <c r="I1214" s="136"/>
    </row>
    <row r="1215" spans="1:9" ht="12.75" customHeight="1" x14ac:dyDescent="0.2">
      <c r="A1215" s="94">
        <v>1206</v>
      </c>
      <c r="B1215" s="78" t="s">
        <v>741</v>
      </c>
      <c r="C1215" s="145" t="s">
        <v>3105</v>
      </c>
      <c r="D1215" s="146"/>
      <c r="E1215" s="147"/>
      <c r="F1215" s="124" t="s">
        <v>82</v>
      </c>
      <c r="G1215" s="121"/>
      <c r="H1215" s="136">
        <f>51-12.3</f>
        <v>38.700000000000003</v>
      </c>
      <c r="I1215" s="136"/>
    </row>
    <row r="1216" spans="1:9" ht="12.75" customHeight="1" x14ac:dyDescent="0.2">
      <c r="A1216" s="94">
        <v>1207</v>
      </c>
      <c r="B1216" s="78" t="s">
        <v>3540</v>
      </c>
      <c r="C1216" s="145" t="s">
        <v>4535</v>
      </c>
      <c r="D1216" s="146"/>
      <c r="E1216" s="147"/>
      <c r="F1216" s="124" t="s">
        <v>82</v>
      </c>
      <c r="G1216" s="121"/>
      <c r="H1216" s="136">
        <v>9.6999999999999993</v>
      </c>
      <c r="I1216" s="136"/>
    </row>
    <row r="1217" spans="1:9" ht="12.75" customHeight="1" x14ac:dyDescent="0.2">
      <c r="A1217" s="94">
        <v>1208</v>
      </c>
      <c r="B1217" s="78"/>
      <c r="C1217" s="157" t="s">
        <v>1785</v>
      </c>
      <c r="D1217" s="157"/>
      <c r="E1217" s="157"/>
      <c r="F1217" s="124" t="s">
        <v>83</v>
      </c>
      <c r="G1217" s="121"/>
      <c r="H1217" s="136">
        <f>20.8-1.4-1.4-1.4-0.4-1-1.3-0.1-0.1-1.4-1.4-1.4</f>
        <v>9.5000000000000053</v>
      </c>
      <c r="I1217" s="136"/>
    </row>
    <row r="1218" spans="1:9" ht="12.75" customHeight="1" x14ac:dyDescent="0.2">
      <c r="A1218" s="94">
        <v>1209</v>
      </c>
      <c r="B1218" s="78"/>
      <c r="C1218" s="157" t="s">
        <v>213</v>
      </c>
      <c r="D1218" s="157"/>
      <c r="E1218" s="157"/>
      <c r="F1218" s="124" t="s">
        <v>83</v>
      </c>
      <c r="G1218" s="121"/>
      <c r="H1218" s="136"/>
      <c r="I1218" s="136"/>
    </row>
    <row r="1219" spans="1:9" ht="12.75" customHeight="1" x14ac:dyDescent="0.2">
      <c r="A1219" s="94">
        <v>1210</v>
      </c>
      <c r="B1219" s="78"/>
      <c r="C1219" s="157" t="s">
        <v>198</v>
      </c>
      <c r="D1219" s="157"/>
      <c r="E1219" s="157"/>
      <c r="F1219" s="124" t="s">
        <v>197</v>
      </c>
      <c r="G1219" s="121"/>
      <c r="H1219" s="136">
        <v>1.8</v>
      </c>
      <c r="I1219" s="136"/>
    </row>
    <row r="1220" spans="1:9" ht="12.75" customHeight="1" x14ac:dyDescent="0.2">
      <c r="A1220" s="94">
        <v>1211</v>
      </c>
      <c r="B1220" s="78"/>
      <c r="C1220" s="157" t="s">
        <v>3061</v>
      </c>
      <c r="D1220" s="157"/>
      <c r="E1220" s="157"/>
      <c r="F1220" s="124" t="s">
        <v>83</v>
      </c>
      <c r="G1220" s="121"/>
      <c r="H1220" s="136">
        <v>47.2</v>
      </c>
      <c r="I1220" s="136"/>
    </row>
    <row r="1221" spans="1:9" ht="12.75" customHeight="1" x14ac:dyDescent="0.2">
      <c r="A1221" s="94">
        <v>1212</v>
      </c>
      <c r="B1221" s="78" t="s">
        <v>2224</v>
      </c>
      <c r="C1221" s="157" t="s">
        <v>4316</v>
      </c>
      <c r="D1221" s="157"/>
      <c r="E1221" s="157"/>
      <c r="F1221" s="124" t="s">
        <v>83</v>
      </c>
      <c r="G1221" s="121"/>
      <c r="H1221" s="136">
        <f>199-30-46.2+203-32-49.5-1.4+94.9-1.3-39.3-8.9-7.5-7.3-0.1-24-55-16-30-62-2.3-0.5-0.6-1.3</f>
        <v>81.699999999999989</v>
      </c>
      <c r="I1221" s="136"/>
    </row>
    <row r="1222" spans="1:9" ht="12.75" customHeight="1" x14ac:dyDescent="0.2">
      <c r="A1222" s="94">
        <v>1213</v>
      </c>
      <c r="B1222" s="78" t="s">
        <v>2570</v>
      </c>
      <c r="C1222" s="157" t="s">
        <v>5052</v>
      </c>
      <c r="D1222" s="157"/>
      <c r="E1222" s="157"/>
      <c r="F1222" s="124" t="s">
        <v>83</v>
      </c>
      <c r="G1222" s="121"/>
      <c r="H1222" s="136">
        <f>22.2-1.2-0.9-3.7+1.6-1.3-0.9+0.1-0.8-3.6-1-7.5</f>
        <v>3.0000000000000018</v>
      </c>
      <c r="I1222" s="136"/>
    </row>
    <row r="1223" spans="1:9" ht="12.75" customHeight="1" x14ac:dyDescent="0.2">
      <c r="A1223" s="94">
        <v>1214</v>
      </c>
      <c r="B1223" s="78"/>
      <c r="C1223" s="157" t="s">
        <v>3470</v>
      </c>
      <c r="D1223" s="157"/>
      <c r="E1223" s="157"/>
      <c r="F1223" s="124" t="s">
        <v>1269</v>
      </c>
      <c r="G1223" s="121"/>
      <c r="H1223" s="136">
        <f>11.4-0.5</f>
        <v>10.9</v>
      </c>
      <c r="I1223" s="136"/>
    </row>
    <row r="1224" spans="1:9" ht="15.75" customHeight="1" x14ac:dyDescent="0.2">
      <c r="A1224" s="94">
        <v>1215</v>
      </c>
      <c r="B1224" s="78"/>
      <c r="C1224" s="157" t="s">
        <v>2790</v>
      </c>
      <c r="D1224" s="157"/>
      <c r="E1224" s="157"/>
      <c r="F1224" s="124" t="s">
        <v>110</v>
      </c>
      <c r="G1224" s="121"/>
      <c r="H1224" s="136">
        <f>1232-0.5-200-1.6-19+17-1.5-4.7-1.6-1.6-3.4</f>
        <v>1015.1</v>
      </c>
      <c r="I1224" s="136"/>
    </row>
    <row r="1225" spans="1:9" ht="12.75" customHeight="1" x14ac:dyDescent="0.2">
      <c r="A1225" s="94">
        <v>1216</v>
      </c>
      <c r="B1225" s="78"/>
      <c r="C1225" s="157" t="s">
        <v>3168</v>
      </c>
      <c r="D1225" s="157"/>
      <c r="E1225" s="157"/>
      <c r="F1225" s="124" t="s">
        <v>197</v>
      </c>
      <c r="G1225" s="121"/>
      <c r="H1225" s="136">
        <f>139-0.9-1-2.6-70-3.5-21-1.3-1.5</f>
        <v>37.200000000000003</v>
      </c>
      <c r="I1225" s="136"/>
    </row>
    <row r="1226" spans="1:9" ht="12.75" customHeight="1" x14ac:dyDescent="0.2">
      <c r="A1226" s="94">
        <v>1217</v>
      </c>
      <c r="B1226" s="78"/>
      <c r="C1226" s="157" t="s">
        <v>865</v>
      </c>
      <c r="D1226" s="157"/>
      <c r="E1226" s="157"/>
      <c r="F1226" s="124" t="s">
        <v>485</v>
      </c>
      <c r="G1226" s="121"/>
      <c r="H1226" s="136">
        <f>250.3-1.7-80-0.1-0.3-3.5-1.6-17.3-15.6-1.8-41.8-0.5-1.6-3.6</f>
        <v>80.90000000000002</v>
      </c>
      <c r="I1226" s="136"/>
    </row>
    <row r="1227" spans="1:9" ht="12.75" customHeight="1" x14ac:dyDescent="0.2">
      <c r="A1227" s="94">
        <v>1218</v>
      </c>
      <c r="B1227" s="78"/>
      <c r="C1227" s="157" t="s">
        <v>3296</v>
      </c>
      <c r="D1227" s="157"/>
      <c r="E1227" s="157"/>
      <c r="F1227" s="124" t="s">
        <v>83</v>
      </c>
      <c r="G1227" s="121"/>
      <c r="H1227" s="136">
        <f>94.8-0.5-1-0.6</f>
        <v>92.7</v>
      </c>
      <c r="I1227" s="136"/>
    </row>
    <row r="1228" spans="1:9" ht="12.75" customHeight="1" x14ac:dyDescent="0.2">
      <c r="A1228" s="94">
        <v>1219</v>
      </c>
      <c r="B1228" s="78"/>
      <c r="C1228" s="157" t="s">
        <v>2131</v>
      </c>
      <c r="D1228" s="157"/>
      <c r="E1228" s="157"/>
      <c r="F1228" s="124" t="s">
        <v>1269</v>
      </c>
      <c r="G1228" s="121"/>
      <c r="H1228" s="136">
        <v>169.2</v>
      </c>
      <c r="I1228" s="136"/>
    </row>
    <row r="1229" spans="1:9" ht="12.75" customHeight="1" x14ac:dyDescent="0.2">
      <c r="A1229" s="94">
        <v>1220</v>
      </c>
      <c r="B1229" s="78" t="s">
        <v>2570</v>
      </c>
      <c r="C1229" s="157" t="s">
        <v>4247</v>
      </c>
      <c r="D1229" s="157"/>
      <c r="E1229" s="157"/>
      <c r="F1229" s="124" t="s">
        <v>83</v>
      </c>
      <c r="G1229" s="121"/>
      <c r="H1229" s="136">
        <f>24.8-2.5-1.1-2.5-1.5-4.8-2.7-2.4</f>
        <v>7.2999999999999989</v>
      </c>
      <c r="I1229" s="136"/>
    </row>
    <row r="1230" spans="1:9" ht="12.75" customHeight="1" x14ac:dyDescent="0.2">
      <c r="A1230" s="94">
        <v>1221</v>
      </c>
      <c r="B1230" s="78"/>
      <c r="C1230" s="157" t="s">
        <v>3597</v>
      </c>
      <c r="D1230" s="157"/>
      <c r="E1230" s="157"/>
      <c r="F1230" s="124" t="s">
        <v>83</v>
      </c>
      <c r="G1230" s="121"/>
      <c r="H1230" s="136">
        <f>24.3-0.6-5.1-2.7-3.3-1.7-1.6</f>
        <v>9.3000000000000025</v>
      </c>
      <c r="I1230" s="136"/>
    </row>
    <row r="1231" spans="1:9" ht="12.75" customHeight="1" x14ac:dyDescent="0.2">
      <c r="A1231" s="94">
        <v>1222</v>
      </c>
      <c r="B1231" s="78"/>
      <c r="C1231" s="157" t="s">
        <v>3396</v>
      </c>
      <c r="D1231" s="157"/>
      <c r="E1231" s="157"/>
      <c r="F1231" s="124" t="s">
        <v>197</v>
      </c>
      <c r="G1231" s="121"/>
      <c r="H1231" s="136">
        <f>37.2-16.5-1.4-5.5-3.6-1.9</f>
        <v>8.3000000000000043</v>
      </c>
      <c r="I1231" s="136"/>
    </row>
    <row r="1232" spans="1:9" ht="12.75" customHeight="1" x14ac:dyDescent="0.2">
      <c r="A1232" s="94">
        <v>1223</v>
      </c>
      <c r="B1232" s="78"/>
      <c r="C1232" s="157" t="s">
        <v>2745</v>
      </c>
      <c r="D1232" s="157"/>
      <c r="E1232" s="157"/>
      <c r="F1232" s="124" t="s">
        <v>1269</v>
      </c>
      <c r="G1232" s="121"/>
      <c r="H1232" s="136">
        <f>80.5-3</f>
        <v>77.5</v>
      </c>
      <c r="I1232" s="136"/>
    </row>
    <row r="1233" spans="1:9" ht="12.75" customHeight="1" x14ac:dyDescent="0.2">
      <c r="A1233" s="94">
        <v>1224</v>
      </c>
      <c r="B1233" s="78"/>
      <c r="C1233" s="157" t="s">
        <v>4481</v>
      </c>
      <c r="D1233" s="157"/>
      <c r="E1233" s="157"/>
      <c r="F1233" s="124" t="s">
        <v>83</v>
      </c>
      <c r="G1233" s="121"/>
      <c r="H1233" s="136">
        <f>168.8-4.8-2-5.9-8.5-9.9-12-5.5-17.6-1.9+4.3-8-20-2-5.9</f>
        <v>69.09999999999998</v>
      </c>
      <c r="I1233" s="136"/>
    </row>
    <row r="1234" spans="1:9" ht="12.75" customHeight="1" x14ac:dyDescent="0.2">
      <c r="A1234" s="94">
        <v>1225</v>
      </c>
      <c r="B1234" s="78" t="s">
        <v>3666</v>
      </c>
      <c r="C1234" s="157" t="s">
        <v>4595</v>
      </c>
      <c r="D1234" s="157"/>
      <c r="E1234" s="157"/>
      <c r="F1234" s="124" t="s">
        <v>83</v>
      </c>
      <c r="G1234" s="121"/>
      <c r="H1234" s="136">
        <v>205</v>
      </c>
      <c r="I1234" s="136"/>
    </row>
    <row r="1235" spans="1:9" ht="12.75" customHeight="1" x14ac:dyDescent="0.2">
      <c r="A1235" s="94">
        <v>1226</v>
      </c>
      <c r="B1235" s="78"/>
      <c r="C1235" s="157" t="s">
        <v>3049</v>
      </c>
      <c r="D1235" s="157"/>
      <c r="E1235" s="157"/>
      <c r="F1235" s="124" t="s">
        <v>81</v>
      </c>
      <c r="G1235" s="121"/>
      <c r="H1235" s="136">
        <f>23-7.7</f>
        <v>15.3</v>
      </c>
      <c r="I1235" s="136"/>
    </row>
    <row r="1236" spans="1:9" ht="12.75" customHeight="1" x14ac:dyDescent="0.2">
      <c r="A1236" s="94">
        <v>1227</v>
      </c>
      <c r="B1236" s="78"/>
      <c r="C1236" s="157" t="s">
        <v>3749</v>
      </c>
      <c r="D1236" s="157"/>
      <c r="E1236" s="157"/>
      <c r="F1236" s="124" t="s">
        <v>81</v>
      </c>
      <c r="G1236" s="121"/>
      <c r="H1236" s="136">
        <f>171.5+5.7-6.2-8.3</f>
        <v>162.69999999999999</v>
      </c>
      <c r="I1236" s="136"/>
    </row>
    <row r="1237" spans="1:9" ht="12.75" customHeight="1" x14ac:dyDescent="0.2">
      <c r="A1237" s="94">
        <v>1228</v>
      </c>
      <c r="B1237" s="78"/>
      <c r="C1237" s="157" t="s">
        <v>147</v>
      </c>
      <c r="D1237" s="157"/>
      <c r="E1237" s="157"/>
      <c r="F1237" s="124" t="s">
        <v>81</v>
      </c>
      <c r="G1237" s="121"/>
      <c r="H1237" s="136"/>
      <c r="I1237" s="136"/>
    </row>
    <row r="1238" spans="1:9" ht="12.75" customHeight="1" x14ac:dyDescent="0.2">
      <c r="A1238" s="94">
        <v>1229</v>
      </c>
      <c r="B1238" s="78"/>
      <c r="C1238" s="157" t="s">
        <v>1268</v>
      </c>
      <c r="D1238" s="157"/>
      <c r="E1238" s="157"/>
      <c r="F1238" s="124" t="s">
        <v>1269</v>
      </c>
      <c r="G1238" s="121"/>
      <c r="H1238" s="136">
        <f>229.6-7.2-14.5-21.8</f>
        <v>186.1</v>
      </c>
      <c r="I1238" s="136"/>
    </row>
    <row r="1239" spans="1:9" ht="12.75" customHeight="1" x14ac:dyDescent="0.2">
      <c r="A1239" s="94">
        <v>1230</v>
      </c>
      <c r="B1239" s="78"/>
      <c r="C1239" s="157" t="s">
        <v>3736</v>
      </c>
      <c r="D1239" s="157"/>
      <c r="E1239" s="157"/>
      <c r="F1239" s="124" t="s">
        <v>81</v>
      </c>
      <c r="G1239" s="121"/>
      <c r="H1239" s="136">
        <f>213-0.3-1.3</f>
        <v>211.39999999999998</v>
      </c>
      <c r="I1239" s="136"/>
    </row>
    <row r="1240" spans="1:9" ht="12.75" customHeight="1" x14ac:dyDescent="0.2">
      <c r="A1240" s="94">
        <v>1231</v>
      </c>
      <c r="B1240" s="78"/>
      <c r="C1240" s="157" t="s">
        <v>523</v>
      </c>
      <c r="D1240" s="157"/>
      <c r="E1240" s="157"/>
      <c r="F1240" s="124" t="s">
        <v>521</v>
      </c>
      <c r="G1240" s="121"/>
      <c r="H1240" s="136">
        <v>57</v>
      </c>
      <c r="I1240" s="136"/>
    </row>
    <row r="1241" spans="1:9" ht="12.75" customHeight="1" x14ac:dyDescent="0.2">
      <c r="A1241" s="94">
        <v>1232</v>
      </c>
      <c r="B1241" s="78"/>
      <c r="C1241" s="157" t="s">
        <v>1728</v>
      </c>
      <c r="D1241" s="157"/>
      <c r="E1241" s="157"/>
      <c r="F1241" s="124" t="s">
        <v>485</v>
      </c>
      <c r="G1241" s="121"/>
      <c r="H1241" s="136">
        <f>18.7-1-13</f>
        <v>4.6999999999999993</v>
      </c>
      <c r="I1241" s="136"/>
    </row>
    <row r="1242" spans="1:9" ht="12.75" customHeight="1" x14ac:dyDescent="0.2">
      <c r="A1242" s="94">
        <v>1233</v>
      </c>
      <c r="B1242" s="78" t="s">
        <v>741</v>
      </c>
      <c r="C1242" s="157" t="s">
        <v>2721</v>
      </c>
      <c r="D1242" s="157"/>
      <c r="E1242" s="157"/>
      <c r="F1242" s="124" t="s">
        <v>83</v>
      </c>
      <c r="G1242" s="121"/>
      <c r="H1242" s="136">
        <f>11.5-1.8</f>
        <v>9.6999999999999993</v>
      </c>
      <c r="I1242" s="136"/>
    </row>
    <row r="1243" spans="1:9" ht="12.75" customHeight="1" x14ac:dyDescent="0.2">
      <c r="A1243" s="94">
        <v>1234</v>
      </c>
      <c r="B1243" s="78"/>
      <c r="C1243" s="145" t="s">
        <v>2124</v>
      </c>
      <c r="D1243" s="146"/>
      <c r="E1243" s="147"/>
      <c r="F1243" s="121" t="s">
        <v>18</v>
      </c>
      <c r="G1243" s="122"/>
      <c r="H1243" s="155">
        <v>2.1</v>
      </c>
      <c r="I1243" s="156"/>
    </row>
    <row r="1244" spans="1:9" ht="12.75" customHeight="1" x14ac:dyDescent="0.2">
      <c r="A1244" s="94">
        <v>1235</v>
      </c>
      <c r="B1244" s="78"/>
      <c r="C1244" s="145" t="s">
        <v>929</v>
      </c>
      <c r="D1244" s="146"/>
      <c r="E1244" s="147"/>
      <c r="F1244" s="121" t="s">
        <v>81</v>
      </c>
      <c r="G1244" s="122"/>
      <c r="H1244" s="155">
        <v>50</v>
      </c>
      <c r="I1244" s="156"/>
    </row>
    <row r="1245" spans="1:9" ht="12.75" customHeight="1" x14ac:dyDescent="0.2">
      <c r="A1245" s="94">
        <v>1236</v>
      </c>
      <c r="B1245" s="78"/>
      <c r="C1245" s="145" t="s">
        <v>928</v>
      </c>
      <c r="D1245" s="146"/>
      <c r="E1245" s="147"/>
      <c r="F1245" s="121" t="s">
        <v>81</v>
      </c>
      <c r="G1245" s="122"/>
      <c r="H1245" s="155">
        <f>33.7-3.7-5.6</f>
        <v>24.400000000000006</v>
      </c>
      <c r="I1245" s="156"/>
    </row>
    <row r="1246" spans="1:9" ht="12.75" customHeight="1" x14ac:dyDescent="0.2">
      <c r="A1246" s="94">
        <v>1237</v>
      </c>
      <c r="B1246" s="78"/>
      <c r="C1246" s="157" t="s">
        <v>379</v>
      </c>
      <c r="D1246" s="157"/>
      <c r="E1246" s="157"/>
      <c r="F1246" s="124" t="s">
        <v>9</v>
      </c>
      <c r="G1246" s="121"/>
      <c r="H1246" s="136">
        <v>4.4000000000000004</v>
      </c>
      <c r="I1246" s="136"/>
    </row>
    <row r="1247" spans="1:9" ht="12.75" customHeight="1" x14ac:dyDescent="0.2">
      <c r="A1247" s="94">
        <v>1238</v>
      </c>
      <c r="B1247" s="78" t="s">
        <v>3540</v>
      </c>
      <c r="C1247" s="145" t="s">
        <v>4907</v>
      </c>
      <c r="D1247" s="146"/>
      <c r="E1247" s="147"/>
      <c r="F1247" s="121" t="s">
        <v>90</v>
      </c>
      <c r="G1247" s="122"/>
      <c r="H1247" s="155">
        <v>5.3</v>
      </c>
      <c r="I1247" s="156"/>
    </row>
    <row r="1248" spans="1:9" ht="12.75" customHeight="1" x14ac:dyDescent="0.2">
      <c r="A1248" s="94">
        <v>1239</v>
      </c>
      <c r="B1248" s="78" t="s">
        <v>3540</v>
      </c>
      <c r="C1248" s="145" t="s">
        <v>3560</v>
      </c>
      <c r="D1248" s="146"/>
      <c r="E1248" s="147"/>
      <c r="F1248" s="121" t="s">
        <v>90</v>
      </c>
      <c r="G1248" s="122"/>
      <c r="H1248" s="155">
        <v>2</v>
      </c>
      <c r="I1248" s="156"/>
    </row>
    <row r="1249" spans="1:9" ht="12.75" customHeight="1" x14ac:dyDescent="0.2">
      <c r="A1249" s="94">
        <v>1240</v>
      </c>
      <c r="B1249" s="78" t="s">
        <v>741</v>
      </c>
      <c r="C1249" s="157" t="s">
        <v>3604</v>
      </c>
      <c r="D1249" s="157"/>
      <c r="E1249" s="157"/>
      <c r="F1249" s="124" t="s">
        <v>83</v>
      </c>
      <c r="G1249" s="121"/>
      <c r="H1249" s="136">
        <f>50-2.2-12.5</f>
        <v>35.299999999999997</v>
      </c>
      <c r="I1249" s="136"/>
    </row>
    <row r="1250" spans="1:9" ht="12.75" customHeight="1" x14ac:dyDescent="0.2">
      <c r="A1250" s="94">
        <v>1241</v>
      </c>
      <c r="B1250" s="78"/>
      <c r="C1250" s="157" t="s">
        <v>1558</v>
      </c>
      <c r="D1250" s="157"/>
      <c r="E1250" s="157"/>
      <c r="F1250" s="124" t="s">
        <v>83</v>
      </c>
      <c r="G1250" s="121"/>
      <c r="H1250" s="136">
        <f>46.5-22.5-6</f>
        <v>18</v>
      </c>
      <c r="I1250" s="136"/>
    </row>
    <row r="1251" spans="1:9" ht="30.75" customHeight="1" x14ac:dyDescent="0.2">
      <c r="A1251" s="94">
        <v>1242</v>
      </c>
      <c r="B1251" s="78" t="s">
        <v>741</v>
      </c>
      <c r="C1251" s="145" t="s">
        <v>4698</v>
      </c>
      <c r="D1251" s="146"/>
      <c r="E1251" s="147"/>
      <c r="F1251" s="121" t="s">
        <v>90</v>
      </c>
      <c r="G1251" s="122"/>
      <c r="H1251" s="155">
        <v>83</v>
      </c>
      <c r="I1251" s="156"/>
    </row>
    <row r="1252" spans="1:9" ht="12.75" customHeight="1" x14ac:dyDescent="0.2">
      <c r="A1252" s="94">
        <v>1243</v>
      </c>
      <c r="B1252" s="78"/>
      <c r="C1252" s="157" t="s">
        <v>5143</v>
      </c>
      <c r="D1252" s="157"/>
      <c r="E1252" s="157"/>
      <c r="F1252" s="124" t="s">
        <v>83</v>
      </c>
      <c r="G1252" s="121"/>
      <c r="H1252" s="136">
        <f>67.8-4-6.4-9.4-5.7</f>
        <v>42.3</v>
      </c>
      <c r="I1252" s="136"/>
    </row>
    <row r="1253" spans="1:9" ht="12.75" customHeight="1" x14ac:dyDescent="0.2">
      <c r="A1253" s="94">
        <v>1244</v>
      </c>
      <c r="B1253" s="78"/>
      <c r="C1253" s="157" t="s">
        <v>4266</v>
      </c>
      <c r="D1253" s="157"/>
      <c r="E1253" s="157"/>
      <c r="F1253" s="124" t="s">
        <v>81</v>
      </c>
      <c r="G1253" s="121"/>
      <c r="H1253" s="136">
        <f>35.7-2.2-6.4</f>
        <v>27.1</v>
      </c>
      <c r="I1253" s="136"/>
    </row>
    <row r="1254" spans="1:9" ht="12.75" customHeight="1" x14ac:dyDescent="0.2">
      <c r="A1254" s="94">
        <v>1245</v>
      </c>
      <c r="B1254" s="78"/>
      <c r="C1254" s="157" t="s">
        <v>2045</v>
      </c>
      <c r="D1254" s="157"/>
      <c r="E1254" s="157"/>
      <c r="F1254" s="124" t="s">
        <v>81</v>
      </c>
      <c r="G1254" s="121"/>
      <c r="H1254" s="136">
        <v>15.3</v>
      </c>
      <c r="I1254" s="136"/>
    </row>
    <row r="1255" spans="1:9" ht="12.75" customHeight="1" x14ac:dyDescent="0.2">
      <c r="A1255" s="94">
        <v>1246</v>
      </c>
      <c r="B1255" s="78"/>
      <c r="C1255" s="157" t="s">
        <v>1815</v>
      </c>
      <c r="D1255" s="157"/>
      <c r="E1255" s="157"/>
      <c r="F1255" s="124" t="s">
        <v>81</v>
      </c>
      <c r="G1255" s="121"/>
      <c r="H1255" s="136">
        <f>71.7-7.3-14.3-7.3-14.1-14.4</f>
        <v>14.30000000000001</v>
      </c>
      <c r="I1255" s="136"/>
    </row>
    <row r="1256" spans="1:9" ht="12.75" customHeight="1" x14ac:dyDescent="0.2">
      <c r="A1256" s="94">
        <v>1247</v>
      </c>
      <c r="B1256" s="78"/>
      <c r="C1256" s="157" t="s">
        <v>2682</v>
      </c>
      <c r="D1256" s="157"/>
      <c r="E1256" s="157"/>
      <c r="F1256" s="124" t="s">
        <v>81</v>
      </c>
      <c r="G1256" s="121"/>
      <c r="H1256" s="136">
        <f>80.2-7.8-19</f>
        <v>53.400000000000006</v>
      </c>
      <c r="I1256" s="136"/>
    </row>
    <row r="1257" spans="1:9" ht="12.75" customHeight="1" x14ac:dyDescent="0.2">
      <c r="A1257" s="94">
        <v>1248</v>
      </c>
      <c r="B1257" s="78" t="s">
        <v>3540</v>
      </c>
      <c r="C1257" s="157" t="s">
        <v>4340</v>
      </c>
      <c r="D1257" s="157"/>
      <c r="E1257" s="157"/>
      <c r="F1257" s="124" t="s">
        <v>82</v>
      </c>
      <c r="G1257" s="121"/>
      <c r="H1257" s="136">
        <v>2.2999999999999998</v>
      </c>
      <c r="I1257" s="136"/>
    </row>
    <row r="1258" spans="1:9" ht="12.75" customHeight="1" x14ac:dyDescent="0.2">
      <c r="A1258" s="94">
        <v>1249</v>
      </c>
      <c r="B1258" s="78"/>
      <c r="C1258" s="157" t="s">
        <v>2502</v>
      </c>
      <c r="D1258" s="157"/>
      <c r="E1258" s="157"/>
      <c r="F1258" s="124" t="s">
        <v>82</v>
      </c>
      <c r="G1258" s="121"/>
      <c r="H1258" s="136">
        <f>0.5-0.3-0.1</f>
        <v>0.1</v>
      </c>
      <c r="I1258" s="136"/>
    </row>
    <row r="1259" spans="1:9" ht="12.75" customHeight="1" x14ac:dyDescent="0.2">
      <c r="A1259" s="94">
        <v>1250</v>
      </c>
      <c r="B1259" s="78" t="s">
        <v>3540</v>
      </c>
      <c r="C1259" s="157" t="s">
        <v>4341</v>
      </c>
      <c r="D1259" s="157"/>
      <c r="E1259" s="157"/>
      <c r="F1259" s="124" t="s">
        <v>82</v>
      </c>
      <c r="G1259" s="121"/>
      <c r="H1259" s="136">
        <f>1.4-0.3</f>
        <v>1.0999999999999999</v>
      </c>
      <c r="I1259" s="136"/>
    </row>
    <row r="1260" spans="1:9" ht="12.75" customHeight="1" x14ac:dyDescent="0.2">
      <c r="A1260" s="94">
        <v>1251</v>
      </c>
      <c r="B1260" s="78"/>
      <c r="C1260" s="157" t="s">
        <v>3194</v>
      </c>
      <c r="D1260" s="157"/>
      <c r="E1260" s="157"/>
      <c r="F1260" s="124" t="s">
        <v>82</v>
      </c>
      <c r="G1260" s="121"/>
      <c r="H1260" s="136">
        <f>0.8-0.4+2.2-1</f>
        <v>1.6</v>
      </c>
      <c r="I1260" s="136"/>
    </row>
    <row r="1261" spans="1:9" ht="12.75" customHeight="1" x14ac:dyDescent="0.2">
      <c r="A1261" s="94">
        <v>1252</v>
      </c>
      <c r="B1261" s="78"/>
      <c r="C1261" s="157" t="s">
        <v>4626</v>
      </c>
      <c r="D1261" s="157"/>
      <c r="E1261" s="157"/>
      <c r="F1261" s="124" t="s">
        <v>82</v>
      </c>
      <c r="G1261" s="121"/>
      <c r="H1261" s="136">
        <f>49.1-2.6-1.2-0.4-0.4-2.1-0.6</f>
        <v>41.8</v>
      </c>
      <c r="I1261" s="136"/>
    </row>
    <row r="1262" spans="1:9" ht="15.75" customHeight="1" x14ac:dyDescent="0.2">
      <c r="A1262" s="94">
        <v>1253</v>
      </c>
      <c r="B1262" s="78"/>
      <c r="C1262" s="157" t="s">
        <v>933</v>
      </c>
      <c r="D1262" s="157"/>
      <c r="E1262" s="157"/>
      <c r="F1262" s="124" t="s">
        <v>82</v>
      </c>
      <c r="G1262" s="121"/>
      <c r="H1262" s="136"/>
      <c r="I1262" s="136"/>
    </row>
    <row r="1263" spans="1:9" ht="12.75" customHeight="1" x14ac:dyDescent="0.2">
      <c r="A1263" s="94">
        <v>1254</v>
      </c>
      <c r="B1263" s="78"/>
      <c r="C1263" s="157" t="s">
        <v>5147</v>
      </c>
      <c r="D1263" s="157"/>
      <c r="E1263" s="157"/>
      <c r="F1263" s="124" t="s">
        <v>82</v>
      </c>
      <c r="G1263" s="121"/>
      <c r="H1263" s="136">
        <f>160-1-1.1</f>
        <v>157.9</v>
      </c>
      <c r="I1263" s="136"/>
    </row>
    <row r="1264" spans="1:9" x14ac:dyDescent="0.2">
      <c r="A1264" s="94">
        <v>1255</v>
      </c>
      <c r="B1264" s="78"/>
      <c r="C1264" s="157" t="s">
        <v>5229</v>
      </c>
      <c r="D1264" s="157"/>
      <c r="E1264" s="157"/>
      <c r="F1264" s="124" t="s">
        <v>82</v>
      </c>
      <c r="G1264" s="121"/>
      <c r="H1264" s="136">
        <f>8.5-0.8+3.8-0.3-0.8-0.2+21.6-1.6-19.3</f>
        <v>10.899999999999999</v>
      </c>
      <c r="I1264" s="136"/>
    </row>
    <row r="1265" spans="1:9" ht="12.75" customHeight="1" x14ac:dyDescent="0.2">
      <c r="A1265" s="94">
        <v>1256</v>
      </c>
      <c r="B1265" s="78"/>
      <c r="C1265" s="157" t="s">
        <v>3294</v>
      </c>
      <c r="D1265" s="157"/>
      <c r="E1265" s="157"/>
      <c r="F1265" s="124" t="s">
        <v>82</v>
      </c>
      <c r="G1265" s="121"/>
      <c r="H1265" s="136">
        <f>3-0.1-0.5</f>
        <v>2.4</v>
      </c>
      <c r="I1265" s="136"/>
    </row>
    <row r="1266" spans="1:9" ht="12.75" customHeight="1" x14ac:dyDescent="0.2">
      <c r="A1266" s="94">
        <v>1257</v>
      </c>
      <c r="B1266" s="78"/>
      <c r="C1266" s="157" t="s">
        <v>4563</v>
      </c>
      <c r="D1266" s="157"/>
      <c r="E1266" s="157"/>
      <c r="F1266" s="124" t="s">
        <v>82</v>
      </c>
      <c r="G1266" s="121"/>
      <c r="H1266" s="136">
        <f>1.8+11.4-1.8-1.3+14.8-4.1-0.6-9.5+10.6+33-0.3</f>
        <v>54</v>
      </c>
      <c r="I1266" s="136"/>
    </row>
    <row r="1267" spans="1:9" ht="12.75" customHeight="1" x14ac:dyDescent="0.2">
      <c r="A1267" s="94">
        <v>1258</v>
      </c>
      <c r="B1267" s="78" t="s">
        <v>1734</v>
      </c>
      <c r="C1267" s="157" t="s">
        <v>3824</v>
      </c>
      <c r="D1267" s="157"/>
      <c r="E1267" s="157"/>
      <c r="F1267" s="124" t="s">
        <v>82</v>
      </c>
      <c r="G1267" s="121"/>
      <c r="H1267" s="136">
        <v>14.6</v>
      </c>
      <c r="I1267" s="136"/>
    </row>
    <row r="1268" spans="1:9" ht="12.75" customHeight="1" x14ac:dyDescent="0.2">
      <c r="A1268" s="94">
        <v>1259</v>
      </c>
      <c r="B1268" s="78"/>
      <c r="C1268" s="157" t="s">
        <v>4089</v>
      </c>
      <c r="D1268" s="157"/>
      <c r="E1268" s="157"/>
      <c r="F1268" s="124" t="s">
        <v>82</v>
      </c>
      <c r="G1268" s="121"/>
      <c r="H1268" s="136">
        <f>56.5-5.7-1.1</f>
        <v>49.699999999999996</v>
      </c>
      <c r="I1268" s="136"/>
    </row>
    <row r="1269" spans="1:9" ht="15.75" customHeight="1" x14ac:dyDescent="0.2">
      <c r="A1269" s="94">
        <v>1260</v>
      </c>
      <c r="B1269" s="78"/>
      <c r="C1269" s="157" t="s">
        <v>1525</v>
      </c>
      <c r="D1269" s="157"/>
      <c r="E1269" s="157"/>
      <c r="F1269" s="124" t="s">
        <v>82</v>
      </c>
      <c r="G1269" s="121"/>
      <c r="H1269" s="136">
        <f>45.6-8+2.5-8+17.4-2.5-1+1.6</f>
        <v>47.6</v>
      </c>
      <c r="I1269" s="136"/>
    </row>
    <row r="1270" spans="1:9" ht="12.75" customHeight="1" x14ac:dyDescent="0.2">
      <c r="A1270" s="94">
        <v>1261</v>
      </c>
      <c r="B1270" s="78"/>
      <c r="C1270" s="157" t="s">
        <v>2429</v>
      </c>
      <c r="D1270" s="157"/>
      <c r="E1270" s="157"/>
      <c r="F1270" s="124" t="s">
        <v>82</v>
      </c>
      <c r="G1270" s="121"/>
      <c r="H1270" s="136">
        <f>24.7-0.3-2.1-5.3-11+11</f>
        <v>16.999999999999996</v>
      </c>
      <c r="I1270" s="136"/>
    </row>
    <row r="1271" spans="1:9" ht="12.75" customHeight="1" x14ac:dyDescent="0.2">
      <c r="A1271" s="94">
        <v>1262</v>
      </c>
      <c r="B1271" s="78" t="s">
        <v>3601</v>
      </c>
      <c r="C1271" s="157" t="s">
        <v>4228</v>
      </c>
      <c r="D1271" s="157"/>
      <c r="E1271" s="157"/>
      <c r="F1271" s="124" t="s">
        <v>82</v>
      </c>
      <c r="G1271" s="121"/>
      <c r="H1271" s="136">
        <f>20.1-4-2-3-3-2.9-1+0.6</f>
        <v>4.8000000000000007</v>
      </c>
      <c r="I1271" s="136"/>
    </row>
    <row r="1272" spans="1:9" ht="12.75" customHeight="1" x14ac:dyDescent="0.2">
      <c r="A1272" s="94">
        <v>1263</v>
      </c>
      <c r="B1272" s="78" t="s">
        <v>2570</v>
      </c>
      <c r="C1272" s="157" t="s">
        <v>4229</v>
      </c>
      <c r="D1272" s="157"/>
      <c r="E1272" s="157"/>
      <c r="F1272" s="124" t="s">
        <v>82</v>
      </c>
      <c r="G1272" s="121"/>
      <c r="H1272" s="136">
        <v>29.8</v>
      </c>
      <c r="I1272" s="136"/>
    </row>
    <row r="1273" spans="1:9" ht="12.75" customHeight="1" x14ac:dyDescent="0.2">
      <c r="A1273" s="94">
        <v>1264</v>
      </c>
      <c r="B1273" s="78"/>
      <c r="C1273" s="157" t="s">
        <v>3514</v>
      </c>
      <c r="D1273" s="157"/>
      <c r="E1273" s="157"/>
      <c r="F1273" s="124" t="s">
        <v>82</v>
      </c>
      <c r="G1273" s="121"/>
      <c r="H1273" s="136">
        <f>87-1.9-2.8-5.6-5.7-5.6-2.8-2.8-2.8-2.8+3.7-2.8-2.8-2.9-3-5.5-1-10.2-2.8-3.7-2.8-2.8-8.6</f>
        <v>9.0000000000000266</v>
      </c>
      <c r="I1273" s="136"/>
    </row>
    <row r="1274" spans="1:9" ht="12.75" customHeight="1" x14ac:dyDescent="0.2">
      <c r="A1274" s="94">
        <v>1265</v>
      </c>
      <c r="B1274" s="78"/>
      <c r="C1274" s="157" t="s">
        <v>1764</v>
      </c>
      <c r="D1274" s="157"/>
      <c r="E1274" s="157"/>
      <c r="F1274" s="124" t="s">
        <v>82</v>
      </c>
      <c r="G1274" s="121"/>
      <c r="H1274" s="136">
        <f>50.8-16.5-5.4-6.3-1.1-1-3.4-1.4-0.5-0.7-0.8-2.6+0.1</f>
        <v>11.199999999999998</v>
      </c>
      <c r="I1274" s="136"/>
    </row>
    <row r="1275" spans="1:9" ht="12.75" customHeight="1" x14ac:dyDescent="0.2">
      <c r="A1275" s="94">
        <v>1266</v>
      </c>
      <c r="B1275" s="78" t="s">
        <v>2876</v>
      </c>
      <c r="C1275" s="157" t="s">
        <v>4230</v>
      </c>
      <c r="D1275" s="157"/>
      <c r="E1275" s="157"/>
      <c r="F1275" s="124" t="s">
        <v>82</v>
      </c>
      <c r="G1275" s="121"/>
      <c r="H1275" s="136">
        <v>40.1</v>
      </c>
      <c r="I1275" s="136"/>
    </row>
    <row r="1276" spans="1:9" ht="12.75" customHeight="1" x14ac:dyDescent="0.2">
      <c r="A1276" s="94">
        <v>1267</v>
      </c>
      <c r="B1276" s="78" t="s">
        <v>2876</v>
      </c>
      <c r="C1276" s="157" t="s">
        <v>4231</v>
      </c>
      <c r="D1276" s="157"/>
      <c r="E1276" s="157"/>
      <c r="F1276" s="124" t="s">
        <v>82</v>
      </c>
      <c r="G1276" s="121"/>
      <c r="H1276" s="136">
        <f>61.9-7.9</f>
        <v>54</v>
      </c>
      <c r="I1276" s="136"/>
    </row>
    <row r="1277" spans="1:9" ht="12.75" customHeight="1" x14ac:dyDescent="0.2">
      <c r="A1277" s="94">
        <v>1268</v>
      </c>
      <c r="B1277" s="78" t="s">
        <v>3540</v>
      </c>
      <c r="C1277" s="157" t="s">
        <v>4232</v>
      </c>
      <c r="D1277" s="157"/>
      <c r="E1277" s="157"/>
      <c r="F1277" s="124" t="s">
        <v>82</v>
      </c>
      <c r="G1277" s="121"/>
      <c r="H1277" s="136">
        <v>1.1000000000000001</v>
      </c>
      <c r="I1277" s="136"/>
    </row>
    <row r="1278" spans="1:9" ht="12.75" customHeight="1" x14ac:dyDescent="0.2">
      <c r="A1278" s="94">
        <v>1269</v>
      </c>
      <c r="B1278" s="78" t="s">
        <v>2570</v>
      </c>
      <c r="C1278" s="157" t="s">
        <v>5027</v>
      </c>
      <c r="D1278" s="157"/>
      <c r="E1278" s="157"/>
      <c r="F1278" s="124" t="s">
        <v>82</v>
      </c>
      <c r="G1278" s="121"/>
      <c r="H1278" s="136">
        <f>26-2.3-0.8-8.2-1.9-1.8-5.1</f>
        <v>5.8999999999999986</v>
      </c>
      <c r="I1278" s="136"/>
    </row>
    <row r="1279" spans="1:9" ht="12.75" customHeight="1" x14ac:dyDescent="0.2">
      <c r="A1279" s="94">
        <v>1270</v>
      </c>
      <c r="B1279" s="78" t="s">
        <v>2570</v>
      </c>
      <c r="C1279" s="157" t="s">
        <v>5026</v>
      </c>
      <c r="D1279" s="157"/>
      <c r="E1279" s="157"/>
      <c r="F1279" s="124" t="s">
        <v>82</v>
      </c>
      <c r="G1279" s="121"/>
      <c r="H1279" s="136">
        <f>55.1-3.9-12.9</f>
        <v>38.300000000000004</v>
      </c>
      <c r="I1279" s="136"/>
    </row>
    <row r="1280" spans="1:9" ht="12.75" customHeight="1" x14ac:dyDescent="0.2">
      <c r="A1280" s="94">
        <v>1271</v>
      </c>
      <c r="B1280" s="78"/>
      <c r="C1280" s="157" t="s">
        <v>4735</v>
      </c>
      <c r="D1280" s="157"/>
      <c r="E1280" s="157"/>
      <c r="F1280" s="124" t="s">
        <v>82</v>
      </c>
      <c r="G1280" s="121"/>
      <c r="H1280" s="136">
        <f>41.8-0.9-1.4</f>
        <v>39.5</v>
      </c>
      <c r="I1280" s="136"/>
    </row>
    <row r="1281" spans="1:9" ht="12.75" customHeight="1" x14ac:dyDescent="0.2">
      <c r="A1281" s="94">
        <v>1272</v>
      </c>
      <c r="B1281" s="78"/>
      <c r="C1281" s="157" t="s">
        <v>3667</v>
      </c>
      <c r="D1281" s="157"/>
      <c r="E1281" s="157"/>
      <c r="F1281" s="124" t="s">
        <v>82</v>
      </c>
      <c r="G1281" s="121"/>
      <c r="H1281" s="136">
        <f>54.6-20.8</f>
        <v>33.799999999999997</v>
      </c>
      <c r="I1281" s="136"/>
    </row>
    <row r="1282" spans="1:9" ht="12.75" customHeight="1" x14ac:dyDescent="0.2">
      <c r="A1282" s="94">
        <v>1273</v>
      </c>
      <c r="B1282" s="78"/>
      <c r="C1282" s="157" t="s">
        <v>3035</v>
      </c>
      <c r="D1282" s="157"/>
      <c r="E1282" s="157"/>
      <c r="F1282" s="124" t="s">
        <v>82</v>
      </c>
      <c r="G1282" s="121"/>
      <c r="H1282" s="136">
        <f>23.3-1.1</f>
        <v>22.2</v>
      </c>
      <c r="I1282" s="136"/>
    </row>
    <row r="1283" spans="1:9" ht="12.75" customHeight="1" x14ac:dyDescent="0.2">
      <c r="A1283" s="94">
        <v>1274</v>
      </c>
      <c r="B1283" s="78"/>
      <c r="C1283" s="157" t="s">
        <v>3026</v>
      </c>
      <c r="D1283" s="157"/>
      <c r="E1283" s="157"/>
      <c r="F1283" s="121" t="s">
        <v>81</v>
      </c>
      <c r="G1283" s="189"/>
      <c r="H1283" s="136">
        <f>25.4-0.3-0.3+3.2-1-3.2-0.3-1.1-1-0.6-0.3-1.1-1.6-0.6-15+0.1-1.6</f>
        <v>0.69999999999998863</v>
      </c>
      <c r="I1283" s="136"/>
    </row>
    <row r="1284" spans="1:9" ht="12.75" customHeight="1" x14ac:dyDescent="0.2">
      <c r="A1284" s="94">
        <v>1275</v>
      </c>
      <c r="B1284" s="78"/>
      <c r="C1284" s="157" t="s">
        <v>3027</v>
      </c>
      <c r="D1284" s="157"/>
      <c r="E1284" s="157"/>
      <c r="F1284" s="121" t="s">
        <v>81</v>
      </c>
      <c r="G1284" s="189"/>
      <c r="H1284" s="136">
        <f>58.2-30.7-0.2-0.7</f>
        <v>26.600000000000005</v>
      </c>
      <c r="I1284" s="136"/>
    </row>
    <row r="1285" spans="1:9" ht="12.75" customHeight="1" x14ac:dyDescent="0.2">
      <c r="A1285" s="94">
        <v>1276</v>
      </c>
      <c r="B1285" s="78"/>
      <c r="C1285" s="157" t="s">
        <v>5172</v>
      </c>
      <c r="D1285" s="157"/>
      <c r="E1285" s="157"/>
      <c r="F1285" s="121" t="s">
        <v>81</v>
      </c>
      <c r="G1285" s="189"/>
      <c r="H1285" s="136">
        <f>5.2-1.1+1.9-0.5-0.5-0.5-0.6-0.5</f>
        <v>3.4</v>
      </c>
      <c r="I1285" s="136"/>
    </row>
    <row r="1286" spans="1:9" ht="12.75" customHeight="1" x14ac:dyDescent="0.2">
      <c r="A1286" s="94">
        <v>1277</v>
      </c>
      <c r="B1286" s="78" t="s">
        <v>3540</v>
      </c>
      <c r="C1286" s="157" t="s">
        <v>4251</v>
      </c>
      <c r="D1286" s="157"/>
      <c r="E1286" s="157"/>
      <c r="F1286" s="121" t="s">
        <v>81</v>
      </c>
      <c r="G1286" s="189"/>
      <c r="H1286" s="136">
        <f>12-1.1-1.1-0.4-1.1-3.7-3.8+0.4</f>
        <v>1.2000000000000006</v>
      </c>
      <c r="I1286" s="136"/>
    </row>
    <row r="1287" spans="1:9" ht="12.75" customHeight="1" x14ac:dyDescent="0.2">
      <c r="A1287" s="94">
        <v>1278</v>
      </c>
      <c r="B1287" s="78" t="s">
        <v>3540</v>
      </c>
      <c r="C1287" s="157" t="s">
        <v>4645</v>
      </c>
      <c r="D1287" s="157"/>
      <c r="E1287" s="157"/>
      <c r="F1287" s="121" t="s">
        <v>81</v>
      </c>
      <c r="G1287" s="189"/>
      <c r="H1287" s="136">
        <f>10.3-0.7</f>
        <v>9.6000000000000014</v>
      </c>
      <c r="I1287" s="136"/>
    </row>
    <row r="1288" spans="1:9" ht="12.75" customHeight="1" x14ac:dyDescent="0.2">
      <c r="A1288" s="94">
        <v>1279</v>
      </c>
      <c r="B1288" s="78"/>
      <c r="C1288" s="157" t="s">
        <v>3028</v>
      </c>
      <c r="D1288" s="157"/>
      <c r="E1288" s="157"/>
      <c r="F1288" s="121" t="s">
        <v>81</v>
      </c>
      <c r="G1288" s="189"/>
      <c r="H1288" s="136"/>
      <c r="I1288" s="136"/>
    </row>
    <row r="1289" spans="1:9" ht="12.75" customHeight="1" x14ac:dyDescent="0.2">
      <c r="A1289" s="94">
        <v>1280</v>
      </c>
      <c r="B1289" s="78"/>
      <c r="C1289" s="157" t="s">
        <v>3434</v>
      </c>
      <c r="D1289" s="157"/>
      <c r="E1289" s="157"/>
      <c r="F1289" s="121" t="s">
        <v>81</v>
      </c>
      <c r="G1289" s="189"/>
      <c r="H1289" s="136">
        <f>3.6+2.4-1.4+0.8-2.4-1.4-0.4-0.8</f>
        <v>0.39999999999999969</v>
      </c>
      <c r="I1289" s="136"/>
    </row>
    <row r="1290" spans="1:9" ht="12.75" customHeight="1" x14ac:dyDescent="0.2">
      <c r="A1290" s="94">
        <v>1281</v>
      </c>
      <c r="B1290" s="78"/>
      <c r="C1290" s="157" t="s">
        <v>3036</v>
      </c>
      <c r="D1290" s="157"/>
      <c r="E1290" s="157"/>
      <c r="F1290" s="121" t="s">
        <v>83</v>
      </c>
      <c r="G1290" s="189"/>
      <c r="H1290" s="136">
        <f>3.4-0.7-2</f>
        <v>0.70000000000000018</v>
      </c>
      <c r="I1290" s="136"/>
    </row>
    <row r="1291" spans="1:9" ht="12.75" customHeight="1" x14ac:dyDescent="0.2">
      <c r="A1291" s="94">
        <v>1282</v>
      </c>
      <c r="B1291" s="78"/>
      <c r="C1291" s="157" t="s">
        <v>3510</v>
      </c>
      <c r="D1291" s="157"/>
      <c r="E1291" s="157"/>
      <c r="F1291" s="121" t="s">
        <v>81</v>
      </c>
      <c r="G1291" s="189"/>
      <c r="H1291" s="136">
        <f>8.4-2.8-1.4-1.4</f>
        <v>2.8000000000000012</v>
      </c>
      <c r="I1291" s="136"/>
    </row>
    <row r="1292" spans="1:9" ht="12.75" customHeight="1" x14ac:dyDescent="0.2">
      <c r="A1292" s="94">
        <v>1283</v>
      </c>
      <c r="B1292" s="78"/>
      <c r="C1292" s="157" t="s">
        <v>5083</v>
      </c>
      <c r="D1292" s="157"/>
      <c r="E1292" s="157"/>
      <c r="F1292" s="121" t="s">
        <v>81</v>
      </c>
      <c r="G1292" s="189"/>
      <c r="H1292" s="136">
        <v>4.0999999999999996</v>
      </c>
      <c r="I1292" s="136"/>
    </row>
    <row r="1293" spans="1:9" ht="12.75" customHeight="1" x14ac:dyDescent="0.2">
      <c r="A1293" s="94">
        <v>1284</v>
      </c>
      <c r="B1293" s="78"/>
      <c r="C1293" s="157" t="s">
        <v>3458</v>
      </c>
      <c r="D1293" s="157"/>
      <c r="E1293" s="157"/>
      <c r="F1293" s="121" t="s">
        <v>81</v>
      </c>
      <c r="G1293" s="189"/>
      <c r="H1293" s="136">
        <f>20.4-0.5-1.5-1-1.5-4.3-2.7-1.4</f>
        <v>7.4999999999999982</v>
      </c>
      <c r="I1293" s="136"/>
    </row>
    <row r="1294" spans="1:9" ht="12.75" customHeight="1" x14ac:dyDescent="0.2">
      <c r="A1294" s="94">
        <v>1285</v>
      </c>
      <c r="B1294" s="78"/>
      <c r="C1294" s="157" t="s">
        <v>3185</v>
      </c>
      <c r="D1294" s="157"/>
      <c r="E1294" s="157"/>
      <c r="F1294" s="121" t="s">
        <v>83</v>
      </c>
      <c r="G1294" s="189"/>
      <c r="H1294" s="136">
        <f>0.9+4.2-1.5-1.6</f>
        <v>2.0000000000000004</v>
      </c>
      <c r="I1294" s="136"/>
    </row>
    <row r="1295" spans="1:9" ht="12.75" customHeight="1" x14ac:dyDescent="0.2">
      <c r="A1295" s="94">
        <v>1286</v>
      </c>
      <c r="B1295" s="78" t="s">
        <v>3540</v>
      </c>
      <c r="C1295" s="157" t="s">
        <v>4354</v>
      </c>
      <c r="D1295" s="157"/>
      <c r="E1295" s="157"/>
      <c r="F1295" s="121" t="s">
        <v>83</v>
      </c>
      <c r="G1295" s="189"/>
      <c r="H1295" s="136">
        <f>6-2</f>
        <v>4</v>
      </c>
      <c r="I1295" s="136"/>
    </row>
    <row r="1296" spans="1:9" ht="30" customHeight="1" x14ac:dyDescent="0.2">
      <c r="A1296" s="94">
        <v>1287</v>
      </c>
      <c r="B1296" s="78"/>
      <c r="C1296" s="157" t="s">
        <v>5198</v>
      </c>
      <c r="D1296" s="157"/>
      <c r="E1296" s="157"/>
      <c r="F1296" s="121" t="s">
        <v>81</v>
      </c>
      <c r="G1296" s="189"/>
      <c r="H1296" s="136">
        <f>257.3-4.5-2.3-2-1.1-13.5-2.2-12-2-12.8-1.3+6.3+3-2.3-6.7-6.3-4.3+1.5-6.7-2+1.9-1.9-1.5-2.2+4.5-4.5-1.4+0.9-66.3-7.8-2.2+71.3-2.2-1.2+8.4-2.5-0.1-1.3+1-2.3-1.1-13-2-2.2-1-2.5-2.1-2.3-2.6</f>
        <v>147.90000000000003</v>
      </c>
      <c r="I1296" s="136"/>
    </row>
    <row r="1297" spans="1:9" ht="12.75" customHeight="1" x14ac:dyDescent="0.2">
      <c r="A1297" s="94">
        <v>1288</v>
      </c>
      <c r="B1297" s="78"/>
      <c r="C1297" s="157" t="s">
        <v>5082</v>
      </c>
      <c r="D1297" s="157"/>
      <c r="E1297" s="157"/>
      <c r="F1297" s="121" t="s">
        <v>81</v>
      </c>
      <c r="G1297" s="189"/>
      <c r="H1297" s="136">
        <v>23.5</v>
      </c>
      <c r="I1297" s="136"/>
    </row>
    <row r="1298" spans="1:9" ht="12.75" customHeight="1" x14ac:dyDescent="0.2">
      <c r="A1298" s="94">
        <v>1289</v>
      </c>
      <c r="B1298" s="78"/>
      <c r="C1298" s="157" t="s">
        <v>4377</v>
      </c>
      <c r="D1298" s="157"/>
      <c r="E1298" s="157"/>
      <c r="F1298" s="121" t="s">
        <v>81</v>
      </c>
      <c r="G1298" s="189"/>
      <c r="H1298" s="136">
        <f>1.6+7+8.8-2.2-3.3-1.5-3.1-1.8-1.7-1.9</f>
        <v>1.899999999999999</v>
      </c>
      <c r="I1298" s="136"/>
    </row>
    <row r="1299" spans="1:9" ht="12.75" customHeight="1" x14ac:dyDescent="0.2">
      <c r="A1299" s="94">
        <v>1290</v>
      </c>
      <c r="B1299" s="78"/>
      <c r="C1299" s="157" t="s">
        <v>3483</v>
      </c>
      <c r="D1299" s="157"/>
      <c r="E1299" s="157"/>
      <c r="F1299" s="121" t="s">
        <v>83</v>
      </c>
      <c r="G1299" s="189"/>
      <c r="H1299" s="136">
        <f>3.8+2-2+4.9-4.9</f>
        <v>3.7999999999999989</v>
      </c>
      <c r="I1299" s="136"/>
    </row>
    <row r="1300" spans="1:9" ht="12.75" customHeight="1" x14ac:dyDescent="0.2">
      <c r="A1300" s="94">
        <v>1291</v>
      </c>
      <c r="B1300" s="78" t="s">
        <v>741</v>
      </c>
      <c r="C1300" s="157" t="s">
        <v>3482</v>
      </c>
      <c r="D1300" s="157"/>
      <c r="E1300" s="157"/>
      <c r="F1300" s="121" t="s">
        <v>83</v>
      </c>
      <c r="G1300" s="189"/>
      <c r="H1300" s="136">
        <f>42.7-2.2-2.1-5.9-0.9-8.2</f>
        <v>23.400000000000002</v>
      </c>
      <c r="I1300" s="136"/>
    </row>
    <row r="1301" spans="1:9" ht="12.75" customHeight="1" x14ac:dyDescent="0.2">
      <c r="A1301" s="94">
        <v>1292</v>
      </c>
      <c r="B1301" s="78"/>
      <c r="C1301" s="157" t="s">
        <v>4166</v>
      </c>
      <c r="D1301" s="157"/>
      <c r="E1301" s="157"/>
      <c r="F1301" s="121" t="s">
        <v>81</v>
      </c>
      <c r="G1301" s="189"/>
      <c r="H1301" s="136">
        <f>57.8+10.3-4.5-0.7-3+2.1-1.8-17.2+3.1+1.4-1.4-2.3-8.7-25.5-0.7+0.3-1.7-1.8</f>
        <v>5.7000000000000099</v>
      </c>
      <c r="I1301" s="136"/>
    </row>
    <row r="1302" spans="1:9" ht="12.75" customHeight="1" x14ac:dyDescent="0.2">
      <c r="A1302" s="94">
        <v>1293</v>
      </c>
      <c r="B1302" s="78" t="s">
        <v>3540</v>
      </c>
      <c r="C1302" s="157" t="s">
        <v>4190</v>
      </c>
      <c r="D1302" s="157"/>
      <c r="E1302" s="157"/>
      <c r="F1302" s="121" t="s">
        <v>81</v>
      </c>
      <c r="G1302" s="189"/>
      <c r="H1302" s="136">
        <v>3.7</v>
      </c>
      <c r="I1302" s="136"/>
    </row>
    <row r="1303" spans="1:9" x14ac:dyDescent="0.2">
      <c r="A1303" s="94">
        <v>1294</v>
      </c>
      <c r="B1303" s="78" t="s">
        <v>3540</v>
      </c>
      <c r="C1303" s="157" t="s">
        <v>5005</v>
      </c>
      <c r="D1303" s="157"/>
      <c r="E1303" s="157"/>
      <c r="F1303" s="121" t="s">
        <v>81</v>
      </c>
      <c r="G1303" s="189"/>
      <c r="H1303" s="136">
        <f>34.6-4.2</f>
        <v>30.400000000000002</v>
      </c>
      <c r="I1303" s="136"/>
    </row>
    <row r="1304" spans="1:9" ht="12.75" customHeight="1" x14ac:dyDescent="0.2">
      <c r="A1304" s="94">
        <v>1295</v>
      </c>
      <c r="B1304" s="78"/>
      <c r="C1304" s="157" t="s">
        <v>3170</v>
      </c>
      <c r="D1304" s="157"/>
      <c r="E1304" s="157"/>
      <c r="F1304" s="121" t="s">
        <v>81</v>
      </c>
      <c r="G1304" s="189"/>
      <c r="H1304" s="136">
        <f>3.2+8.1-1.8-6.3</f>
        <v>3.2</v>
      </c>
      <c r="I1304" s="136"/>
    </row>
    <row r="1305" spans="1:9" ht="12.75" customHeight="1" x14ac:dyDescent="0.2">
      <c r="A1305" s="94">
        <v>1296</v>
      </c>
      <c r="B1305" s="78"/>
      <c r="C1305" s="157" t="s">
        <v>3034</v>
      </c>
      <c r="D1305" s="157"/>
      <c r="E1305" s="157"/>
      <c r="F1305" s="121" t="s">
        <v>81</v>
      </c>
      <c r="G1305" s="189"/>
      <c r="H1305" s="136">
        <f>16.6-1.6</f>
        <v>15.000000000000002</v>
      </c>
      <c r="I1305" s="136"/>
    </row>
    <row r="1306" spans="1:9" ht="12.75" customHeight="1" x14ac:dyDescent="0.2">
      <c r="A1306" s="94">
        <v>1297</v>
      </c>
      <c r="B1306" s="78"/>
      <c r="C1306" s="157" t="s">
        <v>3521</v>
      </c>
      <c r="D1306" s="157"/>
      <c r="E1306" s="157"/>
      <c r="F1306" s="121" t="s">
        <v>81</v>
      </c>
      <c r="G1306" s="189"/>
      <c r="H1306" s="136">
        <v>9.1999999999999993</v>
      </c>
      <c r="I1306" s="136"/>
    </row>
    <row r="1307" spans="1:9" ht="12.75" customHeight="1" x14ac:dyDescent="0.2">
      <c r="A1307" s="94">
        <v>1298</v>
      </c>
      <c r="B1307" s="78" t="s">
        <v>3540</v>
      </c>
      <c r="C1307" s="157" t="s">
        <v>4423</v>
      </c>
      <c r="D1307" s="157"/>
      <c r="E1307" s="157"/>
      <c r="F1307" s="121" t="s">
        <v>81</v>
      </c>
      <c r="G1307" s="189"/>
      <c r="H1307" s="136">
        <v>6.4</v>
      </c>
      <c r="I1307" s="136"/>
    </row>
    <row r="1308" spans="1:9" ht="12.75" customHeight="1" x14ac:dyDescent="0.2">
      <c r="A1308" s="94">
        <v>1299</v>
      </c>
      <c r="B1308" s="78"/>
      <c r="C1308" s="157" t="s">
        <v>3455</v>
      </c>
      <c r="D1308" s="157"/>
      <c r="E1308" s="157"/>
      <c r="F1308" s="121" t="s">
        <v>81</v>
      </c>
      <c r="G1308" s="189"/>
      <c r="H1308" s="136">
        <f>6.2+3.3-6.2</f>
        <v>3.3</v>
      </c>
      <c r="I1308" s="136"/>
    </row>
    <row r="1309" spans="1:9" ht="12.75" customHeight="1" x14ac:dyDescent="0.2">
      <c r="A1309" s="94">
        <v>1300</v>
      </c>
      <c r="B1309" s="78"/>
      <c r="C1309" s="157" t="s">
        <v>3029</v>
      </c>
      <c r="D1309" s="157"/>
      <c r="E1309" s="157"/>
      <c r="F1309" s="121" t="s">
        <v>81</v>
      </c>
      <c r="G1309" s="189"/>
      <c r="H1309" s="136">
        <v>4.5</v>
      </c>
      <c r="I1309" s="136"/>
    </row>
    <row r="1310" spans="1:9" ht="12.75" customHeight="1" x14ac:dyDescent="0.2">
      <c r="A1310" s="94">
        <v>1301</v>
      </c>
      <c r="B1310" s="78"/>
      <c r="C1310" s="157" t="s">
        <v>3030</v>
      </c>
      <c r="D1310" s="157"/>
      <c r="E1310" s="157"/>
      <c r="F1310" s="121" t="s">
        <v>81</v>
      </c>
      <c r="G1310" s="189"/>
      <c r="H1310" s="136">
        <f>23-7.5-3.8</f>
        <v>11.7</v>
      </c>
      <c r="I1310" s="136"/>
    </row>
    <row r="1311" spans="1:9" ht="12.75" customHeight="1" x14ac:dyDescent="0.2">
      <c r="A1311" s="94">
        <v>1302</v>
      </c>
      <c r="B1311" s="78"/>
      <c r="C1311" s="157" t="s">
        <v>3031</v>
      </c>
      <c r="D1311" s="157"/>
      <c r="E1311" s="157"/>
      <c r="F1311" s="121" t="s">
        <v>81</v>
      </c>
      <c r="G1311" s="189"/>
      <c r="H1311" s="136">
        <f>12.2+93.8-12.2-9.5-10.4-17.8-9.4-4.8-1</f>
        <v>40.9</v>
      </c>
      <c r="I1311" s="136"/>
    </row>
    <row r="1312" spans="1:9" ht="12.75" customHeight="1" x14ac:dyDescent="0.2">
      <c r="A1312" s="94">
        <v>1303</v>
      </c>
      <c r="B1312" s="78"/>
      <c r="C1312" s="157" t="s">
        <v>3032</v>
      </c>
      <c r="D1312" s="157"/>
      <c r="E1312" s="157"/>
      <c r="F1312" s="121" t="s">
        <v>81</v>
      </c>
      <c r="G1312" s="189"/>
      <c r="H1312" s="136"/>
      <c r="I1312" s="136"/>
    </row>
    <row r="1313" spans="1:9" ht="12.75" customHeight="1" x14ac:dyDescent="0.2">
      <c r="A1313" s="94">
        <v>1304</v>
      </c>
      <c r="B1313" s="78" t="s">
        <v>3540</v>
      </c>
      <c r="C1313" s="157" t="s">
        <v>3553</v>
      </c>
      <c r="D1313" s="157"/>
      <c r="E1313" s="157"/>
      <c r="F1313" s="121" t="s">
        <v>81</v>
      </c>
      <c r="G1313" s="189"/>
      <c r="H1313" s="136">
        <v>3.3</v>
      </c>
      <c r="I1313" s="136"/>
    </row>
    <row r="1314" spans="1:9" ht="12.75" customHeight="1" x14ac:dyDescent="0.2">
      <c r="A1314" s="94">
        <v>1305</v>
      </c>
      <c r="B1314" s="78" t="s">
        <v>3540</v>
      </c>
      <c r="C1314" s="157" t="s">
        <v>3828</v>
      </c>
      <c r="D1314" s="157"/>
      <c r="E1314" s="157"/>
      <c r="F1314" s="121" t="s">
        <v>81</v>
      </c>
      <c r="G1314" s="189"/>
      <c r="H1314" s="136">
        <v>4.4000000000000004</v>
      </c>
      <c r="I1314" s="136"/>
    </row>
    <row r="1315" spans="1:9" ht="12.75" customHeight="1" x14ac:dyDescent="0.2">
      <c r="A1315" s="94">
        <v>1306</v>
      </c>
      <c r="B1315" s="78" t="s">
        <v>3540</v>
      </c>
      <c r="C1315" s="157" t="s">
        <v>3670</v>
      </c>
      <c r="D1315" s="157"/>
      <c r="E1315" s="157"/>
      <c r="F1315" s="121" t="s">
        <v>81</v>
      </c>
      <c r="G1315" s="189"/>
      <c r="H1315" s="136">
        <f>21.8-4.4</f>
        <v>17.399999999999999</v>
      </c>
      <c r="I1315" s="136"/>
    </row>
    <row r="1316" spans="1:9" ht="12.75" customHeight="1" x14ac:dyDescent="0.2">
      <c r="A1316" s="94">
        <v>1307</v>
      </c>
      <c r="B1316" s="78"/>
      <c r="C1316" s="157" t="s">
        <v>3033</v>
      </c>
      <c r="D1316" s="157"/>
      <c r="E1316" s="157"/>
      <c r="F1316" s="121" t="s">
        <v>81</v>
      </c>
      <c r="G1316" s="189"/>
      <c r="H1316" s="136">
        <f>89.3+40+44.6-70.2-5-3.1</f>
        <v>95.600000000000009</v>
      </c>
      <c r="I1316" s="136"/>
    </row>
    <row r="1317" spans="1:9" ht="12.75" customHeight="1" x14ac:dyDescent="0.2">
      <c r="A1317" s="94">
        <v>1308</v>
      </c>
      <c r="B1317" s="78"/>
      <c r="C1317" s="157" t="s">
        <v>3520</v>
      </c>
      <c r="D1317" s="157"/>
      <c r="E1317" s="157"/>
      <c r="F1317" s="121" t="s">
        <v>81</v>
      </c>
      <c r="G1317" s="189"/>
      <c r="H1317" s="136">
        <v>55</v>
      </c>
      <c r="I1317" s="136"/>
    </row>
    <row r="1318" spans="1:9" ht="12.75" customHeight="1" x14ac:dyDescent="0.2">
      <c r="A1318" s="94">
        <v>1309</v>
      </c>
      <c r="B1318" s="78" t="s">
        <v>1624</v>
      </c>
      <c r="C1318" s="157" t="s">
        <v>2964</v>
      </c>
      <c r="D1318" s="157"/>
      <c r="E1318" s="157"/>
      <c r="F1318" s="187" t="s">
        <v>2965</v>
      </c>
      <c r="G1318" s="188"/>
      <c r="H1318" s="136">
        <v>37</v>
      </c>
      <c r="I1318" s="136"/>
    </row>
    <row r="1319" spans="1:9" ht="12.75" customHeight="1" x14ac:dyDescent="0.2">
      <c r="A1319" s="94">
        <v>1310</v>
      </c>
      <c r="B1319" s="78"/>
      <c r="C1319" s="157" t="s">
        <v>2528</v>
      </c>
      <c r="D1319" s="157"/>
      <c r="E1319" s="157"/>
      <c r="F1319" s="187" t="s">
        <v>2510</v>
      </c>
      <c r="G1319" s="188"/>
      <c r="H1319" s="136">
        <v>3.9</v>
      </c>
      <c r="I1319" s="136"/>
    </row>
    <row r="1320" spans="1:9" ht="12.75" customHeight="1" x14ac:dyDescent="0.2">
      <c r="A1320" s="94">
        <v>1311</v>
      </c>
      <c r="B1320" s="78"/>
      <c r="C1320" s="157" t="s">
        <v>253</v>
      </c>
      <c r="D1320" s="157"/>
      <c r="E1320" s="157"/>
      <c r="F1320" s="187" t="s">
        <v>1798</v>
      </c>
      <c r="G1320" s="188"/>
      <c r="H1320" s="136">
        <f>13-2-3.2+5.5-3</f>
        <v>10.3</v>
      </c>
      <c r="I1320" s="136"/>
    </row>
    <row r="1321" spans="1:9" ht="12.75" customHeight="1" x14ac:dyDescent="0.2">
      <c r="A1321" s="94">
        <v>1312</v>
      </c>
      <c r="B1321" s="78" t="s">
        <v>3540</v>
      </c>
      <c r="C1321" s="157" t="s">
        <v>253</v>
      </c>
      <c r="D1321" s="157"/>
      <c r="E1321" s="157"/>
      <c r="F1321" s="187" t="s">
        <v>4755</v>
      </c>
      <c r="G1321" s="188"/>
      <c r="H1321" s="136">
        <v>17</v>
      </c>
      <c r="I1321" s="136"/>
    </row>
    <row r="1322" spans="1:9" ht="12.75" customHeight="1" x14ac:dyDescent="0.2">
      <c r="A1322" s="94">
        <v>1313</v>
      </c>
      <c r="B1322" s="78"/>
      <c r="C1322" s="157" t="s">
        <v>253</v>
      </c>
      <c r="D1322" s="157"/>
      <c r="E1322" s="157"/>
      <c r="F1322" s="187" t="s">
        <v>2510</v>
      </c>
      <c r="G1322" s="188"/>
      <c r="H1322" s="136">
        <f>1.9+1.1</f>
        <v>3</v>
      </c>
      <c r="I1322" s="136"/>
    </row>
    <row r="1323" spans="1:9" ht="12.75" customHeight="1" x14ac:dyDescent="0.2">
      <c r="A1323" s="94">
        <v>1314</v>
      </c>
      <c r="B1323" s="78"/>
      <c r="C1323" s="157" t="s">
        <v>624</v>
      </c>
      <c r="D1323" s="157"/>
      <c r="E1323" s="157"/>
      <c r="F1323" s="187" t="s">
        <v>361</v>
      </c>
      <c r="G1323" s="188"/>
      <c r="H1323" s="136">
        <f>4.6-1-1-1-0.2</f>
        <v>1.3999999999999997</v>
      </c>
      <c r="I1323" s="136"/>
    </row>
    <row r="1324" spans="1:9" ht="12.75" customHeight="1" x14ac:dyDescent="0.2">
      <c r="A1324" s="94">
        <v>1315</v>
      </c>
      <c r="B1324" s="78"/>
      <c r="C1324" s="157" t="s">
        <v>3328</v>
      </c>
      <c r="D1324" s="157"/>
      <c r="E1324" s="157"/>
      <c r="F1324" s="187" t="s">
        <v>361</v>
      </c>
      <c r="G1324" s="188"/>
      <c r="H1324" s="136">
        <f>10.2+0.1</f>
        <v>10.299999999999999</v>
      </c>
      <c r="I1324" s="136"/>
    </row>
    <row r="1325" spans="1:9" ht="12.75" customHeight="1" x14ac:dyDescent="0.2">
      <c r="A1325" s="94">
        <v>1316</v>
      </c>
      <c r="B1325" s="78"/>
      <c r="C1325" s="157" t="s">
        <v>719</v>
      </c>
      <c r="D1325" s="157"/>
      <c r="E1325" s="157"/>
      <c r="F1325" s="187" t="s">
        <v>361</v>
      </c>
      <c r="G1325" s="188"/>
      <c r="H1325" s="136">
        <v>4.8</v>
      </c>
      <c r="I1325" s="136"/>
    </row>
    <row r="1326" spans="1:9" ht="12.75" customHeight="1" x14ac:dyDescent="0.2">
      <c r="A1326" s="94">
        <v>1317</v>
      </c>
      <c r="B1326" s="78"/>
      <c r="C1326" s="157" t="s">
        <v>4165</v>
      </c>
      <c r="D1326" s="157"/>
      <c r="E1326" s="157"/>
      <c r="F1326" s="187" t="s">
        <v>361</v>
      </c>
      <c r="G1326" s="188"/>
      <c r="H1326" s="136">
        <f>11.7-2-2-2-3</f>
        <v>2.6999999999999993</v>
      </c>
      <c r="I1326" s="136"/>
    </row>
    <row r="1327" spans="1:9" ht="12.75" customHeight="1" x14ac:dyDescent="0.2">
      <c r="A1327" s="94">
        <v>1318</v>
      </c>
      <c r="B1327" s="78"/>
      <c r="C1327" s="157" t="s">
        <v>2366</v>
      </c>
      <c r="D1327" s="157"/>
      <c r="E1327" s="157"/>
      <c r="F1327" s="187" t="s">
        <v>361</v>
      </c>
      <c r="G1327" s="188"/>
      <c r="H1327" s="136">
        <f>4.7-0.5</f>
        <v>4.2</v>
      </c>
      <c r="I1327" s="136"/>
    </row>
    <row r="1328" spans="1:9" ht="12.75" customHeight="1" x14ac:dyDescent="0.2">
      <c r="A1328" s="94">
        <v>1319</v>
      </c>
      <c r="B1328" s="78"/>
      <c r="C1328" s="157" t="s">
        <v>3116</v>
      </c>
      <c r="D1328" s="157"/>
      <c r="E1328" s="157"/>
      <c r="F1328" s="187" t="s">
        <v>361</v>
      </c>
      <c r="G1328" s="188"/>
      <c r="H1328" s="136">
        <v>1.7</v>
      </c>
      <c r="I1328" s="136"/>
    </row>
    <row r="1329" spans="1:9" ht="12.75" customHeight="1" x14ac:dyDescent="0.2">
      <c r="A1329" s="94">
        <v>1320</v>
      </c>
      <c r="B1329" s="78"/>
      <c r="C1329" s="157" t="s">
        <v>2522</v>
      </c>
      <c r="D1329" s="157"/>
      <c r="E1329" s="157"/>
      <c r="F1329" s="187" t="s">
        <v>361</v>
      </c>
      <c r="G1329" s="188"/>
      <c r="H1329" s="136">
        <v>9</v>
      </c>
      <c r="I1329" s="136"/>
    </row>
    <row r="1330" spans="1:9" ht="12.75" customHeight="1" x14ac:dyDescent="0.2">
      <c r="A1330" s="94">
        <v>1321</v>
      </c>
      <c r="B1330" s="78" t="s">
        <v>3540</v>
      </c>
      <c r="C1330" s="157" t="s">
        <v>253</v>
      </c>
      <c r="D1330" s="157"/>
      <c r="E1330" s="157"/>
      <c r="F1330" s="187" t="s">
        <v>361</v>
      </c>
      <c r="G1330" s="188"/>
      <c r="H1330" s="136">
        <f>41.1+20+20+9</f>
        <v>90.1</v>
      </c>
      <c r="I1330" s="136"/>
    </row>
    <row r="1331" spans="1:9" ht="12.75" customHeight="1" x14ac:dyDescent="0.2">
      <c r="A1331" s="94">
        <v>1322</v>
      </c>
      <c r="B1331" s="78"/>
      <c r="C1331" s="157" t="s">
        <v>253</v>
      </c>
      <c r="D1331" s="157"/>
      <c r="E1331" s="157"/>
      <c r="F1331" s="187" t="s">
        <v>361</v>
      </c>
      <c r="G1331" s="188"/>
      <c r="H1331" s="136">
        <v>4.7</v>
      </c>
      <c r="I1331" s="136"/>
    </row>
    <row r="1332" spans="1:9" ht="12.75" customHeight="1" x14ac:dyDescent="0.2">
      <c r="A1332" s="94">
        <v>1323</v>
      </c>
      <c r="B1332" s="78"/>
      <c r="C1332" s="157" t="s">
        <v>253</v>
      </c>
      <c r="D1332" s="157"/>
      <c r="E1332" s="157"/>
      <c r="F1332" s="187" t="s">
        <v>1342</v>
      </c>
      <c r="G1332" s="188"/>
      <c r="H1332" s="136">
        <f>79.2-30-31.5-1</f>
        <v>16.700000000000003</v>
      </c>
      <c r="I1332" s="136"/>
    </row>
    <row r="1333" spans="1:9" ht="12.75" customHeight="1" x14ac:dyDescent="0.2">
      <c r="A1333" s="94">
        <v>1324</v>
      </c>
      <c r="B1333" s="78" t="s">
        <v>3540</v>
      </c>
      <c r="C1333" s="157" t="s">
        <v>253</v>
      </c>
      <c r="D1333" s="157"/>
      <c r="E1333" s="157"/>
      <c r="F1333" s="187" t="s">
        <v>1342</v>
      </c>
      <c r="G1333" s="188"/>
      <c r="H1333" s="136">
        <v>12.9</v>
      </c>
      <c r="I1333" s="136"/>
    </row>
    <row r="1334" spans="1:9" ht="12.75" customHeight="1" x14ac:dyDescent="0.2">
      <c r="A1334" s="94">
        <v>1325</v>
      </c>
      <c r="B1334" s="78" t="s">
        <v>3540</v>
      </c>
      <c r="C1334" s="157" t="s">
        <v>253</v>
      </c>
      <c r="D1334" s="157"/>
      <c r="E1334" s="157"/>
      <c r="F1334" s="187" t="s">
        <v>3717</v>
      </c>
      <c r="G1334" s="188"/>
      <c r="H1334" s="136">
        <f>8.4+22</f>
        <v>30.4</v>
      </c>
      <c r="I1334" s="136"/>
    </row>
    <row r="1335" spans="1:9" ht="12.75" customHeight="1" x14ac:dyDescent="0.2">
      <c r="A1335" s="94">
        <v>1326</v>
      </c>
      <c r="B1335" s="78" t="s">
        <v>3540</v>
      </c>
      <c r="C1335" s="157" t="s">
        <v>253</v>
      </c>
      <c r="D1335" s="157"/>
      <c r="E1335" s="157"/>
      <c r="F1335" s="187" t="s">
        <v>4756</v>
      </c>
      <c r="G1335" s="188"/>
      <c r="H1335" s="136">
        <v>4.5999999999999996</v>
      </c>
      <c r="I1335" s="136"/>
    </row>
    <row r="1336" spans="1:9" ht="12.75" customHeight="1" x14ac:dyDescent="0.2">
      <c r="A1336" s="94">
        <v>1327</v>
      </c>
      <c r="B1336" s="78" t="s">
        <v>3540</v>
      </c>
      <c r="C1336" s="157" t="s">
        <v>4947</v>
      </c>
      <c r="D1336" s="157"/>
      <c r="E1336" s="157"/>
      <c r="F1336" s="187" t="s">
        <v>4949</v>
      </c>
      <c r="G1336" s="188"/>
      <c r="H1336" s="136">
        <v>17.7</v>
      </c>
      <c r="I1336" s="136"/>
    </row>
    <row r="1337" spans="1:9" ht="12.75" customHeight="1" x14ac:dyDescent="0.2">
      <c r="A1337" s="94">
        <v>1328</v>
      </c>
      <c r="B1337" s="78"/>
      <c r="C1337" s="157" t="s">
        <v>3115</v>
      </c>
      <c r="D1337" s="157"/>
      <c r="E1337" s="157"/>
      <c r="F1337" s="187" t="s">
        <v>1776</v>
      </c>
      <c r="G1337" s="188"/>
      <c r="H1337" s="136">
        <v>2.2999999999999998</v>
      </c>
      <c r="I1337" s="136"/>
    </row>
    <row r="1338" spans="1:9" ht="12.75" customHeight="1" x14ac:dyDescent="0.2">
      <c r="A1338" s="94">
        <v>1329</v>
      </c>
      <c r="B1338" s="78"/>
      <c r="C1338" s="157" t="s">
        <v>2957</v>
      </c>
      <c r="D1338" s="157"/>
      <c r="E1338" s="157"/>
      <c r="F1338" s="187" t="s">
        <v>1776</v>
      </c>
      <c r="G1338" s="188"/>
      <c r="H1338" s="136">
        <f>4.4-2.2</f>
        <v>2.2000000000000002</v>
      </c>
      <c r="I1338" s="136"/>
    </row>
    <row r="1339" spans="1:9" ht="12.75" customHeight="1" x14ac:dyDescent="0.2">
      <c r="A1339" s="94">
        <v>1330</v>
      </c>
      <c r="B1339" s="78" t="s">
        <v>3540</v>
      </c>
      <c r="C1339" s="157" t="s">
        <v>4723</v>
      </c>
      <c r="D1339" s="157"/>
      <c r="E1339" s="157"/>
      <c r="F1339" s="187" t="s">
        <v>3156</v>
      </c>
      <c r="G1339" s="188"/>
      <c r="H1339" s="136">
        <v>0.4</v>
      </c>
      <c r="I1339" s="136"/>
    </row>
    <row r="1340" spans="1:9" ht="12.75" customHeight="1" x14ac:dyDescent="0.2">
      <c r="A1340" s="94">
        <v>1331</v>
      </c>
      <c r="B1340" s="78"/>
      <c r="C1340" s="157" t="s">
        <v>3594</v>
      </c>
      <c r="D1340" s="157"/>
      <c r="E1340" s="157"/>
      <c r="F1340" s="187" t="s">
        <v>3156</v>
      </c>
      <c r="G1340" s="188"/>
      <c r="H1340" s="136">
        <f>21.9-10.7-1-2</f>
        <v>8.1999999999999993</v>
      </c>
      <c r="I1340" s="136"/>
    </row>
    <row r="1341" spans="1:9" ht="12.75" customHeight="1" x14ac:dyDescent="0.2">
      <c r="A1341" s="94">
        <v>1332</v>
      </c>
      <c r="B1341" s="78" t="s">
        <v>3540</v>
      </c>
      <c r="C1341" s="157" t="s">
        <v>4996</v>
      </c>
      <c r="D1341" s="157"/>
      <c r="E1341" s="157"/>
      <c r="F1341" s="187" t="s">
        <v>3156</v>
      </c>
      <c r="G1341" s="188"/>
      <c r="H1341" s="136">
        <v>10</v>
      </c>
      <c r="I1341" s="136"/>
    </row>
    <row r="1342" spans="1:9" ht="30" customHeight="1" x14ac:dyDescent="0.2">
      <c r="A1342" s="94">
        <v>1333</v>
      </c>
      <c r="B1342" s="78"/>
      <c r="C1342" s="157" t="s">
        <v>4664</v>
      </c>
      <c r="D1342" s="157"/>
      <c r="E1342" s="157"/>
      <c r="F1342" s="187" t="s">
        <v>4665</v>
      </c>
      <c r="G1342" s="188"/>
      <c r="H1342" s="136">
        <v>18</v>
      </c>
      <c r="I1342" s="136"/>
    </row>
    <row r="1343" spans="1:9" ht="12.75" customHeight="1" x14ac:dyDescent="0.2">
      <c r="A1343" s="94">
        <v>1334</v>
      </c>
      <c r="B1343" s="78"/>
      <c r="C1343" s="157" t="s">
        <v>371</v>
      </c>
      <c r="D1343" s="157"/>
      <c r="E1343" s="157"/>
      <c r="F1343" s="188" t="s">
        <v>112</v>
      </c>
      <c r="G1343" s="200"/>
      <c r="H1343" s="136">
        <v>2</v>
      </c>
      <c r="I1343" s="136"/>
    </row>
    <row r="1344" spans="1:9" ht="24.75" customHeight="1" x14ac:dyDescent="0.2">
      <c r="A1344" s="94">
        <v>1335</v>
      </c>
      <c r="B1344" s="78"/>
      <c r="C1344" s="157" t="s">
        <v>470</v>
      </c>
      <c r="D1344" s="157"/>
      <c r="E1344" s="157"/>
      <c r="F1344" s="188" t="s">
        <v>142</v>
      </c>
      <c r="G1344" s="200"/>
      <c r="H1344" s="136">
        <v>7.9</v>
      </c>
      <c r="I1344" s="136"/>
    </row>
    <row r="1345" spans="1:9" x14ac:dyDescent="0.2">
      <c r="A1345" s="94">
        <v>1336</v>
      </c>
      <c r="B1345" s="78"/>
      <c r="C1345" s="157" t="s">
        <v>211</v>
      </c>
      <c r="D1345" s="157"/>
      <c r="E1345" s="157"/>
      <c r="F1345" s="187" t="s">
        <v>50</v>
      </c>
      <c r="G1345" s="188"/>
      <c r="H1345" s="136">
        <v>4.7</v>
      </c>
      <c r="I1345" s="136"/>
    </row>
    <row r="1346" spans="1:9" ht="12.75" customHeight="1" x14ac:dyDescent="0.2">
      <c r="A1346" s="94">
        <v>1337</v>
      </c>
      <c r="B1346" s="78"/>
      <c r="C1346" s="157" t="s">
        <v>2504</v>
      </c>
      <c r="D1346" s="157"/>
      <c r="E1346" s="157"/>
      <c r="F1346" s="187" t="s">
        <v>91</v>
      </c>
      <c r="G1346" s="188"/>
      <c r="H1346" s="136">
        <f>12+10.5-12</f>
        <v>10.5</v>
      </c>
      <c r="I1346" s="136"/>
    </row>
    <row r="1347" spans="1:9" ht="12.75" customHeight="1" x14ac:dyDescent="0.2">
      <c r="A1347" s="94">
        <v>1338</v>
      </c>
      <c r="B1347" s="78"/>
      <c r="C1347" s="157" t="s">
        <v>4541</v>
      </c>
      <c r="D1347" s="157"/>
      <c r="E1347" s="157"/>
      <c r="F1347" s="187" t="s">
        <v>53</v>
      </c>
      <c r="G1347" s="188"/>
      <c r="H1347" s="136">
        <v>5</v>
      </c>
      <c r="I1347" s="136"/>
    </row>
    <row r="1348" spans="1:9" ht="12.75" customHeight="1" x14ac:dyDescent="0.2">
      <c r="A1348" s="94">
        <v>1339</v>
      </c>
      <c r="B1348" s="78"/>
      <c r="C1348" s="157" t="s">
        <v>300</v>
      </c>
      <c r="D1348" s="157"/>
      <c r="E1348" s="157"/>
      <c r="F1348" s="187" t="s">
        <v>81</v>
      </c>
      <c r="G1348" s="188"/>
      <c r="H1348" s="136"/>
      <c r="I1348" s="136"/>
    </row>
    <row r="1349" spans="1:9" ht="12.75" customHeight="1" x14ac:dyDescent="0.2">
      <c r="A1349" s="94">
        <v>1340</v>
      </c>
      <c r="B1349" s="78"/>
      <c r="C1349" s="157" t="s">
        <v>337</v>
      </c>
      <c r="D1349" s="157"/>
      <c r="E1349" s="157"/>
      <c r="F1349" s="187" t="s">
        <v>278</v>
      </c>
      <c r="G1349" s="188"/>
      <c r="H1349" s="136"/>
      <c r="I1349" s="136"/>
    </row>
    <row r="1350" spans="1:9" ht="12.75" customHeight="1" x14ac:dyDescent="0.2">
      <c r="A1350" s="94">
        <v>1341</v>
      </c>
      <c r="B1350" s="78"/>
      <c r="C1350" s="157" t="s">
        <v>224</v>
      </c>
      <c r="D1350" s="157"/>
      <c r="E1350" s="157"/>
      <c r="F1350" s="187" t="s">
        <v>18</v>
      </c>
      <c r="G1350" s="188"/>
      <c r="H1350" s="136"/>
      <c r="I1350" s="136"/>
    </row>
    <row r="1351" spans="1:9" ht="12.75" customHeight="1" x14ac:dyDescent="0.2">
      <c r="A1351" s="94">
        <v>1342</v>
      </c>
      <c r="B1351" s="78"/>
      <c r="C1351" s="157" t="s">
        <v>224</v>
      </c>
      <c r="D1351" s="157"/>
      <c r="E1351" s="157"/>
      <c r="F1351" s="187" t="s">
        <v>84</v>
      </c>
      <c r="G1351" s="188"/>
      <c r="H1351" s="136"/>
      <c r="I1351" s="136"/>
    </row>
    <row r="1352" spans="1:9" ht="12.75" customHeight="1" x14ac:dyDescent="0.2">
      <c r="A1352" s="94">
        <v>1343</v>
      </c>
      <c r="B1352" s="78"/>
      <c r="C1352" s="157" t="s">
        <v>626</v>
      </c>
      <c r="D1352" s="157"/>
      <c r="E1352" s="157"/>
      <c r="F1352" s="187" t="s">
        <v>91</v>
      </c>
      <c r="G1352" s="188"/>
      <c r="H1352" s="136">
        <f>34.6+15.4</f>
        <v>50</v>
      </c>
      <c r="I1352" s="136"/>
    </row>
    <row r="1353" spans="1:9" ht="12.75" customHeight="1" x14ac:dyDescent="0.2">
      <c r="A1353" s="94">
        <v>1344</v>
      </c>
      <c r="B1353" s="78"/>
      <c r="C1353" s="157" t="s">
        <v>1131</v>
      </c>
      <c r="D1353" s="203"/>
      <c r="E1353" s="203"/>
      <c r="F1353" s="187" t="s">
        <v>240</v>
      </c>
      <c r="G1353" s="188"/>
      <c r="H1353" s="136">
        <f>37.2+93.9</f>
        <v>131.10000000000002</v>
      </c>
      <c r="I1353" s="136"/>
    </row>
    <row r="1354" spans="1:9" ht="12.75" customHeight="1" x14ac:dyDescent="0.2">
      <c r="A1354" s="94">
        <v>1345</v>
      </c>
      <c r="B1354" s="78"/>
      <c r="C1354" s="157" t="s">
        <v>686</v>
      </c>
      <c r="D1354" s="157"/>
      <c r="E1354" s="157"/>
      <c r="F1354" s="187" t="s">
        <v>472</v>
      </c>
      <c r="G1354" s="188"/>
      <c r="H1354" s="136">
        <f>115+12.1-49-28+4.8+37.9-35-4.8</f>
        <v>52.999999999999986</v>
      </c>
      <c r="I1354" s="136"/>
    </row>
    <row r="1355" spans="1:9" ht="12.75" customHeight="1" x14ac:dyDescent="0.2">
      <c r="A1355" s="94">
        <v>1346</v>
      </c>
      <c r="B1355" s="78"/>
      <c r="C1355" s="157" t="s">
        <v>686</v>
      </c>
      <c r="D1355" s="157"/>
      <c r="E1355" s="157"/>
      <c r="F1355" s="187" t="s">
        <v>472</v>
      </c>
      <c r="G1355" s="188"/>
      <c r="H1355" s="136">
        <f>793-130-429.5-116.5+44</f>
        <v>161</v>
      </c>
      <c r="I1355" s="136"/>
    </row>
    <row r="1356" spans="1:9" ht="12.75" customHeight="1" x14ac:dyDescent="0.2">
      <c r="A1356" s="94">
        <v>1347</v>
      </c>
      <c r="B1356" s="78"/>
      <c r="C1356" s="157" t="s">
        <v>389</v>
      </c>
      <c r="D1356" s="157"/>
      <c r="E1356" s="157"/>
      <c r="F1356" s="187" t="s">
        <v>390</v>
      </c>
      <c r="G1356" s="188"/>
      <c r="H1356" s="155">
        <v>1000</v>
      </c>
      <c r="I1356" s="156"/>
    </row>
    <row r="1357" spans="1:9" ht="12.75" customHeight="1" x14ac:dyDescent="0.2">
      <c r="A1357" s="94">
        <v>1348</v>
      </c>
      <c r="B1357" s="78"/>
      <c r="C1357" s="157" t="s">
        <v>363</v>
      </c>
      <c r="D1357" s="157"/>
      <c r="E1357" s="157"/>
      <c r="F1357" s="187" t="s">
        <v>53</v>
      </c>
      <c r="G1357" s="188"/>
      <c r="H1357" s="136">
        <v>7.6</v>
      </c>
      <c r="I1357" s="136"/>
    </row>
    <row r="1358" spans="1:9" ht="12.75" customHeight="1" x14ac:dyDescent="0.2">
      <c r="A1358" s="94">
        <v>1349</v>
      </c>
      <c r="B1358" s="78"/>
      <c r="C1358" s="157" t="s">
        <v>2781</v>
      </c>
      <c r="D1358" s="157"/>
      <c r="E1358" s="157"/>
      <c r="F1358" s="187" t="s">
        <v>2782</v>
      </c>
      <c r="G1358" s="188"/>
      <c r="H1358" s="136">
        <v>3.5</v>
      </c>
      <c r="I1358" s="136"/>
    </row>
    <row r="1359" spans="1:9" ht="12.75" customHeight="1" x14ac:dyDescent="0.2">
      <c r="A1359" s="94">
        <v>1350</v>
      </c>
      <c r="B1359" s="78"/>
      <c r="C1359" s="157" t="s">
        <v>336</v>
      </c>
      <c r="D1359" s="157"/>
      <c r="E1359" s="157"/>
      <c r="F1359" s="187" t="s">
        <v>53</v>
      </c>
      <c r="G1359" s="188"/>
      <c r="H1359" s="136">
        <v>16</v>
      </c>
      <c r="I1359" s="136"/>
    </row>
    <row r="1360" spans="1:9" ht="12.75" customHeight="1" x14ac:dyDescent="0.2">
      <c r="A1360" s="94">
        <v>1351</v>
      </c>
      <c r="B1360" s="78"/>
      <c r="C1360" s="157" t="s">
        <v>956</v>
      </c>
      <c r="D1360" s="157"/>
      <c r="E1360" s="157"/>
      <c r="F1360" s="187" t="s">
        <v>957</v>
      </c>
      <c r="G1360" s="188"/>
      <c r="H1360" s="136">
        <f>2.8+7.7</f>
        <v>10.5</v>
      </c>
      <c r="I1360" s="136"/>
    </row>
    <row r="1361" spans="1:9" ht="12.75" customHeight="1" x14ac:dyDescent="0.2">
      <c r="A1361" s="94">
        <v>1352</v>
      </c>
      <c r="B1361" s="78"/>
      <c r="C1361" s="157" t="s">
        <v>3691</v>
      </c>
      <c r="D1361" s="157"/>
      <c r="E1361" s="157"/>
      <c r="F1361" s="187" t="s">
        <v>3690</v>
      </c>
      <c r="G1361" s="188"/>
      <c r="H1361" s="136">
        <f>10+31.6+1.2+14.5+2.1+0.5+0.8+12.5+1.7+1.2+3.5+3.3+3.6+0.5-25-39.3-1-2+6.6+0.4+5.4+0.6+2.5+10+0.8+0.5+0.8-47.3+4+0.8+1.9+4.7+2.8+6.3-15.5+1.5-0.15+2.8+1.6</f>
        <v>10.749999999999998</v>
      </c>
      <c r="I1361" s="136"/>
    </row>
    <row r="1362" spans="1:9" ht="12.75" customHeight="1" x14ac:dyDescent="0.2">
      <c r="A1362" s="94">
        <v>1353</v>
      </c>
      <c r="B1362" s="78"/>
      <c r="C1362" s="157" t="s">
        <v>1738</v>
      </c>
      <c r="D1362" s="157"/>
      <c r="E1362" s="157"/>
      <c r="F1362" s="187" t="s">
        <v>1739</v>
      </c>
      <c r="G1362" s="188"/>
      <c r="H1362" s="136">
        <v>0.7</v>
      </c>
      <c r="I1362" s="136"/>
    </row>
    <row r="1363" spans="1:9" ht="12.75" customHeight="1" x14ac:dyDescent="0.2">
      <c r="A1363" s="94">
        <v>1354</v>
      </c>
      <c r="B1363" s="78"/>
      <c r="C1363" s="157" t="s">
        <v>952</v>
      </c>
      <c r="D1363" s="157"/>
      <c r="E1363" s="157"/>
      <c r="F1363" s="187" t="s">
        <v>93</v>
      </c>
      <c r="G1363" s="188"/>
      <c r="H1363" s="136">
        <f>1+11.2+8.6+3.9+4.7+7.2+5.4+2+1.1+1.9+3.6-0.9+3.8+4+2.9+1.6+2.9-0.4-1.3+1.8+0.7+0.6</f>
        <v>66.299999999999983</v>
      </c>
      <c r="I1363" s="136"/>
    </row>
    <row r="1364" spans="1:9" ht="12.75" customHeight="1" x14ac:dyDescent="0.2">
      <c r="A1364" s="94">
        <v>1355</v>
      </c>
      <c r="B1364" s="78"/>
      <c r="C1364" s="157" t="s">
        <v>499</v>
      </c>
      <c r="D1364" s="157"/>
      <c r="E1364" s="157"/>
      <c r="F1364" s="187" t="s">
        <v>92</v>
      </c>
      <c r="G1364" s="188"/>
      <c r="H1364" s="136">
        <f>15.9+4.3+2.9+45.3+0.9</f>
        <v>69.3</v>
      </c>
      <c r="I1364" s="136"/>
    </row>
    <row r="1365" spans="1:9" ht="12.75" customHeight="1" x14ac:dyDescent="0.2">
      <c r="A1365" s="94">
        <v>1356</v>
      </c>
      <c r="B1365" s="78"/>
      <c r="C1365" s="157" t="s">
        <v>830</v>
      </c>
      <c r="D1365" s="157"/>
      <c r="E1365" s="157"/>
      <c r="F1365" s="187" t="s">
        <v>831</v>
      </c>
      <c r="G1365" s="188"/>
      <c r="H1365" s="136">
        <v>5.6</v>
      </c>
      <c r="I1365" s="136"/>
    </row>
    <row r="1366" spans="1:9" ht="12.75" customHeight="1" x14ac:dyDescent="0.2">
      <c r="A1366" s="94">
        <v>1357</v>
      </c>
      <c r="B1366" s="78"/>
      <c r="C1366" s="157" t="s">
        <v>1345</v>
      </c>
      <c r="D1366" s="157"/>
      <c r="E1366" s="157"/>
      <c r="F1366" s="187" t="s">
        <v>622</v>
      </c>
      <c r="G1366" s="188"/>
      <c r="H1366" s="136">
        <v>2.1</v>
      </c>
      <c r="I1366" s="136"/>
    </row>
    <row r="1367" spans="1:9" ht="12.75" customHeight="1" x14ac:dyDescent="0.2">
      <c r="A1367" s="94">
        <v>1358</v>
      </c>
      <c r="B1367" s="78"/>
      <c r="C1367" s="157" t="s">
        <v>3132</v>
      </c>
      <c r="D1367" s="157"/>
      <c r="E1367" s="157"/>
      <c r="F1367" s="187" t="s">
        <v>3133</v>
      </c>
      <c r="G1367" s="188"/>
      <c r="H1367" s="136">
        <v>23.5</v>
      </c>
      <c r="I1367" s="136"/>
    </row>
    <row r="1368" spans="1:9" ht="12.75" customHeight="1" x14ac:dyDescent="0.2">
      <c r="A1368" s="94">
        <v>1359</v>
      </c>
      <c r="B1368" s="78"/>
      <c r="C1368" s="157" t="s">
        <v>166</v>
      </c>
      <c r="D1368" s="157"/>
      <c r="E1368" s="157"/>
      <c r="F1368" s="187" t="s">
        <v>230</v>
      </c>
      <c r="G1368" s="188"/>
      <c r="H1368" s="136"/>
      <c r="I1368" s="136"/>
    </row>
    <row r="1369" spans="1:9" x14ac:dyDescent="0.2">
      <c r="A1369" s="94"/>
      <c r="B1369" s="63"/>
      <c r="C1369" s="95"/>
      <c r="D1369" s="95"/>
      <c r="E1369" s="95"/>
      <c r="F1369" s="96"/>
      <c r="G1369" s="96"/>
      <c r="H1369" s="15"/>
      <c r="I1369" s="15"/>
    </row>
    <row r="1370" spans="1:9" s="17" customFormat="1" ht="15.75" x14ac:dyDescent="0.25">
      <c r="A1370" s="42"/>
      <c r="B1370" s="58"/>
      <c r="C1370" s="44"/>
      <c r="D1370" s="44"/>
      <c r="E1370" s="45"/>
      <c r="F1370" s="43"/>
      <c r="G1370" s="43"/>
      <c r="H1370" s="26"/>
      <c r="I1370" s="26"/>
    </row>
    <row r="1371" spans="1:9" s="17" customFormat="1" ht="13.5" customHeight="1" x14ac:dyDescent="0.2">
      <c r="A1371" s="46"/>
      <c r="B1371" s="47"/>
      <c r="C1371" s="46"/>
      <c r="D1371" s="75"/>
      <c r="E1371" s="163"/>
      <c r="F1371" s="163"/>
      <c r="G1371" s="163"/>
      <c r="H1371" s="75"/>
      <c r="I1371" s="46"/>
    </row>
    <row r="1372" spans="1:9" s="17" customFormat="1" ht="13.5" customHeight="1" x14ac:dyDescent="0.2">
      <c r="A1372" s="46"/>
      <c r="B1372" s="47"/>
      <c r="C1372" s="46"/>
      <c r="D1372" s="46"/>
      <c r="E1372" s="97"/>
      <c r="F1372" s="46"/>
      <c r="G1372" s="46"/>
      <c r="H1372" s="49"/>
      <c r="I1372" s="50"/>
    </row>
    <row r="1373" spans="1:9" s="17" customFormat="1" ht="15.75" x14ac:dyDescent="0.2">
      <c r="A1373" s="46"/>
      <c r="B1373" s="47"/>
      <c r="C1373" s="46"/>
      <c r="D1373" s="46"/>
      <c r="E1373" s="51"/>
      <c r="F1373" s="46"/>
      <c r="G1373" s="46"/>
      <c r="H1373" s="52"/>
      <c r="I1373" s="50"/>
    </row>
    <row r="1374" spans="1:9" s="17" customFormat="1" x14ac:dyDescent="0.2">
      <c r="A1374" s="46"/>
      <c r="B1374" s="47"/>
      <c r="C1374" s="46"/>
      <c r="D1374" s="46"/>
      <c r="E1374" s="97"/>
      <c r="F1374" s="46"/>
      <c r="G1374" s="46"/>
      <c r="H1374" s="52"/>
      <c r="I1374" s="50"/>
    </row>
    <row r="1375" spans="1:9" s="17" customFormat="1" ht="16.5" customHeight="1" x14ac:dyDescent="0.2">
      <c r="A1375" s="46"/>
      <c r="B1375" s="47"/>
      <c r="C1375" s="46"/>
      <c r="D1375" s="46"/>
      <c r="E1375" s="51"/>
      <c r="F1375" s="46"/>
      <c r="G1375" s="46"/>
      <c r="H1375" s="38"/>
      <c r="I1375" s="50"/>
    </row>
    <row r="1376" spans="1:9" s="17" customFormat="1" ht="13.5" customHeight="1" x14ac:dyDescent="0.2">
      <c r="A1376" s="46"/>
      <c r="B1376" s="47"/>
      <c r="C1376" s="46"/>
      <c r="D1376" s="46"/>
      <c r="E1376" s="97"/>
      <c r="F1376" s="46"/>
      <c r="G1376" s="46"/>
      <c r="H1376" s="52"/>
      <c r="I1376" s="50"/>
    </row>
    <row r="1377" spans="1:9" s="17" customFormat="1" ht="13.5" customHeight="1" x14ac:dyDescent="0.2">
      <c r="A1377" s="46"/>
      <c r="B1377" s="47"/>
      <c r="C1377" s="163"/>
      <c r="D1377" s="163"/>
      <c r="E1377" s="163"/>
      <c r="F1377" s="163"/>
      <c r="G1377" s="163"/>
      <c r="H1377" s="163"/>
      <c r="I1377" s="163"/>
    </row>
    <row r="1378" spans="1:9" s="17" customFormat="1" ht="31.5" customHeight="1" x14ac:dyDescent="0.2">
      <c r="A1378" s="46"/>
      <c r="B1378" s="47"/>
      <c r="C1378" s="75"/>
      <c r="D1378" s="75"/>
      <c r="E1378" s="97"/>
      <c r="F1378" s="75"/>
      <c r="G1378" s="75"/>
      <c r="H1378" s="53"/>
      <c r="I1378" s="54"/>
    </row>
    <row r="1379" spans="1:9" x14ac:dyDescent="0.2">
      <c r="B1379" s="29"/>
    </row>
    <row r="1380" spans="1:9" x14ac:dyDescent="0.2">
      <c r="B1380" s="29"/>
    </row>
    <row r="1381" spans="1:9" x14ac:dyDescent="0.2">
      <c r="B1381" s="29"/>
    </row>
    <row r="1382" spans="1:9" x14ac:dyDescent="0.2">
      <c r="B1382" s="29"/>
    </row>
    <row r="1383" spans="1:9" x14ac:dyDescent="0.2">
      <c r="B1383" s="29"/>
    </row>
    <row r="1384" spans="1:9" x14ac:dyDescent="0.2">
      <c r="B1384" s="29"/>
    </row>
    <row r="1385" spans="1:9" x14ac:dyDescent="0.2">
      <c r="B1385" s="29"/>
    </row>
    <row r="1386" spans="1:9" x14ac:dyDescent="0.2">
      <c r="B1386" s="29"/>
    </row>
    <row r="1387" spans="1:9" x14ac:dyDescent="0.2">
      <c r="B1387" s="29"/>
    </row>
    <row r="1388" spans="1:9" x14ac:dyDescent="0.2">
      <c r="B1388" s="29"/>
    </row>
    <row r="1389" spans="1:9" x14ac:dyDescent="0.2">
      <c r="B1389" s="29"/>
    </row>
    <row r="1390" spans="1:9" x14ac:dyDescent="0.2">
      <c r="B1390" s="29"/>
    </row>
    <row r="1391" spans="1:9" x14ac:dyDescent="0.2">
      <c r="B1391" s="29"/>
    </row>
    <row r="1392" spans="1:9" x14ac:dyDescent="0.2">
      <c r="B1392" s="29"/>
    </row>
    <row r="1393" spans="2:2" x14ac:dyDescent="0.2">
      <c r="B1393" s="29"/>
    </row>
    <row r="1394" spans="2:2" x14ac:dyDescent="0.2">
      <c r="B1394" s="29"/>
    </row>
    <row r="1395" spans="2:2" x14ac:dyDescent="0.2">
      <c r="B1395" s="29"/>
    </row>
    <row r="1396" spans="2:2" x14ac:dyDescent="0.2">
      <c r="B1396" s="29"/>
    </row>
    <row r="1397" spans="2:2" x14ac:dyDescent="0.2">
      <c r="B1397" s="29"/>
    </row>
    <row r="1398" spans="2:2" x14ac:dyDescent="0.2">
      <c r="B1398" s="29"/>
    </row>
    <row r="1399" spans="2:2" x14ac:dyDescent="0.2">
      <c r="B1399" s="29"/>
    </row>
    <row r="1400" spans="2:2" x14ac:dyDescent="0.2">
      <c r="B1400" s="29"/>
    </row>
    <row r="1401" spans="2:2" x14ac:dyDescent="0.2">
      <c r="B1401" s="29"/>
    </row>
    <row r="1402" spans="2:2" x14ac:dyDescent="0.2">
      <c r="B1402" s="29"/>
    </row>
    <row r="1403" spans="2:2" x14ac:dyDescent="0.2">
      <c r="B1403" s="29"/>
    </row>
    <row r="1404" spans="2:2" x14ac:dyDescent="0.2">
      <c r="B1404" s="29"/>
    </row>
    <row r="1405" spans="2:2" x14ac:dyDescent="0.2">
      <c r="B1405" s="29"/>
    </row>
    <row r="1406" spans="2:2" x14ac:dyDescent="0.2">
      <c r="B1406" s="29"/>
    </row>
    <row r="1407" spans="2:2" x14ac:dyDescent="0.2">
      <c r="B1407" s="29"/>
    </row>
    <row r="1408" spans="2:2" x14ac:dyDescent="0.2">
      <c r="B1408" s="29"/>
    </row>
    <row r="1409" spans="2:2" x14ac:dyDescent="0.2">
      <c r="B1409" s="29"/>
    </row>
    <row r="1410" spans="2:2" x14ac:dyDescent="0.2">
      <c r="B1410" s="29"/>
    </row>
    <row r="1411" spans="2:2" x14ac:dyDescent="0.2">
      <c r="B1411" s="29"/>
    </row>
    <row r="1412" spans="2:2" x14ac:dyDescent="0.2">
      <c r="B1412" s="29"/>
    </row>
    <row r="1413" spans="2:2" x14ac:dyDescent="0.2">
      <c r="B1413" s="29"/>
    </row>
    <row r="1414" spans="2:2" x14ac:dyDescent="0.2">
      <c r="B1414" s="29"/>
    </row>
    <row r="1415" spans="2:2" x14ac:dyDescent="0.2">
      <c r="B1415" s="29"/>
    </row>
    <row r="1416" spans="2:2" x14ac:dyDescent="0.2">
      <c r="B1416" s="29"/>
    </row>
    <row r="1417" spans="2:2" x14ac:dyDescent="0.2">
      <c r="B1417" s="29"/>
    </row>
    <row r="1418" spans="2:2" x14ac:dyDescent="0.2">
      <c r="B1418" s="29"/>
    </row>
    <row r="1419" spans="2:2" x14ac:dyDescent="0.2">
      <c r="B1419" s="29"/>
    </row>
    <row r="1420" spans="2:2" x14ac:dyDescent="0.2">
      <c r="B1420" s="29"/>
    </row>
    <row r="1421" spans="2:2" x14ac:dyDescent="0.2">
      <c r="B1421" s="29"/>
    </row>
    <row r="1422" spans="2:2" x14ac:dyDescent="0.2">
      <c r="B1422" s="29"/>
    </row>
    <row r="1423" spans="2:2" x14ac:dyDescent="0.2">
      <c r="B1423" s="29"/>
    </row>
    <row r="1424" spans="2:2" x14ac:dyDescent="0.2">
      <c r="B1424" s="29"/>
    </row>
    <row r="1425" spans="2:2" x14ac:dyDescent="0.2">
      <c r="B1425" s="29"/>
    </row>
    <row r="1426" spans="2:2" x14ac:dyDescent="0.2">
      <c r="B1426" s="29"/>
    </row>
    <row r="1427" spans="2:2" x14ac:dyDescent="0.2">
      <c r="B1427" s="29"/>
    </row>
    <row r="1428" spans="2:2" x14ac:dyDescent="0.2">
      <c r="B1428" s="29"/>
    </row>
    <row r="1429" spans="2:2" x14ac:dyDescent="0.2">
      <c r="B1429" s="29"/>
    </row>
    <row r="1430" spans="2:2" x14ac:dyDescent="0.2">
      <c r="B1430" s="29"/>
    </row>
    <row r="1431" spans="2:2" x14ac:dyDescent="0.2">
      <c r="B1431" s="29"/>
    </row>
    <row r="1432" spans="2:2" x14ac:dyDescent="0.2">
      <c r="B1432" s="29"/>
    </row>
    <row r="1433" spans="2:2" x14ac:dyDescent="0.2">
      <c r="B1433" s="29"/>
    </row>
    <row r="1434" spans="2:2" x14ac:dyDescent="0.2">
      <c r="B1434" s="29"/>
    </row>
    <row r="1435" spans="2:2" x14ac:dyDescent="0.2">
      <c r="B1435" s="29"/>
    </row>
    <row r="1436" spans="2:2" x14ac:dyDescent="0.2">
      <c r="B1436" s="29"/>
    </row>
    <row r="1437" spans="2:2" x14ac:dyDescent="0.2">
      <c r="B1437" s="29"/>
    </row>
    <row r="1438" spans="2:2" x14ac:dyDescent="0.2">
      <c r="B1438" s="29"/>
    </row>
    <row r="1439" spans="2:2" x14ac:dyDescent="0.2">
      <c r="B1439" s="29"/>
    </row>
    <row r="1440" spans="2:2" x14ac:dyDescent="0.2">
      <c r="B1440" s="29"/>
    </row>
    <row r="1441" spans="2:2" x14ac:dyDescent="0.2">
      <c r="B1441" s="29"/>
    </row>
    <row r="1442" spans="2:2" x14ac:dyDescent="0.2">
      <c r="B1442" s="29"/>
    </row>
    <row r="1443" spans="2:2" x14ac:dyDescent="0.2">
      <c r="B1443" s="29"/>
    </row>
    <row r="1444" spans="2:2" x14ac:dyDescent="0.2">
      <c r="B1444" s="29"/>
    </row>
    <row r="1445" spans="2:2" x14ac:dyDescent="0.2">
      <c r="B1445" s="29"/>
    </row>
    <row r="1446" spans="2:2" x14ac:dyDescent="0.2">
      <c r="B1446" s="29"/>
    </row>
    <row r="1447" spans="2:2" x14ac:dyDescent="0.2">
      <c r="B1447" s="29"/>
    </row>
    <row r="1448" spans="2:2" x14ac:dyDescent="0.2">
      <c r="B1448" s="29"/>
    </row>
    <row r="1449" spans="2:2" x14ac:dyDescent="0.2">
      <c r="B1449" s="29"/>
    </row>
    <row r="1450" spans="2:2" x14ac:dyDescent="0.2">
      <c r="B1450" s="29"/>
    </row>
    <row r="1451" spans="2:2" x14ac:dyDescent="0.2">
      <c r="B1451" s="29"/>
    </row>
    <row r="1452" spans="2:2" x14ac:dyDescent="0.2">
      <c r="B1452" s="29"/>
    </row>
    <row r="1453" spans="2:2" x14ac:dyDescent="0.2">
      <c r="B1453" s="29"/>
    </row>
    <row r="1454" spans="2:2" x14ac:dyDescent="0.2">
      <c r="B1454" s="29"/>
    </row>
    <row r="1455" spans="2:2" x14ac:dyDescent="0.2">
      <c r="B1455" s="29"/>
    </row>
    <row r="1456" spans="2:2" x14ac:dyDescent="0.2">
      <c r="B1456" s="29"/>
    </row>
    <row r="1457" spans="2:2" x14ac:dyDescent="0.2">
      <c r="B1457" s="29"/>
    </row>
    <row r="1458" spans="2:2" x14ac:dyDescent="0.2">
      <c r="B1458" s="29"/>
    </row>
    <row r="1459" spans="2:2" x14ac:dyDescent="0.2">
      <c r="B1459" s="29"/>
    </row>
    <row r="1460" spans="2:2" x14ac:dyDescent="0.2">
      <c r="B1460" s="29"/>
    </row>
    <row r="1461" spans="2:2" x14ac:dyDescent="0.2">
      <c r="B1461" s="29"/>
    </row>
    <row r="1462" spans="2:2" x14ac:dyDescent="0.2">
      <c r="B1462" s="29"/>
    </row>
    <row r="1463" spans="2:2" x14ac:dyDescent="0.2">
      <c r="B1463" s="29"/>
    </row>
    <row r="1464" spans="2:2" x14ac:dyDescent="0.2">
      <c r="B1464" s="29"/>
    </row>
    <row r="1465" spans="2:2" x14ac:dyDescent="0.2">
      <c r="B1465" s="29"/>
    </row>
    <row r="1466" spans="2:2" x14ac:dyDescent="0.2">
      <c r="B1466" s="29"/>
    </row>
    <row r="1467" spans="2:2" x14ac:dyDescent="0.2">
      <c r="B1467" s="29"/>
    </row>
    <row r="1468" spans="2:2" x14ac:dyDescent="0.2">
      <c r="B1468" s="29"/>
    </row>
    <row r="1469" spans="2:2" x14ac:dyDescent="0.2">
      <c r="B1469" s="29"/>
    </row>
    <row r="1470" spans="2:2" x14ac:dyDescent="0.2">
      <c r="B1470" s="29"/>
    </row>
    <row r="1471" spans="2:2" x14ac:dyDescent="0.2">
      <c r="B1471" s="29"/>
    </row>
    <row r="1472" spans="2:2" x14ac:dyDescent="0.2">
      <c r="B1472" s="29"/>
    </row>
    <row r="1473" spans="2:2" x14ac:dyDescent="0.2">
      <c r="B1473" s="29"/>
    </row>
    <row r="1474" spans="2:2" x14ac:dyDescent="0.2">
      <c r="B1474" s="29"/>
    </row>
    <row r="1475" spans="2:2" x14ac:dyDescent="0.2">
      <c r="B1475" s="29"/>
    </row>
    <row r="1476" spans="2:2" x14ac:dyDescent="0.2">
      <c r="B1476" s="29"/>
    </row>
    <row r="1477" spans="2:2" x14ac:dyDescent="0.2">
      <c r="B1477" s="29"/>
    </row>
    <row r="1478" spans="2:2" x14ac:dyDescent="0.2">
      <c r="B1478" s="29"/>
    </row>
    <row r="1479" spans="2:2" x14ac:dyDescent="0.2">
      <c r="B1479" s="29"/>
    </row>
    <row r="1480" spans="2:2" x14ac:dyDescent="0.2">
      <c r="B1480" s="29"/>
    </row>
    <row r="1481" spans="2:2" x14ac:dyDescent="0.2">
      <c r="B1481" s="29"/>
    </row>
    <row r="1482" spans="2:2" x14ac:dyDescent="0.2">
      <c r="B1482" s="29"/>
    </row>
    <row r="1483" spans="2:2" x14ac:dyDescent="0.2">
      <c r="B1483" s="29"/>
    </row>
    <row r="1484" spans="2:2" x14ac:dyDescent="0.2">
      <c r="B1484" s="29"/>
    </row>
    <row r="1485" spans="2:2" x14ac:dyDescent="0.2">
      <c r="B1485" s="29"/>
    </row>
    <row r="1486" spans="2:2" x14ac:dyDescent="0.2">
      <c r="B1486" s="29"/>
    </row>
    <row r="1487" spans="2:2" x14ac:dyDescent="0.2">
      <c r="B1487" s="29"/>
    </row>
    <row r="1488" spans="2:2" x14ac:dyDescent="0.2">
      <c r="B1488" s="29"/>
    </row>
    <row r="1489" spans="2:2" x14ac:dyDescent="0.2">
      <c r="B1489" s="29"/>
    </row>
    <row r="1490" spans="2:2" x14ac:dyDescent="0.2">
      <c r="B1490" s="29"/>
    </row>
    <row r="1491" spans="2:2" x14ac:dyDescent="0.2">
      <c r="B1491" s="29"/>
    </row>
    <row r="1492" spans="2:2" x14ac:dyDescent="0.2">
      <c r="B1492" s="29"/>
    </row>
    <row r="1493" spans="2:2" x14ac:dyDescent="0.2">
      <c r="B1493" s="29"/>
    </row>
    <row r="1494" spans="2:2" x14ac:dyDescent="0.2">
      <c r="B1494" s="29"/>
    </row>
    <row r="1495" spans="2:2" x14ac:dyDescent="0.2">
      <c r="B1495" s="29"/>
    </row>
    <row r="1496" spans="2:2" x14ac:dyDescent="0.2">
      <c r="B1496" s="29"/>
    </row>
    <row r="1497" spans="2:2" x14ac:dyDescent="0.2">
      <c r="B1497" s="29"/>
    </row>
    <row r="1498" spans="2:2" x14ac:dyDescent="0.2">
      <c r="B1498" s="29"/>
    </row>
    <row r="1499" spans="2:2" x14ac:dyDescent="0.2">
      <c r="B1499" s="29"/>
    </row>
    <row r="1500" spans="2:2" x14ac:dyDescent="0.2">
      <c r="B1500" s="29"/>
    </row>
    <row r="1501" spans="2:2" x14ac:dyDescent="0.2">
      <c r="B1501" s="29"/>
    </row>
    <row r="1502" spans="2:2" x14ac:dyDescent="0.2">
      <c r="B1502" s="29"/>
    </row>
    <row r="1503" spans="2:2" x14ac:dyDescent="0.2">
      <c r="B1503" s="29"/>
    </row>
    <row r="1504" spans="2:2" x14ac:dyDescent="0.2">
      <c r="B1504" s="29"/>
    </row>
    <row r="1505" spans="2:2" x14ac:dyDescent="0.2">
      <c r="B1505" s="29"/>
    </row>
    <row r="1506" spans="2:2" x14ac:dyDescent="0.2">
      <c r="B1506" s="29"/>
    </row>
    <row r="1507" spans="2:2" x14ac:dyDescent="0.2">
      <c r="B1507" s="29"/>
    </row>
    <row r="1508" spans="2:2" x14ac:dyDescent="0.2">
      <c r="B1508" s="29"/>
    </row>
    <row r="1509" spans="2:2" x14ac:dyDescent="0.2">
      <c r="B1509" s="29"/>
    </row>
    <row r="1510" spans="2:2" x14ac:dyDescent="0.2">
      <c r="B1510" s="29"/>
    </row>
    <row r="1511" spans="2:2" x14ac:dyDescent="0.2">
      <c r="B1511" s="29"/>
    </row>
    <row r="1512" spans="2:2" x14ac:dyDescent="0.2">
      <c r="B1512" s="29"/>
    </row>
    <row r="1513" spans="2:2" x14ac:dyDescent="0.2">
      <c r="B1513" s="29"/>
    </row>
    <row r="1514" spans="2:2" x14ac:dyDescent="0.2">
      <c r="B1514" s="29"/>
    </row>
    <row r="1515" spans="2:2" x14ac:dyDescent="0.2">
      <c r="B1515" s="29"/>
    </row>
    <row r="1516" spans="2:2" x14ac:dyDescent="0.2">
      <c r="B1516" s="29"/>
    </row>
    <row r="1517" spans="2:2" x14ac:dyDescent="0.2">
      <c r="B1517" s="29"/>
    </row>
    <row r="1518" spans="2:2" x14ac:dyDescent="0.2">
      <c r="B1518" s="29"/>
    </row>
    <row r="1519" spans="2:2" x14ac:dyDescent="0.2">
      <c r="B1519" s="29"/>
    </row>
    <row r="1520" spans="2:2" x14ac:dyDescent="0.2">
      <c r="B1520" s="29"/>
    </row>
    <row r="1521" spans="2:2" x14ac:dyDescent="0.2">
      <c r="B1521" s="29"/>
    </row>
    <row r="1522" spans="2:2" x14ac:dyDescent="0.2">
      <c r="B1522" s="29"/>
    </row>
    <row r="1523" spans="2:2" x14ac:dyDescent="0.2">
      <c r="B1523" s="29"/>
    </row>
    <row r="1524" spans="2:2" x14ac:dyDescent="0.2">
      <c r="B1524" s="29"/>
    </row>
    <row r="1525" spans="2:2" x14ac:dyDescent="0.2">
      <c r="B1525" s="29"/>
    </row>
    <row r="1526" spans="2:2" x14ac:dyDescent="0.2">
      <c r="B1526" s="29"/>
    </row>
    <row r="1527" spans="2:2" x14ac:dyDescent="0.2">
      <c r="B1527" s="29"/>
    </row>
    <row r="1528" spans="2:2" x14ac:dyDescent="0.2">
      <c r="B1528" s="29"/>
    </row>
    <row r="1529" spans="2:2" x14ac:dyDescent="0.2">
      <c r="B1529" s="29"/>
    </row>
    <row r="1530" spans="2:2" x14ac:dyDescent="0.2">
      <c r="B1530" s="29"/>
    </row>
    <row r="1531" spans="2:2" x14ac:dyDescent="0.2">
      <c r="B1531" s="29"/>
    </row>
    <row r="1532" spans="2:2" x14ac:dyDescent="0.2">
      <c r="B1532" s="29"/>
    </row>
    <row r="1533" spans="2:2" x14ac:dyDescent="0.2">
      <c r="B1533" s="29"/>
    </row>
    <row r="1534" spans="2:2" x14ac:dyDescent="0.2">
      <c r="B1534" s="29"/>
    </row>
    <row r="1535" spans="2:2" x14ac:dyDescent="0.2">
      <c r="B1535" s="29"/>
    </row>
    <row r="1536" spans="2:2" x14ac:dyDescent="0.2">
      <c r="B1536" s="29"/>
    </row>
    <row r="1537" spans="2:2" x14ac:dyDescent="0.2">
      <c r="B1537" s="29"/>
    </row>
    <row r="1538" spans="2:2" x14ac:dyDescent="0.2">
      <c r="B1538" s="29"/>
    </row>
    <row r="1539" spans="2:2" x14ac:dyDescent="0.2">
      <c r="B1539" s="29"/>
    </row>
    <row r="1540" spans="2:2" x14ac:dyDescent="0.2">
      <c r="B1540" s="29"/>
    </row>
    <row r="1541" spans="2:2" x14ac:dyDescent="0.2">
      <c r="B1541" s="29"/>
    </row>
    <row r="1542" spans="2:2" x14ac:dyDescent="0.2">
      <c r="B1542" s="29"/>
    </row>
    <row r="1543" spans="2:2" x14ac:dyDescent="0.2">
      <c r="B1543" s="29"/>
    </row>
    <row r="1544" spans="2:2" x14ac:dyDescent="0.2">
      <c r="B1544" s="29"/>
    </row>
    <row r="1545" spans="2:2" x14ac:dyDescent="0.2">
      <c r="B1545" s="29"/>
    </row>
    <row r="1546" spans="2:2" x14ac:dyDescent="0.2">
      <c r="B1546" s="29"/>
    </row>
    <row r="1547" spans="2:2" x14ac:dyDescent="0.2">
      <c r="B1547" s="29"/>
    </row>
    <row r="1548" spans="2:2" x14ac:dyDescent="0.2">
      <c r="B1548" s="29"/>
    </row>
    <row r="1549" spans="2:2" x14ac:dyDescent="0.2">
      <c r="B1549" s="29"/>
    </row>
    <row r="1550" spans="2:2" x14ac:dyDescent="0.2">
      <c r="B1550" s="29"/>
    </row>
    <row r="1551" spans="2:2" x14ac:dyDescent="0.2">
      <c r="B1551" s="29"/>
    </row>
    <row r="1552" spans="2:2" x14ac:dyDescent="0.2">
      <c r="B1552" s="29"/>
    </row>
    <row r="1553" spans="2:2" x14ac:dyDescent="0.2">
      <c r="B1553" s="29"/>
    </row>
    <row r="1554" spans="2:2" x14ac:dyDescent="0.2">
      <c r="B1554" s="29"/>
    </row>
    <row r="1555" spans="2:2" x14ac:dyDescent="0.2">
      <c r="B1555" s="29"/>
    </row>
    <row r="1556" spans="2:2" x14ac:dyDescent="0.2">
      <c r="B1556" s="29"/>
    </row>
    <row r="1557" spans="2:2" x14ac:dyDescent="0.2">
      <c r="B1557" s="29"/>
    </row>
    <row r="1558" spans="2:2" x14ac:dyDescent="0.2">
      <c r="B1558" s="29"/>
    </row>
    <row r="1559" spans="2:2" x14ac:dyDescent="0.2">
      <c r="B1559" s="29"/>
    </row>
    <row r="1560" spans="2:2" x14ac:dyDescent="0.2">
      <c r="B1560" s="29"/>
    </row>
    <row r="1561" spans="2:2" x14ac:dyDescent="0.2">
      <c r="B1561" s="29"/>
    </row>
    <row r="1562" spans="2:2" x14ac:dyDescent="0.2">
      <c r="B1562" s="29"/>
    </row>
    <row r="1563" spans="2:2" x14ac:dyDescent="0.2">
      <c r="B1563" s="29"/>
    </row>
    <row r="1564" spans="2:2" x14ac:dyDescent="0.2">
      <c r="B1564" s="29"/>
    </row>
    <row r="1565" spans="2:2" x14ac:dyDescent="0.2">
      <c r="B1565" s="29"/>
    </row>
    <row r="1566" spans="2:2" x14ac:dyDescent="0.2">
      <c r="B1566" s="29"/>
    </row>
    <row r="1567" spans="2:2" x14ac:dyDescent="0.2">
      <c r="B1567" s="29"/>
    </row>
    <row r="1568" spans="2:2" x14ac:dyDescent="0.2">
      <c r="B1568" s="29"/>
    </row>
    <row r="1569" spans="2:2" x14ac:dyDescent="0.2">
      <c r="B1569" s="29"/>
    </row>
    <row r="1570" spans="2:2" x14ac:dyDescent="0.2">
      <c r="B1570" s="29"/>
    </row>
    <row r="1571" spans="2:2" x14ac:dyDescent="0.2">
      <c r="B1571" s="29"/>
    </row>
    <row r="1572" spans="2:2" x14ac:dyDescent="0.2">
      <c r="B1572" s="29"/>
    </row>
    <row r="1573" spans="2:2" x14ac:dyDescent="0.2">
      <c r="B1573" s="29"/>
    </row>
    <row r="1574" spans="2:2" x14ac:dyDescent="0.2">
      <c r="B1574" s="29"/>
    </row>
    <row r="1575" spans="2:2" x14ac:dyDescent="0.2">
      <c r="B1575" s="29"/>
    </row>
    <row r="1576" spans="2:2" x14ac:dyDescent="0.2">
      <c r="B1576" s="29"/>
    </row>
    <row r="1577" spans="2:2" x14ac:dyDescent="0.2">
      <c r="B1577" s="29"/>
    </row>
    <row r="1578" spans="2:2" x14ac:dyDescent="0.2">
      <c r="B1578" s="29"/>
    </row>
    <row r="1579" spans="2:2" x14ac:dyDescent="0.2">
      <c r="B1579" s="29"/>
    </row>
    <row r="1580" spans="2:2" x14ac:dyDescent="0.2">
      <c r="B1580" s="29"/>
    </row>
    <row r="1581" spans="2:2" x14ac:dyDescent="0.2">
      <c r="B1581" s="29"/>
    </row>
    <row r="1582" spans="2:2" x14ac:dyDescent="0.2">
      <c r="B1582" s="29"/>
    </row>
    <row r="1583" spans="2:2" x14ac:dyDescent="0.2">
      <c r="B1583" s="29"/>
    </row>
    <row r="1584" spans="2:2" x14ac:dyDescent="0.2">
      <c r="B1584" s="29"/>
    </row>
    <row r="1585" spans="2:2" x14ac:dyDescent="0.2">
      <c r="B1585" s="29"/>
    </row>
    <row r="1586" spans="2:2" x14ac:dyDescent="0.2">
      <c r="B1586" s="29"/>
    </row>
    <row r="1587" spans="2:2" x14ac:dyDescent="0.2">
      <c r="B1587" s="29"/>
    </row>
    <row r="1588" spans="2:2" x14ac:dyDescent="0.2">
      <c r="B1588" s="29"/>
    </row>
    <row r="1589" spans="2:2" x14ac:dyDescent="0.2">
      <c r="B1589" s="29"/>
    </row>
    <row r="1590" spans="2:2" x14ac:dyDescent="0.2">
      <c r="B1590" s="29"/>
    </row>
    <row r="1591" spans="2:2" x14ac:dyDescent="0.2">
      <c r="B1591" s="29"/>
    </row>
    <row r="1592" spans="2:2" x14ac:dyDescent="0.2">
      <c r="B1592" s="29"/>
    </row>
    <row r="1593" spans="2:2" x14ac:dyDescent="0.2">
      <c r="B1593" s="29"/>
    </row>
    <row r="1594" spans="2:2" x14ac:dyDescent="0.2">
      <c r="B1594" s="29"/>
    </row>
    <row r="1595" spans="2:2" x14ac:dyDescent="0.2">
      <c r="B1595" s="29"/>
    </row>
    <row r="1596" spans="2:2" x14ac:dyDescent="0.2">
      <c r="B1596" s="29"/>
    </row>
    <row r="1597" spans="2:2" x14ac:dyDescent="0.2">
      <c r="B1597" s="29"/>
    </row>
    <row r="1598" spans="2:2" x14ac:dyDescent="0.2">
      <c r="B1598" s="29"/>
    </row>
    <row r="1599" spans="2:2" x14ac:dyDescent="0.2">
      <c r="B1599" s="29"/>
    </row>
    <row r="1600" spans="2:2" x14ac:dyDescent="0.2">
      <c r="B1600" s="29"/>
    </row>
    <row r="1601" spans="2:2" x14ac:dyDescent="0.2">
      <c r="B1601" s="29"/>
    </row>
    <row r="1602" spans="2:2" x14ac:dyDescent="0.2">
      <c r="B1602" s="29"/>
    </row>
    <row r="1603" spans="2:2" x14ac:dyDescent="0.2">
      <c r="B1603" s="29"/>
    </row>
    <row r="1604" spans="2:2" x14ac:dyDescent="0.2">
      <c r="B1604" s="29"/>
    </row>
    <row r="1605" spans="2:2" x14ac:dyDescent="0.2">
      <c r="B1605" s="29"/>
    </row>
    <row r="1606" spans="2:2" x14ac:dyDescent="0.2">
      <c r="B1606" s="29"/>
    </row>
    <row r="1607" spans="2:2" x14ac:dyDescent="0.2">
      <c r="B1607" s="29"/>
    </row>
    <row r="1608" spans="2:2" x14ac:dyDescent="0.2">
      <c r="B1608" s="29"/>
    </row>
    <row r="1609" spans="2:2" x14ac:dyDescent="0.2">
      <c r="B1609" s="29"/>
    </row>
    <row r="1610" spans="2:2" x14ac:dyDescent="0.2">
      <c r="B1610" s="29"/>
    </row>
    <row r="1611" spans="2:2" x14ac:dyDescent="0.2">
      <c r="B1611" s="29"/>
    </row>
    <row r="1612" spans="2:2" x14ac:dyDescent="0.2">
      <c r="B1612" s="29"/>
    </row>
    <row r="1613" spans="2:2" x14ac:dyDescent="0.2">
      <c r="B1613" s="29"/>
    </row>
    <row r="1614" spans="2:2" x14ac:dyDescent="0.2">
      <c r="B1614" s="29"/>
    </row>
    <row r="1615" spans="2:2" x14ac:dyDescent="0.2">
      <c r="B1615" s="29"/>
    </row>
    <row r="1616" spans="2:2" x14ac:dyDescent="0.2">
      <c r="B1616" s="29"/>
    </row>
    <row r="1617" spans="2:2" x14ac:dyDescent="0.2">
      <c r="B1617" s="29"/>
    </row>
    <row r="1618" spans="2:2" x14ac:dyDescent="0.2">
      <c r="B1618" s="29"/>
    </row>
    <row r="1619" spans="2:2" x14ac:dyDescent="0.2">
      <c r="B1619" s="29"/>
    </row>
    <row r="1620" spans="2:2" x14ac:dyDescent="0.2">
      <c r="B1620" s="29"/>
    </row>
    <row r="1621" spans="2:2" x14ac:dyDescent="0.2">
      <c r="B1621" s="29"/>
    </row>
    <row r="1622" spans="2:2" x14ac:dyDescent="0.2">
      <c r="B1622" s="29"/>
    </row>
    <row r="1623" spans="2:2" x14ac:dyDescent="0.2">
      <c r="B1623" s="29"/>
    </row>
    <row r="1624" spans="2:2" x14ac:dyDescent="0.2">
      <c r="B1624" s="29"/>
    </row>
    <row r="1625" spans="2:2" x14ac:dyDescent="0.2">
      <c r="B1625" s="29"/>
    </row>
    <row r="1626" spans="2:2" x14ac:dyDescent="0.2">
      <c r="B1626" s="29"/>
    </row>
    <row r="1627" spans="2:2" x14ac:dyDescent="0.2">
      <c r="B1627" s="29"/>
    </row>
    <row r="1628" spans="2:2" x14ac:dyDescent="0.2">
      <c r="B1628" s="29"/>
    </row>
    <row r="1629" spans="2:2" x14ac:dyDescent="0.2">
      <c r="B1629" s="29"/>
    </row>
    <row r="1630" spans="2:2" x14ac:dyDescent="0.2">
      <c r="B1630" s="29"/>
    </row>
    <row r="1631" spans="2:2" x14ac:dyDescent="0.2">
      <c r="B1631" s="29"/>
    </row>
    <row r="1632" spans="2:2" x14ac:dyDescent="0.2">
      <c r="B1632" s="29"/>
    </row>
    <row r="1633" spans="2:2" x14ac:dyDescent="0.2">
      <c r="B1633" s="29"/>
    </row>
    <row r="1634" spans="2:2" x14ac:dyDescent="0.2">
      <c r="B1634" s="29"/>
    </row>
    <row r="1635" spans="2:2" x14ac:dyDescent="0.2">
      <c r="B1635" s="29"/>
    </row>
    <row r="1636" spans="2:2" x14ac:dyDescent="0.2">
      <c r="B1636" s="29"/>
    </row>
    <row r="1637" spans="2:2" x14ac:dyDescent="0.2">
      <c r="B1637" s="29"/>
    </row>
    <row r="1638" spans="2:2" x14ac:dyDescent="0.2">
      <c r="B1638" s="29"/>
    </row>
    <row r="1639" spans="2:2" x14ac:dyDescent="0.2">
      <c r="B1639" s="29"/>
    </row>
    <row r="1640" spans="2:2" x14ac:dyDescent="0.2">
      <c r="B1640" s="29"/>
    </row>
    <row r="1641" spans="2:2" x14ac:dyDescent="0.2">
      <c r="B1641" s="29"/>
    </row>
    <row r="1642" spans="2:2" x14ac:dyDescent="0.2">
      <c r="B1642" s="29"/>
    </row>
    <row r="1643" spans="2:2" x14ac:dyDescent="0.2">
      <c r="B1643" s="29"/>
    </row>
    <row r="1644" spans="2:2" x14ac:dyDescent="0.2">
      <c r="B1644" s="29"/>
    </row>
    <row r="1645" spans="2:2" x14ac:dyDescent="0.2">
      <c r="B1645" s="29"/>
    </row>
    <row r="1646" spans="2:2" x14ac:dyDescent="0.2">
      <c r="B1646" s="29"/>
    </row>
    <row r="1647" spans="2:2" x14ac:dyDescent="0.2">
      <c r="B1647" s="29"/>
    </row>
    <row r="1648" spans="2:2" x14ac:dyDescent="0.2">
      <c r="B1648" s="29"/>
    </row>
    <row r="1649" spans="2:2" x14ac:dyDescent="0.2">
      <c r="B1649" s="29"/>
    </row>
    <row r="1650" spans="2:2" x14ac:dyDescent="0.2">
      <c r="B1650" s="29"/>
    </row>
    <row r="1651" spans="2:2" x14ac:dyDescent="0.2">
      <c r="B1651" s="29"/>
    </row>
    <row r="1652" spans="2:2" x14ac:dyDescent="0.2">
      <c r="B1652" s="29"/>
    </row>
    <row r="1653" spans="2:2" x14ac:dyDescent="0.2">
      <c r="B1653" s="29"/>
    </row>
    <row r="1654" spans="2:2" x14ac:dyDescent="0.2">
      <c r="B1654" s="29"/>
    </row>
    <row r="1655" spans="2:2" x14ac:dyDescent="0.2">
      <c r="B1655" s="29"/>
    </row>
    <row r="1656" spans="2:2" x14ac:dyDescent="0.2">
      <c r="B1656" s="29"/>
    </row>
    <row r="1657" spans="2:2" x14ac:dyDescent="0.2">
      <c r="B1657" s="29"/>
    </row>
    <row r="1658" spans="2:2" x14ac:dyDescent="0.2">
      <c r="B1658" s="29"/>
    </row>
    <row r="1659" spans="2:2" x14ac:dyDescent="0.2">
      <c r="B1659" s="29"/>
    </row>
    <row r="1660" spans="2:2" x14ac:dyDescent="0.2">
      <c r="B1660" s="29"/>
    </row>
    <row r="1661" spans="2:2" x14ac:dyDescent="0.2">
      <c r="B1661" s="29"/>
    </row>
    <row r="1662" spans="2:2" x14ac:dyDescent="0.2">
      <c r="B1662" s="29"/>
    </row>
    <row r="1663" spans="2:2" x14ac:dyDescent="0.2">
      <c r="B1663" s="29"/>
    </row>
    <row r="1664" spans="2:2" x14ac:dyDescent="0.2">
      <c r="B1664" s="29"/>
    </row>
    <row r="1665" spans="2:2" x14ac:dyDescent="0.2">
      <c r="B1665" s="29"/>
    </row>
    <row r="1666" spans="2:2" x14ac:dyDescent="0.2">
      <c r="B1666" s="29"/>
    </row>
    <row r="1667" spans="2:2" x14ac:dyDescent="0.2">
      <c r="B1667" s="29"/>
    </row>
    <row r="1668" spans="2:2" x14ac:dyDescent="0.2">
      <c r="B1668" s="29"/>
    </row>
    <row r="1669" spans="2:2" x14ac:dyDescent="0.2">
      <c r="B1669" s="29"/>
    </row>
    <row r="1670" spans="2:2" x14ac:dyDescent="0.2">
      <c r="B1670" s="29"/>
    </row>
    <row r="1671" spans="2:2" x14ac:dyDescent="0.2">
      <c r="B1671" s="29"/>
    </row>
    <row r="1672" spans="2:2" x14ac:dyDescent="0.2">
      <c r="B1672" s="29"/>
    </row>
    <row r="1673" spans="2:2" x14ac:dyDescent="0.2">
      <c r="B1673" s="29"/>
    </row>
    <row r="1674" spans="2:2" x14ac:dyDescent="0.2">
      <c r="B1674" s="29"/>
    </row>
    <row r="1675" spans="2:2" x14ac:dyDescent="0.2">
      <c r="B1675" s="29"/>
    </row>
    <row r="1676" spans="2:2" x14ac:dyDescent="0.2">
      <c r="B1676" s="29"/>
    </row>
    <row r="1677" spans="2:2" x14ac:dyDescent="0.2">
      <c r="B1677" s="29"/>
    </row>
    <row r="1678" spans="2:2" x14ac:dyDescent="0.2">
      <c r="B1678" s="29"/>
    </row>
    <row r="1679" spans="2:2" x14ac:dyDescent="0.2">
      <c r="B1679" s="29"/>
    </row>
    <row r="1680" spans="2:2" x14ac:dyDescent="0.2">
      <c r="B1680" s="29"/>
    </row>
    <row r="1681" spans="2:2" x14ac:dyDescent="0.2">
      <c r="B1681" s="29"/>
    </row>
    <row r="1682" spans="2:2" x14ac:dyDescent="0.2">
      <c r="B1682" s="29"/>
    </row>
    <row r="1683" spans="2:2" x14ac:dyDescent="0.2">
      <c r="B1683" s="29"/>
    </row>
    <row r="1684" spans="2:2" x14ac:dyDescent="0.2">
      <c r="B1684" s="29"/>
    </row>
    <row r="1685" spans="2:2" x14ac:dyDescent="0.2">
      <c r="B1685" s="29"/>
    </row>
    <row r="1686" spans="2:2" x14ac:dyDescent="0.2">
      <c r="B1686" s="29"/>
    </row>
    <row r="1687" spans="2:2" x14ac:dyDescent="0.2">
      <c r="B1687" s="29"/>
    </row>
    <row r="1688" spans="2:2" x14ac:dyDescent="0.2">
      <c r="B1688" s="29"/>
    </row>
    <row r="1689" spans="2:2" x14ac:dyDescent="0.2">
      <c r="B1689" s="29"/>
    </row>
    <row r="1690" spans="2:2" x14ac:dyDescent="0.2">
      <c r="B1690" s="29"/>
    </row>
    <row r="1691" spans="2:2" x14ac:dyDescent="0.2">
      <c r="B1691" s="29"/>
    </row>
    <row r="1692" spans="2:2" x14ac:dyDescent="0.2">
      <c r="B1692" s="29"/>
    </row>
    <row r="1693" spans="2:2" x14ac:dyDescent="0.2">
      <c r="B1693" s="29"/>
    </row>
    <row r="1694" spans="2:2" x14ac:dyDescent="0.2">
      <c r="B1694" s="29"/>
    </row>
    <row r="1695" spans="2:2" x14ac:dyDescent="0.2">
      <c r="B1695" s="29"/>
    </row>
    <row r="1696" spans="2:2" x14ac:dyDescent="0.2">
      <c r="B1696" s="29"/>
    </row>
    <row r="1697" spans="2:2" x14ac:dyDescent="0.2">
      <c r="B1697" s="29"/>
    </row>
    <row r="1698" spans="2:2" x14ac:dyDescent="0.2">
      <c r="B1698" s="29"/>
    </row>
    <row r="1699" spans="2:2" x14ac:dyDescent="0.2">
      <c r="B1699" s="29"/>
    </row>
    <row r="1700" spans="2:2" x14ac:dyDescent="0.2">
      <c r="B1700" s="29"/>
    </row>
    <row r="1701" spans="2:2" x14ac:dyDescent="0.2">
      <c r="B1701" s="29"/>
    </row>
    <row r="1702" spans="2:2" x14ac:dyDescent="0.2">
      <c r="B1702" s="29"/>
    </row>
    <row r="1703" spans="2:2" x14ac:dyDescent="0.2">
      <c r="B1703" s="29"/>
    </row>
    <row r="1704" spans="2:2" x14ac:dyDescent="0.2">
      <c r="B1704" s="29"/>
    </row>
    <row r="1705" spans="2:2" x14ac:dyDescent="0.2">
      <c r="B1705" s="29"/>
    </row>
    <row r="1706" spans="2:2" x14ac:dyDescent="0.2">
      <c r="B1706" s="29"/>
    </row>
    <row r="1707" spans="2:2" x14ac:dyDescent="0.2">
      <c r="B1707" s="29"/>
    </row>
    <row r="1708" spans="2:2" x14ac:dyDescent="0.2">
      <c r="B1708" s="29"/>
    </row>
    <row r="1709" spans="2:2" x14ac:dyDescent="0.2">
      <c r="B1709" s="29"/>
    </row>
    <row r="1710" spans="2:2" x14ac:dyDescent="0.2">
      <c r="B1710" s="29"/>
    </row>
    <row r="1711" spans="2:2" x14ac:dyDescent="0.2">
      <c r="B1711" s="29"/>
    </row>
    <row r="1712" spans="2:2" x14ac:dyDescent="0.2">
      <c r="B1712" s="29"/>
    </row>
    <row r="1713" spans="2:2" x14ac:dyDescent="0.2">
      <c r="B1713" s="29"/>
    </row>
    <row r="1714" spans="2:2" x14ac:dyDescent="0.2">
      <c r="B1714" s="29"/>
    </row>
    <row r="1715" spans="2:2" x14ac:dyDescent="0.2">
      <c r="B1715" s="29"/>
    </row>
    <row r="1716" spans="2:2" x14ac:dyDescent="0.2">
      <c r="B1716" s="29"/>
    </row>
    <row r="1717" spans="2:2" x14ac:dyDescent="0.2">
      <c r="B1717" s="29"/>
    </row>
    <row r="1718" spans="2:2" x14ac:dyDescent="0.2">
      <c r="B1718" s="29"/>
    </row>
    <row r="1719" spans="2:2" x14ac:dyDescent="0.2">
      <c r="B1719" s="29"/>
    </row>
    <row r="1720" spans="2:2" x14ac:dyDescent="0.2">
      <c r="B1720" s="29"/>
    </row>
    <row r="1721" spans="2:2" x14ac:dyDescent="0.2">
      <c r="B1721" s="29"/>
    </row>
    <row r="1722" spans="2:2" x14ac:dyDescent="0.2">
      <c r="B1722" s="29"/>
    </row>
    <row r="1723" spans="2:2" x14ac:dyDescent="0.2">
      <c r="B1723" s="29"/>
    </row>
    <row r="1724" spans="2:2" x14ac:dyDescent="0.2">
      <c r="B1724" s="29"/>
    </row>
    <row r="1725" spans="2:2" x14ac:dyDescent="0.2">
      <c r="B1725" s="29"/>
    </row>
    <row r="1726" spans="2:2" x14ac:dyDescent="0.2">
      <c r="B1726" s="29"/>
    </row>
    <row r="1727" spans="2:2" x14ac:dyDescent="0.2">
      <c r="B1727" s="29"/>
    </row>
    <row r="1728" spans="2:2" x14ac:dyDescent="0.2">
      <c r="B1728" s="29"/>
    </row>
    <row r="1729" spans="2:2" x14ac:dyDescent="0.2">
      <c r="B1729" s="29"/>
    </row>
    <row r="1730" spans="2:2" x14ac:dyDescent="0.2">
      <c r="B1730" s="29"/>
    </row>
    <row r="1731" spans="2:2" x14ac:dyDescent="0.2">
      <c r="B1731" s="29"/>
    </row>
    <row r="1732" spans="2:2" x14ac:dyDescent="0.2">
      <c r="B1732" s="29"/>
    </row>
    <row r="1733" spans="2:2" x14ac:dyDescent="0.2">
      <c r="B1733" s="29"/>
    </row>
    <row r="1734" spans="2:2" x14ac:dyDescent="0.2">
      <c r="B1734" s="29"/>
    </row>
    <row r="1735" spans="2:2" x14ac:dyDescent="0.2">
      <c r="B1735" s="29"/>
    </row>
    <row r="1736" spans="2:2" x14ac:dyDescent="0.2">
      <c r="B1736" s="29"/>
    </row>
    <row r="1737" spans="2:2" x14ac:dyDescent="0.2">
      <c r="B1737" s="29"/>
    </row>
    <row r="1738" spans="2:2" x14ac:dyDescent="0.2">
      <c r="B1738" s="29"/>
    </row>
    <row r="1739" spans="2:2" x14ac:dyDescent="0.2">
      <c r="B1739" s="29"/>
    </row>
    <row r="1740" spans="2:2" x14ac:dyDescent="0.2">
      <c r="B1740" s="29"/>
    </row>
    <row r="1741" spans="2:2" x14ac:dyDescent="0.2">
      <c r="B1741" s="29"/>
    </row>
    <row r="1742" spans="2:2" x14ac:dyDescent="0.2">
      <c r="B1742" s="29"/>
    </row>
    <row r="1743" spans="2:2" x14ac:dyDescent="0.2">
      <c r="B1743" s="29"/>
    </row>
    <row r="1744" spans="2:2" x14ac:dyDescent="0.2">
      <c r="B1744" s="29"/>
    </row>
    <row r="1745" spans="2:2" x14ac:dyDescent="0.2">
      <c r="B1745" s="29"/>
    </row>
    <row r="1746" spans="2:2" x14ac:dyDescent="0.2">
      <c r="B1746" s="29"/>
    </row>
    <row r="1747" spans="2:2" x14ac:dyDescent="0.2">
      <c r="B1747" s="29"/>
    </row>
    <row r="1748" spans="2:2" x14ac:dyDescent="0.2">
      <c r="B1748" s="29"/>
    </row>
    <row r="1749" spans="2:2" x14ac:dyDescent="0.2">
      <c r="B1749" s="29"/>
    </row>
    <row r="1750" spans="2:2" x14ac:dyDescent="0.2">
      <c r="B1750" s="29"/>
    </row>
    <row r="1751" spans="2:2" x14ac:dyDescent="0.2">
      <c r="B1751" s="29"/>
    </row>
    <row r="1752" spans="2:2" x14ac:dyDescent="0.2">
      <c r="B1752" s="29"/>
    </row>
    <row r="1753" spans="2:2" x14ac:dyDescent="0.2">
      <c r="B1753" s="29"/>
    </row>
    <row r="1754" spans="2:2" x14ac:dyDescent="0.2">
      <c r="B1754" s="29"/>
    </row>
    <row r="1755" spans="2:2" x14ac:dyDescent="0.2">
      <c r="B1755" s="29"/>
    </row>
    <row r="1756" spans="2:2" x14ac:dyDescent="0.2">
      <c r="B1756" s="29"/>
    </row>
    <row r="1757" spans="2:2" x14ac:dyDescent="0.2">
      <c r="B1757" s="29"/>
    </row>
    <row r="1758" spans="2:2" x14ac:dyDescent="0.2">
      <c r="B1758" s="29"/>
    </row>
    <row r="1759" spans="2:2" x14ac:dyDescent="0.2">
      <c r="B1759" s="29"/>
    </row>
    <row r="1760" spans="2:2" x14ac:dyDescent="0.2">
      <c r="B1760" s="29"/>
    </row>
    <row r="1761" spans="2:2" x14ac:dyDescent="0.2">
      <c r="B1761" s="29"/>
    </row>
    <row r="1762" spans="2:2" x14ac:dyDescent="0.2">
      <c r="B1762" s="29"/>
    </row>
    <row r="1763" spans="2:2" x14ac:dyDescent="0.2">
      <c r="B1763" s="29"/>
    </row>
    <row r="1764" spans="2:2" x14ac:dyDescent="0.2">
      <c r="B1764" s="29"/>
    </row>
    <row r="1765" spans="2:2" x14ac:dyDescent="0.2">
      <c r="B1765" s="29"/>
    </row>
    <row r="1766" spans="2:2" x14ac:dyDescent="0.2">
      <c r="B1766" s="29"/>
    </row>
    <row r="1767" spans="2:2" x14ac:dyDescent="0.2">
      <c r="B1767" s="29"/>
    </row>
    <row r="1768" spans="2:2" x14ac:dyDescent="0.2">
      <c r="B1768" s="29"/>
    </row>
    <row r="1769" spans="2:2" x14ac:dyDescent="0.2">
      <c r="B1769" s="29"/>
    </row>
    <row r="1770" spans="2:2" x14ac:dyDescent="0.2">
      <c r="B1770" s="29"/>
    </row>
    <row r="1771" spans="2:2" x14ac:dyDescent="0.2">
      <c r="B1771" s="29"/>
    </row>
    <row r="1772" spans="2:2" x14ac:dyDescent="0.2">
      <c r="B1772" s="29"/>
    </row>
    <row r="1773" spans="2:2" x14ac:dyDescent="0.2">
      <c r="B1773" s="29"/>
    </row>
    <row r="1774" spans="2:2" x14ac:dyDescent="0.2">
      <c r="B1774" s="29"/>
    </row>
    <row r="1775" spans="2:2" x14ac:dyDescent="0.2">
      <c r="B1775" s="29"/>
    </row>
    <row r="1776" spans="2:2" x14ac:dyDescent="0.2">
      <c r="B1776" s="29"/>
    </row>
    <row r="1777" spans="2:2" x14ac:dyDescent="0.2">
      <c r="B1777" s="29"/>
    </row>
    <row r="1778" spans="2:2" x14ac:dyDescent="0.2">
      <c r="B1778" s="29"/>
    </row>
    <row r="1779" spans="2:2" x14ac:dyDescent="0.2">
      <c r="B1779" s="29"/>
    </row>
    <row r="1780" spans="2:2" x14ac:dyDescent="0.2">
      <c r="B1780" s="29"/>
    </row>
    <row r="1781" spans="2:2" x14ac:dyDescent="0.2">
      <c r="B1781" s="29"/>
    </row>
    <row r="1782" spans="2:2" x14ac:dyDescent="0.2">
      <c r="B1782" s="29"/>
    </row>
    <row r="1783" spans="2:2" x14ac:dyDescent="0.2">
      <c r="B1783" s="29"/>
    </row>
    <row r="1784" spans="2:2" x14ac:dyDescent="0.2">
      <c r="B1784" s="29"/>
    </row>
    <row r="1785" spans="2:2" x14ac:dyDescent="0.2">
      <c r="B1785" s="29"/>
    </row>
    <row r="1786" spans="2:2" x14ac:dyDescent="0.2">
      <c r="B1786" s="29"/>
    </row>
    <row r="1787" spans="2:2" x14ac:dyDescent="0.2">
      <c r="B1787" s="29"/>
    </row>
    <row r="1788" spans="2:2" x14ac:dyDescent="0.2">
      <c r="B1788" s="29"/>
    </row>
    <row r="1789" spans="2:2" x14ac:dyDescent="0.2">
      <c r="B1789" s="29"/>
    </row>
    <row r="1790" spans="2:2" x14ac:dyDescent="0.2">
      <c r="B1790" s="29"/>
    </row>
    <row r="1791" spans="2:2" x14ac:dyDescent="0.2">
      <c r="B1791" s="29"/>
    </row>
    <row r="1792" spans="2:2" x14ac:dyDescent="0.2">
      <c r="B1792" s="29"/>
    </row>
    <row r="1793" spans="2:2" x14ac:dyDescent="0.2">
      <c r="B1793" s="29"/>
    </row>
    <row r="1794" spans="2:2" x14ac:dyDescent="0.2">
      <c r="B1794" s="29"/>
    </row>
    <row r="1795" spans="2:2" x14ac:dyDescent="0.2">
      <c r="B1795" s="29"/>
    </row>
    <row r="1796" spans="2:2" x14ac:dyDescent="0.2">
      <c r="B1796" s="29"/>
    </row>
    <row r="1797" spans="2:2" x14ac:dyDescent="0.2">
      <c r="B1797" s="29"/>
    </row>
    <row r="1798" spans="2:2" x14ac:dyDescent="0.2">
      <c r="B1798" s="29"/>
    </row>
    <row r="1799" spans="2:2" x14ac:dyDescent="0.2">
      <c r="B1799" s="29"/>
    </row>
    <row r="1800" spans="2:2" x14ac:dyDescent="0.2">
      <c r="B1800" s="29"/>
    </row>
    <row r="1801" spans="2:2" x14ac:dyDescent="0.2">
      <c r="B1801" s="29"/>
    </row>
    <row r="1802" spans="2:2" x14ac:dyDescent="0.2">
      <c r="B1802" s="29"/>
    </row>
    <row r="1803" spans="2:2" x14ac:dyDescent="0.2">
      <c r="B1803" s="29"/>
    </row>
    <row r="1804" spans="2:2" x14ac:dyDescent="0.2">
      <c r="B1804" s="29"/>
    </row>
    <row r="1805" spans="2:2" x14ac:dyDescent="0.2">
      <c r="B1805" s="29"/>
    </row>
    <row r="1806" spans="2:2" x14ac:dyDescent="0.2">
      <c r="B1806" s="29"/>
    </row>
    <row r="1807" spans="2:2" x14ac:dyDescent="0.2">
      <c r="B1807" s="29"/>
    </row>
    <row r="1808" spans="2:2" x14ac:dyDescent="0.2">
      <c r="B1808" s="29"/>
    </row>
    <row r="1809" spans="2:2" x14ac:dyDescent="0.2">
      <c r="B1809" s="29"/>
    </row>
    <row r="1810" spans="2:2" x14ac:dyDescent="0.2">
      <c r="B1810" s="29"/>
    </row>
    <row r="1811" spans="2:2" x14ac:dyDescent="0.2">
      <c r="B1811" s="29"/>
    </row>
    <row r="1812" spans="2:2" x14ac:dyDescent="0.2">
      <c r="B1812" s="29"/>
    </row>
    <row r="1813" spans="2:2" x14ac:dyDescent="0.2">
      <c r="B1813" s="29"/>
    </row>
    <row r="1814" spans="2:2" x14ac:dyDescent="0.2">
      <c r="B1814" s="29"/>
    </row>
    <row r="1815" spans="2:2" x14ac:dyDescent="0.2">
      <c r="B1815" s="29"/>
    </row>
    <row r="1816" spans="2:2" x14ac:dyDescent="0.2">
      <c r="B1816" s="29"/>
    </row>
    <row r="1817" spans="2:2" x14ac:dyDescent="0.2">
      <c r="B1817" s="29"/>
    </row>
    <row r="1818" spans="2:2" x14ac:dyDescent="0.2">
      <c r="B1818" s="29"/>
    </row>
    <row r="1819" spans="2:2" x14ac:dyDescent="0.2">
      <c r="B1819" s="29"/>
    </row>
    <row r="1820" spans="2:2" x14ac:dyDescent="0.2">
      <c r="B1820" s="29"/>
    </row>
    <row r="1821" spans="2:2" x14ac:dyDescent="0.2">
      <c r="B1821" s="29"/>
    </row>
    <row r="1822" spans="2:2" x14ac:dyDescent="0.2">
      <c r="B1822" s="29"/>
    </row>
    <row r="1823" spans="2:2" x14ac:dyDescent="0.2">
      <c r="B1823" s="29"/>
    </row>
    <row r="1824" spans="2:2" x14ac:dyDescent="0.2">
      <c r="B1824" s="29"/>
    </row>
    <row r="1825" spans="2:2" x14ac:dyDescent="0.2">
      <c r="B1825" s="29"/>
    </row>
    <row r="1826" spans="2:2" x14ac:dyDescent="0.2">
      <c r="B1826" s="29"/>
    </row>
    <row r="1827" spans="2:2" x14ac:dyDescent="0.2">
      <c r="B1827" s="29"/>
    </row>
    <row r="1828" spans="2:2" x14ac:dyDescent="0.2">
      <c r="B1828" s="29"/>
    </row>
    <row r="1829" spans="2:2" x14ac:dyDescent="0.2">
      <c r="B1829" s="29"/>
    </row>
    <row r="1830" spans="2:2" x14ac:dyDescent="0.2">
      <c r="B1830" s="29"/>
    </row>
    <row r="1831" spans="2:2" x14ac:dyDescent="0.2">
      <c r="B1831" s="29"/>
    </row>
    <row r="1832" spans="2:2" x14ac:dyDescent="0.2">
      <c r="B1832" s="29"/>
    </row>
    <row r="1833" spans="2:2" x14ac:dyDescent="0.2">
      <c r="B1833" s="29"/>
    </row>
    <row r="1834" spans="2:2" x14ac:dyDescent="0.2">
      <c r="B1834" s="29"/>
    </row>
    <row r="1835" spans="2:2" x14ac:dyDescent="0.2">
      <c r="B1835" s="29"/>
    </row>
    <row r="1836" spans="2:2" x14ac:dyDescent="0.2">
      <c r="B1836" s="29"/>
    </row>
    <row r="1837" spans="2:2" x14ac:dyDescent="0.2">
      <c r="B1837" s="29"/>
    </row>
    <row r="1838" spans="2:2" x14ac:dyDescent="0.2">
      <c r="B1838" s="29"/>
    </row>
    <row r="1839" spans="2:2" x14ac:dyDescent="0.2">
      <c r="B1839" s="29"/>
    </row>
    <row r="1840" spans="2:2" x14ac:dyDescent="0.2">
      <c r="B1840" s="29"/>
    </row>
    <row r="1841" spans="2:2" x14ac:dyDescent="0.2">
      <c r="B1841" s="29"/>
    </row>
    <row r="1842" spans="2:2" x14ac:dyDescent="0.2">
      <c r="B1842" s="29"/>
    </row>
    <row r="1843" spans="2:2" x14ac:dyDescent="0.2">
      <c r="B1843" s="29"/>
    </row>
    <row r="1844" spans="2:2" x14ac:dyDescent="0.2">
      <c r="B1844" s="29"/>
    </row>
    <row r="1845" spans="2:2" x14ac:dyDescent="0.2">
      <c r="B1845" s="29"/>
    </row>
    <row r="1846" spans="2:2" x14ac:dyDescent="0.2">
      <c r="B1846" s="29"/>
    </row>
    <row r="1847" spans="2:2" x14ac:dyDescent="0.2">
      <c r="B1847" s="29"/>
    </row>
    <row r="1848" spans="2:2" x14ac:dyDescent="0.2">
      <c r="B1848" s="29"/>
    </row>
    <row r="1849" spans="2:2" x14ac:dyDescent="0.2">
      <c r="B1849" s="29"/>
    </row>
    <row r="1850" spans="2:2" x14ac:dyDescent="0.2">
      <c r="B1850" s="29"/>
    </row>
    <row r="1851" spans="2:2" x14ac:dyDescent="0.2">
      <c r="B1851" s="29"/>
    </row>
    <row r="1852" spans="2:2" x14ac:dyDescent="0.2">
      <c r="B1852" s="29"/>
    </row>
    <row r="1853" spans="2:2" x14ac:dyDescent="0.2">
      <c r="B1853" s="29"/>
    </row>
    <row r="1854" spans="2:2" x14ac:dyDescent="0.2">
      <c r="B1854" s="29"/>
    </row>
    <row r="1855" spans="2:2" x14ac:dyDescent="0.2">
      <c r="B1855" s="29"/>
    </row>
    <row r="1856" spans="2:2" x14ac:dyDescent="0.2">
      <c r="B1856" s="29"/>
    </row>
    <row r="1857" spans="2:2" x14ac:dyDescent="0.2">
      <c r="B1857" s="29"/>
    </row>
    <row r="1858" spans="2:2" x14ac:dyDescent="0.2">
      <c r="B1858" s="29"/>
    </row>
    <row r="1859" spans="2:2" x14ac:dyDescent="0.2">
      <c r="B1859" s="29"/>
    </row>
    <row r="1860" spans="2:2" x14ac:dyDescent="0.2">
      <c r="B1860" s="29"/>
    </row>
    <row r="1861" spans="2:2" x14ac:dyDescent="0.2">
      <c r="B1861" s="29"/>
    </row>
    <row r="1862" spans="2:2" x14ac:dyDescent="0.2">
      <c r="B1862" s="29"/>
    </row>
    <row r="1863" spans="2:2" x14ac:dyDescent="0.2">
      <c r="B1863" s="29"/>
    </row>
    <row r="1864" spans="2:2" x14ac:dyDescent="0.2">
      <c r="B1864" s="29"/>
    </row>
    <row r="1865" spans="2:2" x14ac:dyDescent="0.2">
      <c r="B1865" s="29"/>
    </row>
    <row r="1866" spans="2:2" x14ac:dyDescent="0.2">
      <c r="B1866" s="29"/>
    </row>
    <row r="1867" spans="2:2" x14ac:dyDescent="0.2">
      <c r="B1867" s="29"/>
    </row>
    <row r="1868" spans="2:2" x14ac:dyDescent="0.2">
      <c r="B1868" s="29"/>
    </row>
    <row r="1869" spans="2:2" x14ac:dyDescent="0.2">
      <c r="B1869" s="29"/>
    </row>
    <row r="1870" spans="2:2" x14ac:dyDescent="0.2">
      <c r="B1870" s="29"/>
    </row>
    <row r="1871" spans="2:2" x14ac:dyDescent="0.2">
      <c r="B1871" s="29"/>
    </row>
    <row r="1872" spans="2:2" x14ac:dyDescent="0.2">
      <c r="B1872" s="29"/>
    </row>
    <row r="1873" spans="2:2" x14ac:dyDescent="0.2">
      <c r="B1873" s="29"/>
    </row>
    <row r="1874" spans="2:2" x14ac:dyDescent="0.2">
      <c r="B1874" s="29"/>
    </row>
    <row r="1875" spans="2:2" x14ac:dyDescent="0.2">
      <c r="B1875" s="29"/>
    </row>
    <row r="1876" spans="2:2" x14ac:dyDescent="0.2">
      <c r="B1876" s="29"/>
    </row>
    <row r="1877" spans="2:2" x14ac:dyDescent="0.2">
      <c r="B1877" s="29"/>
    </row>
    <row r="1878" spans="2:2" x14ac:dyDescent="0.2">
      <c r="B1878" s="29"/>
    </row>
    <row r="1879" spans="2:2" x14ac:dyDescent="0.2">
      <c r="B1879" s="29"/>
    </row>
    <row r="1880" spans="2:2" x14ac:dyDescent="0.2">
      <c r="B1880" s="29"/>
    </row>
    <row r="1881" spans="2:2" x14ac:dyDescent="0.2">
      <c r="B1881" s="29"/>
    </row>
    <row r="1882" spans="2:2" x14ac:dyDescent="0.2">
      <c r="B1882" s="29"/>
    </row>
    <row r="1883" spans="2:2" x14ac:dyDescent="0.2">
      <c r="B1883" s="29"/>
    </row>
    <row r="1884" spans="2:2" x14ac:dyDescent="0.2">
      <c r="B1884" s="29"/>
    </row>
    <row r="1885" spans="2:2" x14ac:dyDescent="0.2">
      <c r="B1885" s="29"/>
    </row>
    <row r="1886" spans="2:2" x14ac:dyDescent="0.2">
      <c r="B1886" s="29"/>
    </row>
    <row r="1887" spans="2:2" x14ac:dyDescent="0.2">
      <c r="B1887" s="29"/>
    </row>
    <row r="1888" spans="2:2" x14ac:dyDescent="0.2">
      <c r="B1888" s="29"/>
    </row>
    <row r="1889" spans="2:2" x14ac:dyDescent="0.2">
      <c r="B1889" s="29"/>
    </row>
    <row r="1890" spans="2:2" x14ac:dyDescent="0.2">
      <c r="B1890" s="29"/>
    </row>
    <row r="1891" spans="2:2" x14ac:dyDescent="0.2">
      <c r="B1891" s="29"/>
    </row>
    <row r="1892" spans="2:2" x14ac:dyDescent="0.2">
      <c r="B1892" s="29"/>
    </row>
    <row r="1893" spans="2:2" x14ac:dyDescent="0.2">
      <c r="B1893" s="29"/>
    </row>
    <row r="1894" spans="2:2" x14ac:dyDescent="0.2">
      <c r="B1894" s="29"/>
    </row>
    <row r="1895" spans="2:2" x14ac:dyDescent="0.2">
      <c r="B1895" s="29"/>
    </row>
    <row r="1896" spans="2:2" x14ac:dyDescent="0.2">
      <c r="B1896" s="29"/>
    </row>
    <row r="1897" spans="2:2" x14ac:dyDescent="0.2">
      <c r="B1897" s="29"/>
    </row>
    <row r="1898" spans="2:2" x14ac:dyDescent="0.2">
      <c r="B1898" s="29"/>
    </row>
    <row r="1899" spans="2:2" x14ac:dyDescent="0.2">
      <c r="B1899" s="29"/>
    </row>
    <row r="1900" spans="2:2" x14ac:dyDescent="0.2">
      <c r="B1900" s="29"/>
    </row>
    <row r="1901" spans="2:2" x14ac:dyDescent="0.2">
      <c r="B1901" s="29"/>
    </row>
    <row r="1902" spans="2:2" x14ac:dyDescent="0.2">
      <c r="B1902" s="29"/>
    </row>
    <row r="1903" spans="2:2" x14ac:dyDescent="0.2">
      <c r="B1903" s="29"/>
    </row>
    <row r="1904" spans="2:2" x14ac:dyDescent="0.2">
      <c r="B1904" s="29"/>
    </row>
    <row r="1905" spans="2:2" x14ac:dyDescent="0.2">
      <c r="B1905" s="29"/>
    </row>
    <row r="1906" spans="2:2" x14ac:dyDescent="0.2">
      <c r="B1906" s="29"/>
    </row>
    <row r="1907" spans="2:2" x14ac:dyDescent="0.2">
      <c r="B1907" s="29"/>
    </row>
    <row r="1908" spans="2:2" x14ac:dyDescent="0.2">
      <c r="B1908" s="29"/>
    </row>
    <row r="1909" spans="2:2" x14ac:dyDescent="0.2">
      <c r="B1909" s="29"/>
    </row>
    <row r="1910" spans="2:2" x14ac:dyDescent="0.2">
      <c r="B1910" s="29"/>
    </row>
    <row r="1911" spans="2:2" x14ac:dyDescent="0.2">
      <c r="B1911" s="29"/>
    </row>
    <row r="1912" spans="2:2" x14ac:dyDescent="0.2">
      <c r="B1912" s="29"/>
    </row>
    <row r="1913" spans="2:2" x14ac:dyDescent="0.2">
      <c r="B1913" s="29"/>
    </row>
    <row r="1914" spans="2:2" x14ac:dyDescent="0.2">
      <c r="B1914" s="29"/>
    </row>
    <row r="1915" spans="2:2" x14ac:dyDescent="0.2">
      <c r="B1915" s="29"/>
    </row>
    <row r="1916" spans="2:2" x14ac:dyDescent="0.2">
      <c r="B1916" s="29"/>
    </row>
    <row r="1917" spans="2:2" x14ac:dyDescent="0.2">
      <c r="B1917" s="29"/>
    </row>
    <row r="1918" spans="2:2" x14ac:dyDescent="0.2">
      <c r="B1918" s="29"/>
    </row>
    <row r="1919" spans="2:2" x14ac:dyDescent="0.2">
      <c r="B1919" s="29"/>
    </row>
    <row r="1920" spans="2:2" x14ac:dyDescent="0.2">
      <c r="B1920" s="29"/>
    </row>
    <row r="1921" spans="2:2" x14ac:dyDescent="0.2">
      <c r="B1921" s="29"/>
    </row>
    <row r="1922" spans="2:2" x14ac:dyDescent="0.2">
      <c r="B1922" s="29"/>
    </row>
    <row r="1923" spans="2:2" x14ac:dyDescent="0.2">
      <c r="B1923" s="29"/>
    </row>
    <row r="1924" spans="2:2" x14ac:dyDescent="0.2">
      <c r="B1924" s="29"/>
    </row>
    <row r="1925" spans="2:2" x14ac:dyDescent="0.2">
      <c r="B1925" s="29"/>
    </row>
    <row r="1926" spans="2:2" x14ac:dyDescent="0.2">
      <c r="B1926" s="29"/>
    </row>
    <row r="1927" spans="2:2" x14ac:dyDescent="0.2">
      <c r="B1927" s="29"/>
    </row>
    <row r="1928" spans="2:2" x14ac:dyDescent="0.2">
      <c r="B1928" s="29"/>
    </row>
    <row r="1929" spans="2:2" x14ac:dyDescent="0.2">
      <c r="B1929" s="29"/>
    </row>
    <row r="1930" spans="2:2" x14ac:dyDescent="0.2">
      <c r="B1930" s="29"/>
    </row>
    <row r="1931" spans="2:2" x14ac:dyDescent="0.2">
      <c r="B1931" s="29"/>
    </row>
    <row r="1932" spans="2:2" x14ac:dyDescent="0.2">
      <c r="B1932" s="29"/>
    </row>
    <row r="1933" spans="2:2" x14ac:dyDescent="0.2">
      <c r="B1933" s="29"/>
    </row>
    <row r="1934" spans="2:2" x14ac:dyDescent="0.2">
      <c r="B1934" s="29"/>
    </row>
    <row r="1935" spans="2:2" x14ac:dyDescent="0.2">
      <c r="B1935" s="29"/>
    </row>
    <row r="1936" spans="2:2" x14ac:dyDescent="0.2">
      <c r="B1936" s="29"/>
    </row>
    <row r="1937" spans="2:2" x14ac:dyDescent="0.2">
      <c r="B1937" s="29"/>
    </row>
    <row r="1938" spans="2:2" x14ac:dyDescent="0.2">
      <c r="B1938" s="29"/>
    </row>
    <row r="1939" spans="2:2" x14ac:dyDescent="0.2">
      <c r="B1939" s="29"/>
    </row>
    <row r="1940" spans="2:2" x14ac:dyDescent="0.2">
      <c r="B1940" s="29"/>
    </row>
    <row r="1941" spans="2:2" x14ac:dyDescent="0.2">
      <c r="B1941" s="29"/>
    </row>
    <row r="1942" spans="2:2" x14ac:dyDescent="0.2">
      <c r="B1942" s="29"/>
    </row>
    <row r="1943" spans="2:2" x14ac:dyDescent="0.2">
      <c r="B1943" s="29"/>
    </row>
    <row r="1944" spans="2:2" x14ac:dyDescent="0.2">
      <c r="B1944" s="29"/>
    </row>
    <row r="1945" spans="2:2" x14ac:dyDescent="0.2">
      <c r="B1945" s="29"/>
    </row>
    <row r="1946" spans="2:2" x14ac:dyDescent="0.2">
      <c r="B1946" s="29"/>
    </row>
    <row r="1947" spans="2:2" x14ac:dyDescent="0.2">
      <c r="B1947" s="29"/>
    </row>
    <row r="1948" spans="2:2" x14ac:dyDescent="0.2">
      <c r="B1948" s="29"/>
    </row>
    <row r="1949" spans="2:2" x14ac:dyDescent="0.2">
      <c r="B1949" s="29"/>
    </row>
    <row r="1950" spans="2:2" x14ac:dyDescent="0.2">
      <c r="B1950" s="29"/>
    </row>
    <row r="1951" spans="2:2" x14ac:dyDescent="0.2">
      <c r="B1951" s="29"/>
    </row>
    <row r="1952" spans="2:2" x14ac:dyDescent="0.2">
      <c r="B1952" s="29"/>
    </row>
    <row r="1953" spans="2:2" x14ac:dyDescent="0.2">
      <c r="B1953" s="29"/>
    </row>
    <row r="1954" spans="2:2" x14ac:dyDescent="0.2">
      <c r="B1954" s="29"/>
    </row>
    <row r="1955" spans="2:2" x14ac:dyDescent="0.2">
      <c r="B1955" s="29"/>
    </row>
    <row r="1956" spans="2:2" x14ac:dyDescent="0.2">
      <c r="B1956" s="29"/>
    </row>
    <row r="1957" spans="2:2" x14ac:dyDescent="0.2">
      <c r="B1957" s="29"/>
    </row>
    <row r="1958" spans="2:2" x14ac:dyDescent="0.2">
      <c r="B1958" s="29"/>
    </row>
    <row r="1959" spans="2:2" x14ac:dyDescent="0.2">
      <c r="B1959" s="29"/>
    </row>
    <row r="1960" spans="2:2" x14ac:dyDescent="0.2">
      <c r="B1960" s="29"/>
    </row>
    <row r="1961" spans="2:2" x14ac:dyDescent="0.2">
      <c r="B1961" s="29"/>
    </row>
    <row r="1962" spans="2:2" x14ac:dyDescent="0.2">
      <c r="B1962" s="29"/>
    </row>
    <row r="1963" spans="2:2" x14ac:dyDescent="0.2">
      <c r="B1963" s="29"/>
    </row>
    <row r="1964" spans="2:2" x14ac:dyDescent="0.2">
      <c r="B1964" s="29"/>
    </row>
    <row r="1965" spans="2:2" x14ac:dyDescent="0.2">
      <c r="B1965" s="29"/>
    </row>
    <row r="1966" spans="2:2" x14ac:dyDescent="0.2">
      <c r="B1966" s="29"/>
    </row>
    <row r="1967" spans="2:2" x14ac:dyDescent="0.2">
      <c r="B1967" s="29"/>
    </row>
    <row r="1968" spans="2:2" x14ac:dyDescent="0.2">
      <c r="B1968" s="29"/>
    </row>
    <row r="1969" spans="2:2" x14ac:dyDescent="0.2">
      <c r="B1969" s="29"/>
    </row>
    <row r="1970" spans="2:2" x14ac:dyDescent="0.2">
      <c r="B1970" s="29"/>
    </row>
    <row r="1971" spans="2:2" x14ac:dyDescent="0.2">
      <c r="B1971" s="29"/>
    </row>
    <row r="1972" spans="2:2" x14ac:dyDescent="0.2">
      <c r="B1972" s="29"/>
    </row>
    <row r="1973" spans="2:2" x14ac:dyDescent="0.2">
      <c r="B1973" s="29"/>
    </row>
    <row r="1974" spans="2:2" x14ac:dyDescent="0.2">
      <c r="B1974" s="29"/>
    </row>
    <row r="1975" spans="2:2" x14ac:dyDescent="0.2">
      <c r="B1975" s="29"/>
    </row>
    <row r="1976" spans="2:2" x14ac:dyDescent="0.2">
      <c r="B1976" s="29"/>
    </row>
    <row r="1977" spans="2:2" x14ac:dyDescent="0.2">
      <c r="B1977" s="29"/>
    </row>
    <row r="1978" spans="2:2" x14ac:dyDescent="0.2">
      <c r="B1978" s="29"/>
    </row>
    <row r="1979" spans="2:2" x14ac:dyDescent="0.2">
      <c r="B1979" s="29"/>
    </row>
    <row r="1980" spans="2:2" x14ac:dyDescent="0.2">
      <c r="B1980" s="29"/>
    </row>
    <row r="1981" spans="2:2" x14ac:dyDescent="0.2">
      <c r="B1981" s="29"/>
    </row>
    <row r="1982" spans="2:2" x14ac:dyDescent="0.2">
      <c r="B1982" s="29"/>
    </row>
    <row r="1983" spans="2:2" x14ac:dyDescent="0.2">
      <c r="B1983" s="29"/>
    </row>
    <row r="1984" spans="2:2" x14ac:dyDescent="0.2">
      <c r="B1984" s="29"/>
    </row>
    <row r="1985" spans="2:2" x14ac:dyDescent="0.2">
      <c r="B1985" s="29"/>
    </row>
    <row r="1986" spans="2:2" x14ac:dyDescent="0.2">
      <c r="B1986" s="29"/>
    </row>
    <row r="1987" spans="2:2" x14ac:dyDescent="0.2">
      <c r="B1987" s="29"/>
    </row>
    <row r="1988" spans="2:2" x14ac:dyDescent="0.2">
      <c r="B1988" s="29"/>
    </row>
    <row r="1989" spans="2:2" x14ac:dyDescent="0.2">
      <c r="B1989" s="29"/>
    </row>
    <row r="1990" spans="2:2" x14ac:dyDescent="0.2">
      <c r="B1990" s="29"/>
    </row>
    <row r="1991" spans="2:2" x14ac:dyDescent="0.2">
      <c r="B1991" s="29"/>
    </row>
    <row r="1992" spans="2:2" x14ac:dyDescent="0.2">
      <c r="B1992" s="29"/>
    </row>
    <row r="1993" spans="2:2" x14ac:dyDescent="0.2">
      <c r="B1993" s="29"/>
    </row>
    <row r="1994" spans="2:2" x14ac:dyDescent="0.2">
      <c r="B1994" s="29"/>
    </row>
    <row r="1995" spans="2:2" x14ac:dyDescent="0.2">
      <c r="B1995" s="29"/>
    </row>
    <row r="1996" spans="2:2" x14ac:dyDescent="0.2">
      <c r="B1996" s="29"/>
    </row>
    <row r="1997" spans="2:2" x14ac:dyDescent="0.2">
      <c r="B1997" s="29"/>
    </row>
    <row r="1998" spans="2:2" x14ac:dyDescent="0.2">
      <c r="B1998" s="29"/>
    </row>
    <row r="1999" spans="2:2" x14ac:dyDescent="0.2">
      <c r="B1999" s="29"/>
    </row>
    <row r="2000" spans="2:2" x14ac:dyDescent="0.2">
      <c r="B2000" s="29"/>
    </row>
    <row r="2001" spans="2:2" x14ac:dyDescent="0.2">
      <c r="B2001" s="29"/>
    </row>
    <row r="2002" spans="2:2" x14ac:dyDescent="0.2">
      <c r="B2002" s="29"/>
    </row>
    <row r="2003" spans="2:2" x14ac:dyDescent="0.2">
      <c r="B2003" s="29"/>
    </row>
    <row r="2004" spans="2:2" x14ac:dyDescent="0.2">
      <c r="B2004" s="29"/>
    </row>
    <row r="2005" spans="2:2" x14ac:dyDescent="0.2">
      <c r="B2005" s="29"/>
    </row>
    <row r="2006" spans="2:2" x14ac:dyDescent="0.2">
      <c r="B2006" s="29"/>
    </row>
    <row r="2007" spans="2:2" x14ac:dyDescent="0.2">
      <c r="B2007" s="29"/>
    </row>
    <row r="2008" spans="2:2" x14ac:dyDescent="0.2">
      <c r="B2008" s="29"/>
    </row>
    <row r="2009" spans="2:2" x14ac:dyDescent="0.2">
      <c r="B2009" s="29"/>
    </row>
    <row r="2010" spans="2:2" x14ac:dyDescent="0.2">
      <c r="B2010" s="29"/>
    </row>
    <row r="2011" spans="2:2" x14ac:dyDescent="0.2">
      <c r="B2011" s="29"/>
    </row>
    <row r="2012" spans="2:2" x14ac:dyDescent="0.2">
      <c r="B2012" s="29"/>
    </row>
    <row r="2013" spans="2:2" x14ac:dyDescent="0.2">
      <c r="B2013" s="29"/>
    </row>
    <row r="2014" spans="2:2" x14ac:dyDescent="0.2">
      <c r="B2014" s="29"/>
    </row>
    <row r="2015" spans="2:2" x14ac:dyDescent="0.2">
      <c r="B2015" s="29"/>
    </row>
    <row r="2016" spans="2:2" x14ac:dyDescent="0.2">
      <c r="B2016" s="29"/>
    </row>
    <row r="2017" spans="2:2" x14ac:dyDescent="0.2">
      <c r="B2017" s="29"/>
    </row>
    <row r="2018" spans="2:2" x14ac:dyDescent="0.2">
      <c r="B2018" s="29"/>
    </row>
    <row r="2019" spans="2:2" x14ac:dyDescent="0.2">
      <c r="B2019" s="29"/>
    </row>
    <row r="2020" spans="2:2" x14ac:dyDescent="0.2">
      <c r="B2020" s="29"/>
    </row>
    <row r="2021" spans="2:2" x14ac:dyDescent="0.2">
      <c r="B2021" s="29"/>
    </row>
    <row r="2022" spans="2:2" x14ac:dyDescent="0.2">
      <c r="B2022" s="29"/>
    </row>
    <row r="2023" spans="2:2" x14ac:dyDescent="0.2">
      <c r="B2023" s="29"/>
    </row>
    <row r="2024" spans="2:2" x14ac:dyDescent="0.2">
      <c r="B2024" s="29"/>
    </row>
    <row r="2025" spans="2:2" x14ac:dyDescent="0.2">
      <c r="B2025" s="29"/>
    </row>
    <row r="2026" spans="2:2" x14ac:dyDescent="0.2">
      <c r="B2026" s="29"/>
    </row>
    <row r="2027" spans="2:2" x14ac:dyDescent="0.2">
      <c r="B2027" s="29"/>
    </row>
    <row r="2028" spans="2:2" x14ac:dyDescent="0.2">
      <c r="B2028" s="29"/>
    </row>
    <row r="2029" spans="2:2" x14ac:dyDescent="0.2">
      <c r="B2029" s="29"/>
    </row>
    <row r="2030" spans="2:2" x14ac:dyDescent="0.2">
      <c r="B2030" s="29"/>
    </row>
    <row r="2031" spans="2:2" x14ac:dyDescent="0.2">
      <c r="B2031" s="29"/>
    </row>
    <row r="2032" spans="2:2" x14ac:dyDescent="0.2">
      <c r="B2032" s="29"/>
    </row>
    <row r="2033" spans="2:2" x14ac:dyDescent="0.2">
      <c r="B2033" s="29"/>
    </row>
    <row r="2034" spans="2:2" x14ac:dyDescent="0.2">
      <c r="B2034" s="29"/>
    </row>
    <row r="2035" spans="2:2" x14ac:dyDescent="0.2">
      <c r="B2035" s="29"/>
    </row>
    <row r="2036" spans="2:2" x14ac:dyDescent="0.2">
      <c r="B2036" s="29"/>
    </row>
    <row r="2037" spans="2:2" x14ac:dyDescent="0.2">
      <c r="B2037" s="29"/>
    </row>
    <row r="2038" spans="2:2" x14ac:dyDescent="0.2">
      <c r="B2038" s="29"/>
    </row>
    <row r="2039" spans="2:2" x14ac:dyDescent="0.2">
      <c r="B2039" s="29"/>
    </row>
    <row r="2040" spans="2:2" x14ac:dyDescent="0.2">
      <c r="B2040" s="29"/>
    </row>
    <row r="2041" spans="2:2" x14ac:dyDescent="0.2">
      <c r="B2041" s="29"/>
    </row>
    <row r="2042" spans="2:2" x14ac:dyDescent="0.2">
      <c r="B2042" s="29"/>
    </row>
    <row r="2043" spans="2:2" x14ac:dyDescent="0.2">
      <c r="B2043" s="29"/>
    </row>
    <row r="2044" spans="2:2" x14ac:dyDescent="0.2">
      <c r="B2044" s="29"/>
    </row>
    <row r="2045" spans="2:2" x14ac:dyDescent="0.2">
      <c r="B2045" s="29"/>
    </row>
    <row r="2046" spans="2:2" x14ac:dyDescent="0.2">
      <c r="B2046" s="29"/>
    </row>
    <row r="2047" spans="2:2" x14ac:dyDescent="0.2">
      <c r="B2047" s="29"/>
    </row>
    <row r="2048" spans="2:2" x14ac:dyDescent="0.2">
      <c r="B2048" s="29"/>
    </row>
    <row r="2049" spans="2:2" x14ac:dyDescent="0.2">
      <c r="B2049" s="29"/>
    </row>
    <row r="2050" spans="2:2" x14ac:dyDescent="0.2">
      <c r="B2050" s="29"/>
    </row>
    <row r="2051" spans="2:2" x14ac:dyDescent="0.2">
      <c r="B2051" s="29"/>
    </row>
    <row r="2052" spans="2:2" x14ac:dyDescent="0.2">
      <c r="B2052" s="29"/>
    </row>
    <row r="2053" spans="2:2" x14ac:dyDescent="0.2">
      <c r="B2053" s="29"/>
    </row>
    <row r="2054" spans="2:2" x14ac:dyDescent="0.2">
      <c r="B2054" s="29"/>
    </row>
    <row r="2055" spans="2:2" x14ac:dyDescent="0.2">
      <c r="B2055" s="29"/>
    </row>
    <row r="2056" spans="2:2" x14ac:dyDescent="0.2">
      <c r="B2056" s="29"/>
    </row>
    <row r="2057" spans="2:2" x14ac:dyDescent="0.2">
      <c r="B2057" s="29"/>
    </row>
    <row r="2058" spans="2:2" x14ac:dyDescent="0.2">
      <c r="B2058" s="29"/>
    </row>
    <row r="2059" spans="2:2" x14ac:dyDescent="0.2">
      <c r="B2059" s="29"/>
    </row>
    <row r="2060" spans="2:2" x14ac:dyDescent="0.2">
      <c r="B2060" s="29"/>
    </row>
    <row r="2061" spans="2:2" x14ac:dyDescent="0.2">
      <c r="B2061" s="29"/>
    </row>
    <row r="2062" spans="2:2" x14ac:dyDescent="0.2">
      <c r="B2062" s="29"/>
    </row>
    <row r="2063" spans="2:2" x14ac:dyDescent="0.2">
      <c r="B2063" s="29"/>
    </row>
    <row r="2064" spans="2:2" x14ac:dyDescent="0.2">
      <c r="B2064" s="29"/>
    </row>
    <row r="2065" spans="2:2" x14ac:dyDescent="0.2">
      <c r="B2065" s="29"/>
    </row>
    <row r="2066" spans="2:2" x14ac:dyDescent="0.2">
      <c r="B2066" s="29"/>
    </row>
    <row r="2067" spans="2:2" x14ac:dyDescent="0.2">
      <c r="B2067" s="29"/>
    </row>
    <row r="2068" spans="2:2" x14ac:dyDescent="0.2">
      <c r="B2068" s="29"/>
    </row>
    <row r="2069" spans="2:2" x14ac:dyDescent="0.2">
      <c r="B2069" s="29"/>
    </row>
    <row r="2070" spans="2:2" x14ac:dyDescent="0.2">
      <c r="B2070" s="29"/>
    </row>
    <row r="2071" spans="2:2" x14ac:dyDescent="0.2">
      <c r="B2071" s="29"/>
    </row>
    <row r="2072" spans="2:2" x14ac:dyDescent="0.2">
      <c r="B2072" s="29"/>
    </row>
    <row r="2073" spans="2:2" x14ac:dyDescent="0.2">
      <c r="B2073" s="29"/>
    </row>
    <row r="2074" spans="2:2" x14ac:dyDescent="0.2">
      <c r="B2074" s="29"/>
    </row>
    <row r="2075" spans="2:2" x14ac:dyDescent="0.2">
      <c r="B2075" s="29"/>
    </row>
    <row r="2076" spans="2:2" x14ac:dyDescent="0.2">
      <c r="B2076" s="29"/>
    </row>
    <row r="2077" spans="2:2" x14ac:dyDescent="0.2">
      <c r="B2077" s="29"/>
    </row>
    <row r="2078" spans="2:2" x14ac:dyDescent="0.2">
      <c r="B2078" s="29"/>
    </row>
    <row r="2079" spans="2:2" x14ac:dyDescent="0.2">
      <c r="B2079" s="29"/>
    </row>
    <row r="2080" spans="2:2" x14ac:dyDescent="0.2">
      <c r="B2080" s="29"/>
    </row>
    <row r="2081" spans="2:2" x14ac:dyDescent="0.2">
      <c r="B2081" s="29"/>
    </row>
    <row r="2082" spans="2:2" x14ac:dyDescent="0.2">
      <c r="B2082" s="29"/>
    </row>
    <row r="2083" spans="2:2" x14ac:dyDescent="0.2">
      <c r="B2083" s="29"/>
    </row>
    <row r="2084" spans="2:2" x14ac:dyDescent="0.2">
      <c r="B2084" s="29"/>
    </row>
    <row r="2085" spans="2:2" x14ac:dyDescent="0.2">
      <c r="B2085" s="29"/>
    </row>
    <row r="2086" spans="2:2" x14ac:dyDescent="0.2">
      <c r="B2086" s="29"/>
    </row>
    <row r="2087" spans="2:2" x14ac:dyDescent="0.2">
      <c r="B2087" s="29"/>
    </row>
    <row r="2088" spans="2:2" x14ac:dyDescent="0.2">
      <c r="B2088" s="29"/>
    </row>
    <row r="2089" spans="2:2" x14ac:dyDescent="0.2">
      <c r="B2089" s="29"/>
    </row>
    <row r="2090" spans="2:2" x14ac:dyDescent="0.2">
      <c r="B2090" s="29"/>
    </row>
    <row r="2091" spans="2:2" x14ac:dyDescent="0.2">
      <c r="B2091" s="29"/>
    </row>
    <row r="2092" spans="2:2" x14ac:dyDescent="0.2">
      <c r="B2092" s="29"/>
    </row>
    <row r="2093" spans="2:2" x14ac:dyDescent="0.2">
      <c r="B2093" s="29"/>
    </row>
    <row r="2094" spans="2:2" x14ac:dyDescent="0.2">
      <c r="B2094" s="29"/>
    </row>
    <row r="2095" spans="2:2" x14ac:dyDescent="0.2">
      <c r="B2095" s="29"/>
    </row>
    <row r="2096" spans="2:2" x14ac:dyDescent="0.2">
      <c r="B2096" s="29"/>
    </row>
    <row r="2097" spans="2:2" x14ac:dyDescent="0.2">
      <c r="B2097" s="29"/>
    </row>
    <row r="2098" spans="2:2" x14ac:dyDescent="0.2">
      <c r="B2098" s="29"/>
    </row>
    <row r="2099" spans="2:2" x14ac:dyDescent="0.2">
      <c r="B2099" s="29"/>
    </row>
    <row r="2100" spans="2:2" x14ac:dyDescent="0.2">
      <c r="B2100" s="29"/>
    </row>
    <row r="2101" spans="2:2" x14ac:dyDescent="0.2">
      <c r="B2101" s="29"/>
    </row>
    <row r="2102" spans="2:2" x14ac:dyDescent="0.2">
      <c r="B2102" s="29"/>
    </row>
    <row r="2103" spans="2:2" x14ac:dyDescent="0.2">
      <c r="B2103" s="29"/>
    </row>
    <row r="2104" spans="2:2" x14ac:dyDescent="0.2">
      <c r="B2104" s="29"/>
    </row>
    <row r="2105" spans="2:2" x14ac:dyDescent="0.2">
      <c r="B2105" s="29"/>
    </row>
    <row r="2106" spans="2:2" x14ac:dyDescent="0.2">
      <c r="B2106" s="29"/>
    </row>
    <row r="2107" spans="2:2" x14ac:dyDescent="0.2">
      <c r="B2107" s="29"/>
    </row>
    <row r="2108" spans="2:2" x14ac:dyDescent="0.2">
      <c r="B2108" s="29"/>
    </row>
    <row r="2109" spans="2:2" x14ac:dyDescent="0.2">
      <c r="B2109" s="29"/>
    </row>
    <row r="2110" spans="2:2" x14ac:dyDescent="0.2">
      <c r="B2110" s="29"/>
    </row>
    <row r="2111" spans="2:2" x14ac:dyDescent="0.2">
      <c r="B2111" s="29"/>
    </row>
    <row r="2112" spans="2:2" x14ac:dyDescent="0.2">
      <c r="B2112" s="29"/>
    </row>
    <row r="2113" spans="2:2" x14ac:dyDescent="0.2">
      <c r="B2113" s="29"/>
    </row>
    <row r="2114" spans="2:2" x14ac:dyDescent="0.2">
      <c r="B2114" s="29"/>
    </row>
    <row r="2115" spans="2:2" x14ac:dyDescent="0.2">
      <c r="B2115" s="29"/>
    </row>
    <row r="2116" spans="2:2" x14ac:dyDescent="0.2">
      <c r="B2116" s="29"/>
    </row>
    <row r="2117" spans="2:2" x14ac:dyDescent="0.2">
      <c r="B2117" s="29"/>
    </row>
    <row r="2118" spans="2:2" x14ac:dyDescent="0.2">
      <c r="B2118" s="29"/>
    </row>
    <row r="2119" spans="2:2" x14ac:dyDescent="0.2">
      <c r="B2119" s="29"/>
    </row>
    <row r="2120" spans="2:2" x14ac:dyDescent="0.2">
      <c r="B2120" s="29"/>
    </row>
    <row r="2121" spans="2:2" x14ac:dyDescent="0.2">
      <c r="B2121" s="29"/>
    </row>
    <row r="2122" spans="2:2" x14ac:dyDescent="0.2">
      <c r="B2122" s="29"/>
    </row>
    <row r="2123" spans="2:2" x14ac:dyDescent="0.2">
      <c r="B2123" s="29"/>
    </row>
    <row r="2124" spans="2:2" x14ac:dyDescent="0.2">
      <c r="B2124" s="29"/>
    </row>
    <row r="2125" spans="2:2" x14ac:dyDescent="0.2">
      <c r="B2125" s="29"/>
    </row>
    <row r="2126" spans="2:2" x14ac:dyDescent="0.2">
      <c r="B2126" s="29"/>
    </row>
    <row r="2127" spans="2:2" x14ac:dyDescent="0.2">
      <c r="B2127" s="29"/>
    </row>
    <row r="2128" spans="2:2" x14ac:dyDescent="0.2">
      <c r="B2128" s="29"/>
    </row>
    <row r="2129" spans="2:2" x14ac:dyDescent="0.2">
      <c r="B2129" s="29"/>
    </row>
    <row r="2130" spans="2:2" x14ac:dyDescent="0.2">
      <c r="B2130" s="29"/>
    </row>
    <row r="2131" spans="2:2" x14ac:dyDescent="0.2">
      <c r="B2131" s="29"/>
    </row>
    <row r="2132" spans="2:2" x14ac:dyDescent="0.2">
      <c r="B2132" s="29"/>
    </row>
    <row r="2133" spans="2:2" x14ac:dyDescent="0.2">
      <c r="B2133" s="29"/>
    </row>
    <row r="2134" spans="2:2" x14ac:dyDescent="0.2">
      <c r="B2134" s="29"/>
    </row>
    <row r="2135" spans="2:2" x14ac:dyDescent="0.2">
      <c r="B2135" s="29"/>
    </row>
    <row r="2136" spans="2:2" x14ac:dyDescent="0.2">
      <c r="B2136" s="29"/>
    </row>
    <row r="2137" spans="2:2" x14ac:dyDescent="0.2">
      <c r="B2137" s="29"/>
    </row>
    <row r="2138" spans="2:2" x14ac:dyDescent="0.2">
      <c r="B2138" s="29"/>
    </row>
    <row r="2139" spans="2:2" x14ac:dyDescent="0.2">
      <c r="B2139" s="29"/>
    </row>
    <row r="2140" spans="2:2" x14ac:dyDescent="0.2">
      <c r="B2140" s="29"/>
    </row>
    <row r="2141" spans="2:2" x14ac:dyDescent="0.2">
      <c r="B2141" s="29"/>
    </row>
    <row r="2142" spans="2:2" x14ac:dyDescent="0.2">
      <c r="B2142" s="29"/>
    </row>
    <row r="2143" spans="2:2" x14ac:dyDescent="0.2">
      <c r="B2143" s="29"/>
    </row>
    <row r="2144" spans="2:2" x14ac:dyDescent="0.2">
      <c r="B2144" s="29"/>
    </row>
    <row r="2145" spans="2:2" x14ac:dyDescent="0.2">
      <c r="B2145" s="29"/>
    </row>
  </sheetData>
  <autoFilter ref="A9:I1368" xr:uid="{00000000-0009-0000-0000-000001000000}">
    <filterColumn colId="2" showButton="0"/>
    <filterColumn colId="3" showButton="0"/>
    <filterColumn colId="5" showButton="0"/>
    <filterColumn colId="7" showButton="0"/>
  </autoFilter>
  <mergeCells count="4074">
    <mergeCell ref="C1:H1"/>
    <mergeCell ref="C2:H2"/>
    <mergeCell ref="D3:H3"/>
    <mergeCell ref="D4:H4"/>
    <mergeCell ref="D5:H5"/>
    <mergeCell ref="D7:H7"/>
    <mergeCell ref="H1040:I1040"/>
    <mergeCell ref="H886:I886"/>
    <mergeCell ref="C968:E968"/>
    <mergeCell ref="C886:E886"/>
    <mergeCell ref="F886:G886"/>
    <mergeCell ref="H710:I710"/>
    <mergeCell ref="C890:E890"/>
    <mergeCell ref="C947:E947"/>
    <mergeCell ref="F729:G729"/>
    <mergeCell ref="F736:G736"/>
    <mergeCell ref="C342:E342"/>
    <mergeCell ref="F342:G342"/>
    <mergeCell ref="H342:I342"/>
    <mergeCell ref="C524:E524"/>
    <mergeCell ref="F524:G524"/>
    <mergeCell ref="H524:I524"/>
    <mergeCell ref="C470:E470"/>
    <mergeCell ref="C464:E464"/>
    <mergeCell ref="C475:E475"/>
    <mergeCell ref="C505:E505"/>
    <mergeCell ref="C644:E644"/>
    <mergeCell ref="C637:E637"/>
    <mergeCell ref="C649:E649"/>
    <mergeCell ref="C648:E648"/>
    <mergeCell ref="C643:E643"/>
    <mergeCell ref="F636:G636"/>
    <mergeCell ref="F637:G637"/>
    <mergeCell ref="F648:G648"/>
    <mergeCell ref="F639:G639"/>
    <mergeCell ref="F643:G643"/>
    <mergeCell ref="C467:E467"/>
    <mergeCell ref="C460:E460"/>
    <mergeCell ref="H258:I258"/>
    <mergeCell ref="F416:G416"/>
    <mergeCell ref="F413:G413"/>
    <mergeCell ref="F403:G403"/>
    <mergeCell ref="H325:I325"/>
    <mergeCell ref="F363:G363"/>
    <mergeCell ref="F415:G415"/>
    <mergeCell ref="H277:I277"/>
    <mergeCell ref="H259:I259"/>
    <mergeCell ref="H262:I262"/>
    <mergeCell ref="F681:G681"/>
    <mergeCell ref="F691:G691"/>
    <mergeCell ref="F772:G772"/>
    <mergeCell ref="F280:G280"/>
    <mergeCell ref="H296:I296"/>
    <mergeCell ref="F759:G759"/>
    <mergeCell ref="F693:G693"/>
    <mergeCell ref="F685:G685"/>
    <mergeCell ref="H661:I661"/>
    <mergeCell ref="F652:G652"/>
    <mergeCell ref="H320:I320"/>
    <mergeCell ref="F318:G318"/>
    <mergeCell ref="F320:G320"/>
    <mergeCell ref="H318:I318"/>
    <mergeCell ref="H316:I316"/>
    <mergeCell ref="F312:G312"/>
    <mergeCell ref="H311:I311"/>
    <mergeCell ref="H319:I319"/>
    <mergeCell ref="H629:I629"/>
    <mergeCell ref="F390:G390"/>
    <mergeCell ref="F393:G393"/>
    <mergeCell ref="H329:I329"/>
    <mergeCell ref="C645:E645"/>
    <mergeCell ref="C661:E661"/>
    <mergeCell ref="F686:G686"/>
    <mergeCell ref="C629:E629"/>
    <mergeCell ref="F700:G700"/>
    <mergeCell ref="C888:E888"/>
    <mergeCell ref="C895:E895"/>
    <mergeCell ref="C700:E700"/>
    <mergeCell ref="C646:E646"/>
    <mergeCell ref="C635:E635"/>
    <mergeCell ref="C842:E842"/>
    <mergeCell ref="C831:E831"/>
    <mergeCell ref="C816:E816"/>
    <mergeCell ref="C836:E836"/>
    <mergeCell ref="C642:E642"/>
    <mergeCell ref="C622:E622"/>
    <mergeCell ref="C641:E641"/>
    <mergeCell ref="F705:G705"/>
    <mergeCell ref="C639:E639"/>
    <mergeCell ref="F654:G654"/>
    <mergeCell ref="F702:G702"/>
    <mergeCell ref="F710:G710"/>
    <mergeCell ref="F704:G704"/>
    <mergeCell ref="F741:G741"/>
    <mergeCell ref="C796:E796"/>
    <mergeCell ref="C847:E847"/>
    <mergeCell ref="C824:E824"/>
    <mergeCell ref="F732:G732"/>
    <mergeCell ref="C858:E858"/>
    <mergeCell ref="F767:G767"/>
    <mergeCell ref="C1040:E1040"/>
    <mergeCell ref="F747:G747"/>
    <mergeCell ref="F757:G757"/>
    <mergeCell ref="F758:G758"/>
    <mergeCell ref="C996:E996"/>
    <mergeCell ref="F709:G709"/>
    <mergeCell ref="F726:G726"/>
    <mergeCell ref="F723:G723"/>
    <mergeCell ref="F720:G720"/>
    <mergeCell ref="F745:G745"/>
    <mergeCell ref="C560:E560"/>
    <mergeCell ref="F714:G714"/>
    <mergeCell ref="F746:G746"/>
    <mergeCell ref="C561:E561"/>
    <mergeCell ref="C618:E618"/>
    <mergeCell ref="C562:E562"/>
    <mergeCell ref="F694:G694"/>
    <mergeCell ref="C620:E620"/>
    <mergeCell ref="F647:G647"/>
    <mergeCell ref="F692:G692"/>
    <mergeCell ref="C624:E624"/>
    <mergeCell ref="F715:G715"/>
    <mergeCell ref="C851:E851"/>
    <mergeCell ref="F721:G721"/>
    <mergeCell ref="F738:G738"/>
    <mergeCell ref="F724:G724"/>
    <mergeCell ref="F739:G739"/>
    <mergeCell ref="F731:G731"/>
    <mergeCell ref="C848:E848"/>
    <mergeCell ref="C814:E814"/>
    <mergeCell ref="F751:G751"/>
    <mergeCell ref="C862:E862"/>
    <mergeCell ref="C945:E945"/>
    <mergeCell ref="C1021:E1021"/>
    <mergeCell ref="C1032:E1032"/>
    <mergeCell ref="C1029:E1029"/>
    <mergeCell ref="F695:G695"/>
    <mergeCell ref="F698:G698"/>
    <mergeCell ref="F718:G718"/>
    <mergeCell ref="F730:G730"/>
    <mergeCell ref="F728:G728"/>
    <mergeCell ref="F722:G722"/>
    <mergeCell ref="F713:G713"/>
    <mergeCell ref="F725:G725"/>
    <mergeCell ref="F701:G701"/>
    <mergeCell ref="F707:G707"/>
    <mergeCell ref="F743:G743"/>
    <mergeCell ref="C859:E859"/>
    <mergeCell ref="C834:E834"/>
    <mergeCell ref="C885:E885"/>
    <mergeCell ref="C866:E866"/>
    <mergeCell ref="C872:E872"/>
    <mergeCell ref="C854:E854"/>
    <mergeCell ref="C877:E877"/>
    <mergeCell ref="C857:E857"/>
    <mergeCell ref="C855:E855"/>
    <mergeCell ref="C868:E868"/>
    <mergeCell ref="C840:E840"/>
    <mergeCell ref="C1024:E1024"/>
    <mergeCell ref="C1008:E1008"/>
    <mergeCell ref="C1013:E1013"/>
    <mergeCell ref="C1038:E1038"/>
    <mergeCell ref="C1099:E1099"/>
    <mergeCell ref="C942:E942"/>
    <mergeCell ref="C1078:E1078"/>
    <mergeCell ref="C1025:E1025"/>
    <mergeCell ref="C1019:E1019"/>
    <mergeCell ref="C1069:E1069"/>
    <mergeCell ref="C978:E978"/>
    <mergeCell ref="C954:E954"/>
    <mergeCell ref="C1091:E1091"/>
    <mergeCell ref="C956:E956"/>
    <mergeCell ref="C965:E965"/>
    <mergeCell ref="C966:E966"/>
    <mergeCell ref="C938:E938"/>
    <mergeCell ref="C1018:E1018"/>
    <mergeCell ref="C971:E971"/>
    <mergeCell ref="C979:E979"/>
    <mergeCell ref="C949:E949"/>
    <mergeCell ref="C1005:E1005"/>
    <mergeCell ref="C960:E960"/>
    <mergeCell ref="C992:E992"/>
    <mergeCell ref="C1037:E1037"/>
    <mergeCell ref="C964:E964"/>
    <mergeCell ref="C977:E977"/>
    <mergeCell ref="C974:E974"/>
    <mergeCell ref="C1017:E1017"/>
    <mergeCell ref="C1009:E1009"/>
    <mergeCell ref="C969:E969"/>
    <mergeCell ref="C1023:E1023"/>
    <mergeCell ref="C1061:E1061"/>
    <mergeCell ref="C1079:E1079"/>
    <mergeCell ref="C1090:E1090"/>
    <mergeCell ref="F1133:G1133"/>
    <mergeCell ref="F1166:G1166"/>
    <mergeCell ref="C1165:E1165"/>
    <mergeCell ref="C1158:E1158"/>
    <mergeCell ref="C1156:E1156"/>
    <mergeCell ref="C1142:E1142"/>
    <mergeCell ref="C1145:E1145"/>
    <mergeCell ref="C1155:E1155"/>
    <mergeCell ref="C1159:E1159"/>
    <mergeCell ref="C1157:E1157"/>
    <mergeCell ref="F1095:G1095"/>
    <mergeCell ref="F1084:G1084"/>
    <mergeCell ref="F1092:G1092"/>
    <mergeCell ref="F1078:G1078"/>
    <mergeCell ref="F1083:G1083"/>
    <mergeCell ref="F1080:G1080"/>
    <mergeCell ref="F1086:G1086"/>
    <mergeCell ref="F1081:G1081"/>
    <mergeCell ref="F1085:G1085"/>
    <mergeCell ref="F1065:G1065"/>
    <mergeCell ref="F1134:G1134"/>
    <mergeCell ref="F1105:G1105"/>
    <mergeCell ref="C1092:E1092"/>
    <mergeCell ref="F1128:G1128"/>
    <mergeCell ref="F1123:G1123"/>
    <mergeCell ref="F1125:G1125"/>
    <mergeCell ref="F1138:G1138"/>
    <mergeCell ref="F1168:G1168"/>
    <mergeCell ref="F1135:G1135"/>
    <mergeCell ref="F1170:G1170"/>
    <mergeCell ref="F1169:G1169"/>
    <mergeCell ref="C1153:E1153"/>
    <mergeCell ref="F1142:G1142"/>
    <mergeCell ref="F1145:G1145"/>
    <mergeCell ref="C1140:E1140"/>
    <mergeCell ref="C1135:E1135"/>
    <mergeCell ref="C1164:E1164"/>
    <mergeCell ref="C1096:E1096"/>
    <mergeCell ref="C1160:E1160"/>
    <mergeCell ref="C1154:E1154"/>
    <mergeCell ref="C1106:E1106"/>
    <mergeCell ref="C1103:E1103"/>
    <mergeCell ref="C1098:E1098"/>
    <mergeCell ref="C1022:E1022"/>
    <mergeCell ref="C1015:E1015"/>
    <mergeCell ref="C982:E982"/>
    <mergeCell ref="C995:E995"/>
    <mergeCell ref="C1004:E1004"/>
    <mergeCell ref="C999:E999"/>
    <mergeCell ref="C1006:E1006"/>
    <mergeCell ref="C983:E983"/>
    <mergeCell ref="C1012:E1012"/>
    <mergeCell ref="C998:E998"/>
    <mergeCell ref="C988:E988"/>
    <mergeCell ref="C970:E970"/>
    <mergeCell ref="C984:E984"/>
    <mergeCell ref="C981:E981"/>
    <mergeCell ref="C919:E919"/>
    <mergeCell ref="C957:E957"/>
    <mergeCell ref="C920:E920"/>
    <mergeCell ref="C921:E921"/>
    <mergeCell ref="C923:E923"/>
    <mergeCell ref="C943:E943"/>
    <mergeCell ref="C990:E990"/>
    <mergeCell ref="C946:E946"/>
    <mergeCell ref="C1010:E1010"/>
    <mergeCell ref="C1016:E1016"/>
    <mergeCell ref="C980:E980"/>
    <mergeCell ref="C991:E991"/>
    <mergeCell ref="C1014:E1014"/>
    <mergeCell ref="C962:E962"/>
    <mergeCell ref="C953:E953"/>
    <mergeCell ref="C929:E929"/>
    <mergeCell ref="C1002:E1002"/>
    <mergeCell ref="C1000:E1000"/>
    <mergeCell ref="C913:E913"/>
    <mergeCell ref="C901:E901"/>
    <mergeCell ref="C893:E893"/>
    <mergeCell ref="C939:E939"/>
    <mergeCell ref="C993:E993"/>
    <mergeCell ref="C986:E986"/>
    <mergeCell ref="C972:E972"/>
    <mergeCell ref="C941:E941"/>
    <mergeCell ref="C955:E955"/>
    <mergeCell ref="C944:E944"/>
    <mergeCell ref="C987:E987"/>
    <mergeCell ref="C985:E985"/>
    <mergeCell ref="C958:E958"/>
    <mergeCell ref="C961:E961"/>
    <mergeCell ref="C967:E967"/>
    <mergeCell ref="C925:E925"/>
    <mergeCell ref="C935:E935"/>
    <mergeCell ref="C928:E928"/>
    <mergeCell ref="C933:E933"/>
    <mergeCell ref="C931:E931"/>
    <mergeCell ref="C932:E932"/>
    <mergeCell ref="C952:E952"/>
    <mergeCell ref="C937:E937"/>
    <mergeCell ref="C936:E936"/>
    <mergeCell ref="C922:E922"/>
    <mergeCell ref="C924:E924"/>
    <mergeCell ref="C927:E927"/>
    <mergeCell ref="C917:E917"/>
    <mergeCell ref="C963:E963"/>
    <mergeCell ref="C926:E926"/>
    <mergeCell ref="C900:E900"/>
    <mergeCell ref="C904:E904"/>
    <mergeCell ref="C638:E638"/>
    <mergeCell ref="C627:E627"/>
    <mergeCell ref="C647:E647"/>
    <mergeCell ref="C636:E636"/>
    <mergeCell ref="C789:E789"/>
    <mergeCell ref="C793:E793"/>
    <mergeCell ref="C853:E853"/>
    <mergeCell ref="C830:E830"/>
    <mergeCell ref="C772:E772"/>
    <mergeCell ref="C845:E845"/>
    <mergeCell ref="C825:E825"/>
    <mergeCell ref="C804:E804"/>
    <mergeCell ref="C809:E809"/>
    <mergeCell ref="C813:E813"/>
    <mergeCell ref="C841:E841"/>
    <mergeCell ref="C817:E817"/>
    <mergeCell ref="C839:E839"/>
    <mergeCell ref="C838:E838"/>
    <mergeCell ref="C844:E844"/>
    <mergeCell ref="C849:E849"/>
    <mergeCell ref="C846:E846"/>
    <mergeCell ref="C736:E736"/>
    <mergeCell ref="C739:E739"/>
    <mergeCell ref="C749:E749"/>
    <mergeCell ref="C705:E705"/>
    <mergeCell ref="C723:E723"/>
    <mergeCell ref="C747:E747"/>
    <mergeCell ref="C766:E766"/>
    <mergeCell ref="C763:E763"/>
    <mergeCell ref="C757:E757"/>
    <mergeCell ref="C719:E719"/>
    <mergeCell ref="C713:E713"/>
    <mergeCell ref="C457:E457"/>
    <mergeCell ref="C427:E427"/>
    <mergeCell ref="C448:E448"/>
    <mergeCell ref="C428:E428"/>
    <mergeCell ref="C469:E469"/>
    <mergeCell ref="C465:E465"/>
    <mergeCell ref="C455:E455"/>
    <mergeCell ref="C442:E442"/>
    <mergeCell ref="C445:E445"/>
    <mergeCell ref="C491:E491"/>
    <mergeCell ref="C494:E494"/>
    <mergeCell ref="C509:E509"/>
    <mergeCell ref="C493:E493"/>
    <mergeCell ref="C501:E501"/>
    <mergeCell ref="C496:E496"/>
    <mergeCell ref="C492:E492"/>
    <mergeCell ref="C506:E506"/>
    <mergeCell ref="C461:E461"/>
    <mergeCell ref="C502:E502"/>
    <mergeCell ref="C434:E434"/>
    <mergeCell ref="C437:E437"/>
    <mergeCell ref="C454:E454"/>
    <mergeCell ref="C441:E441"/>
    <mergeCell ref="C451:E451"/>
    <mergeCell ref="F362:G362"/>
    <mergeCell ref="C619:E619"/>
    <mergeCell ref="C602:E602"/>
    <mergeCell ref="C632:E632"/>
    <mergeCell ref="C611:E611"/>
    <mergeCell ref="C633:E633"/>
    <mergeCell ref="C631:E631"/>
    <mergeCell ref="C549:E549"/>
    <mergeCell ref="C614:E614"/>
    <mergeCell ref="C615:E615"/>
    <mergeCell ref="C598:E598"/>
    <mergeCell ref="C604:E604"/>
    <mergeCell ref="C601:E601"/>
    <mergeCell ref="C600:E600"/>
    <mergeCell ref="C608:E608"/>
    <mergeCell ref="C599:E599"/>
    <mergeCell ref="C586:E586"/>
    <mergeCell ref="C537:E537"/>
    <mergeCell ref="C541:E541"/>
    <mergeCell ref="C540:E540"/>
    <mergeCell ref="C538:E538"/>
    <mergeCell ref="C595:E595"/>
    <mergeCell ref="C607:E607"/>
    <mergeCell ref="C592:E592"/>
    <mergeCell ref="C591:E591"/>
    <mergeCell ref="C594:E594"/>
    <mergeCell ref="C603:E603"/>
    <mergeCell ref="C565:E565"/>
    <mergeCell ref="C626:E626"/>
    <mergeCell ref="C628:E628"/>
    <mergeCell ref="C613:E613"/>
    <mergeCell ref="C570:E570"/>
    <mergeCell ref="F401:G401"/>
    <mergeCell ref="F399:G399"/>
    <mergeCell ref="F372:G372"/>
    <mergeCell ref="F410:G410"/>
    <mergeCell ref="C573:E573"/>
    <mergeCell ref="F453:G453"/>
    <mergeCell ref="C569:E569"/>
    <mergeCell ref="C550:E550"/>
    <mergeCell ref="C557:E557"/>
    <mergeCell ref="F374:G374"/>
    <mergeCell ref="F371:G371"/>
    <mergeCell ref="F370:G370"/>
    <mergeCell ref="F418:G418"/>
    <mergeCell ref="F422:G422"/>
    <mergeCell ref="F448:G448"/>
    <mergeCell ref="F442:G442"/>
    <mergeCell ref="F432:G432"/>
    <mergeCell ref="F435:G435"/>
    <mergeCell ref="F402:G402"/>
    <mergeCell ref="F380:G380"/>
    <mergeCell ref="C555:E555"/>
    <mergeCell ref="C554:E554"/>
    <mergeCell ref="C567:E567"/>
    <mergeCell ref="C556:E556"/>
    <mergeCell ref="C552:E552"/>
    <mergeCell ref="C566:E566"/>
    <mergeCell ref="C564:E564"/>
    <mergeCell ref="C553:E553"/>
    <mergeCell ref="C572:E572"/>
    <mergeCell ref="C558:E558"/>
    <mergeCell ref="C563:E563"/>
    <mergeCell ref="C522:E522"/>
    <mergeCell ref="F420:G420"/>
    <mergeCell ref="C1114:E1114"/>
    <mergeCell ref="F408:G408"/>
    <mergeCell ref="H326:I326"/>
    <mergeCell ref="F366:G366"/>
    <mergeCell ref="H343:I343"/>
    <mergeCell ref="H345:I345"/>
    <mergeCell ref="H365:I365"/>
    <mergeCell ref="H340:I340"/>
    <mergeCell ref="H336:I336"/>
    <mergeCell ref="H338:I338"/>
    <mergeCell ref="H362:I362"/>
    <mergeCell ref="H356:I356"/>
    <mergeCell ref="H355:I355"/>
    <mergeCell ref="F349:G349"/>
    <mergeCell ref="F369:G369"/>
    <mergeCell ref="F350:G350"/>
    <mergeCell ref="F358:G358"/>
    <mergeCell ref="F365:G365"/>
    <mergeCell ref="F367:G367"/>
    <mergeCell ref="F357:G357"/>
    <mergeCell ref="F351:G351"/>
    <mergeCell ref="F368:G368"/>
    <mergeCell ref="H328:I328"/>
    <mergeCell ref="H334:I334"/>
    <mergeCell ref="H331:I331"/>
    <mergeCell ref="H339:I339"/>
    <mergeCell ref="H337:I337"/>
    <mergeCell ref="H335:I335"/>
    <mergeCell ref="H333:I333"/>
    <mergeCell ref="H332:I332"/>
    <mergeCell ref="H370:I370"/>
    <mergeCell ref="H273:I273"/>
    <mergeCell ref="H266:I266"/>
    <mergeCell ref="H275:I275"/>
    <mergeCell ref="H270:I270"/>
    <mergeCell ref="H274:I274"/>
    <mergeCell ref="H263:I263"/>
    <mergeCell ref="H264:I264"/>
    <mergeCell ref="H268:I268"/>
    <mergeCell ref="H265:I265"/>
    <mergeCell ref="H267:I267"/>
    <mergeCell ref="F315:G315"/>
    <mergeCell ref="F314:G314"/>
    <mergeCell ref="F311:G311"/>
    <mergeCell ref="F317:G317"/>
    <mergeCell ref="H314:I314"/>
    <mergeCell ref="H313:I313"/>
    <mergeCell ref="H315:I315"/>
    <mergeCell ref="F288:G288"/>
    <mergeCell ref="F303:G303"/>
    <mergeCell ref="H301:I301"/>
    <mergeCell ref="H304:I304"/>
    <mergeCell ref="F293:G293"/>
    <mergeCell ref="F301:G301"/>
    <mergeCell ref="F304:G304"/>
    <mergeCell ref="H295:I295"/>
    <mergeCell ref="H290:I290"/>
    <mergeCell ref="F278:G278"/>
    <mergeCell ref="H226:I226"/>
    <mergeCell ref="H230:I230"/>
    <mergeCell ref="H232:I232"/>
    <mergeCell ref="H234:I234"/>
    <mergeCell ref="H240:I240"/>
    <mergeCell ref="H237:I237"/>
    <mergeCell ref="H238:I238"/>
    <mergeCell ref="H255:I255"/>
    <mergeCell ref="H256:I256"/>
    <mergeCell ref="H251:I251"/>
    <mergeCell ref="H250:I250"/>
    <mergeCell ref="H254:I254"/>
    <mergeCell ref="H253:I253"/>
    <mergeCell ref="H239:I239"/>
    <mergeCell ref="H244:I244"/>
    <mergeCell ref="H241:I241"/>
    <mergeCell ref="H245:I245"/>
    <mergeCell ref="H252:I252"/>
    <mergeCell ref="H242:I242"/>
    <mergeCell ref="H243:I243"/>
    <mergeCell ref="H246:I246"/>
    <mergeCell ref="H249:I249"/>
    <mergeCell ref="H248:I248"/>
    <mergeCell ref="H257:I257"/>
    <mergeCell ref="H297:I297"/>
    <mergeCell ref="H272:I272"/>
    <mergeCell ref="H269:I269"/>
    <mergeCell ref="H282:I282"/>
    <mergeCell ref="H283:I283"/>
    <mergeCell ref="H354:I354"/>
    <mergeCell ref="H327:I327"/>
    <mergeCell ref="H306:I306"/>
    <mergeCell ref="H293:I293"/>
    <mergeCell ref="H278:I278"/>
    <mergeCell ref="H261:I261"/>
    <mergeCell ref="H260:I260"/>
    <mergeCell ref="H196:I196"/>
    <mergeCell ref="H225:I225"/>
    <mergeCell ref="H224:I224"/>
    <mergeCell ref="H221:I221"/>
    <mergeCell ref="H222:I222"/>
    <mergeCell ref="H229:I229"/>
    <mergeCell ref="H228:I228"/>
    <mergeCell ref="H227:I227"/>
    <mergeCell ref="H213:I213"/>
    <mergeCell ref="H223:I223"/>
    <mergeCell ref="H201:I201"/>
    <mergeCell ref="H199:I199"/>
    <mergeCell ref="H200:I200"/>
    <mergeCell ref="H203:I203"/>
    <mergeCell ref="H211:I211"/>
    <mergeCell ref="H207:I207"/>
    <mergeCell ref="H236:I236"/>
    <mergeCell ref="H247:I247"/>
    <mergeCell ref="H217:I217"/>
    <mergeCell ref="F411:G411"/>
    <mergeCell ref="F406:G406"/>
    <mergeCell ref="H366:I366"/>
    <mergeCell ref="F344:G344"/>
    <mergeCell ref="F355:G355"/>
    <mergeCell ref="F356:G356"/>
    <mergeCell ref="H353:I353"/>
    <mergeCell ref="F353:G353"/>
    <mergeCell ref="F346:G346"/>
    <mergeCell ref="F364:G364"/>
    <mergeCell ref="F360:G360"/>
    <mergeCell ref="H359:I359"/>
    <mergeCell ref="F359:G359"/>
    <mergeCell ref="H352:I352"/>
    <mergeCell ref="F352:G352"/>
    <mergeCell ref="F294:G294"/>
    <mergeCell ref="H294:I294"/>
    <mergeCell ref="H324:I324"/>
    <mergeCell ref="H348:I348"/>
    <mergeCell ref="H357:I357"/>
    <mergeCell ref="F341:G341"/>
    <mergeCell ref="F333:G333"/>
    <mergeCell ref="H358:I358"/>
    <mergeCell ref="F347:G347"/>
    <mergeCell ref="F354:G354"/>
    <mergeCell ref="H322:I322"/>
    <mergeCell ref="F319:G319"/>
    <mergeCell ref="H344:I344"/>
    <mergeCell ref="F328:G328"/>
    <mergeCell ref="F348:G348"/>
    <mergeCell ref="F339:G339"/>
    <mergeCell ref="H330:I330"/>
    <mergeCell ref="F561:G561"/>
    <mergeCell ref="F597:G597"/>
    <mergeCell ref="F450:G450"/>
    <mergeCell ref="F452:G452"/>
    <mergeCell ref="F451:G451"/>
    <mergeCell ref="F454:G454"/>
    <mergeCell ref="F449:G449"/>
    <mergeCell ref="F434:G434"/>
    <mergeCell ref="F437:G437"/>
    <mergeCell ref="F436:G436"/>
    <mergeCell ref="F447:G447"/>
    <mergeCell ref="F443:G443"/>
    <mergeCell ref="F441:G441"/>
    <mergeCell ref="F445:G445"/>
    <mergeCell ref="F383:G383"/>
    <mergeCell ref="F407:G407"/>
    <mergeCell ref="F409:G409"/>
    <mergeCell ref="F446:G446"/>
    <mergeCell ref="F444:G444"/>
    <mergeCell ref="F433:G433"/>
    <mergeCell ref="F425:G425"/>
    <mergeCell ref="F429:G429"/>
    <mergeCell ref="F438:G438"/>
    <mergeCell ref="F431:G431"/>
    <mergeCell ref="F428:G428"/>
    <mergeCell ref="F423:G423"/>
    <mergeCell ref="F427:G427"/>
    <mergeCell ref="F424:G424"/>
    <mergeCell ref="F417:G417"/>
    <mergeCell ref="F397:G397"/>
    <mergeCell ref="F421:G421"/>
    <mergeCell ref="F414:G414"/>
    <mergeCell ref="F629:G629"/>
    <mergeCell ref="F624:G624"/>
    <mergeCell ref="F571:G571"/>
    <mergeCell ref="F623:G623"/>
    <mergeCell ref="F610:G610"/>
    <mergeCell ref="F609:G609"/>
    <mergeCell ref="F576:G576"/>
    <mergeCell ref="F594:G594"/>
    <mergeCell ref="F572:G572"/>
    <mergeCell ref="F622:G622"/>
    <mergeCell ref="F601:G601"/>
    <mergeCell ref="F588:G588"/>
    <mergeCell ref="F575:G575"/>
    <mergeCell ref="F577:G577"/>
    <mergeCell ref="F613:G613"/>
    <mergeCell ref="F589:G589"/>
    <mergeCell ref="F598:G598"/>
    <mergeCell ref="F590:G590"/>
    <mergeCell ref="F591:G591"/>
    <mergeCell ref="F688:G688"/>
    <mergeCell ref="F696:G696"/>
    <mergeCell ref="F733:G733"/>
    <mergeCell ref="F742:G742"/>
    <mergeCell ref="F706:G706"/>
    <mergeCell ref="F719:G719"/>
    <mergeCell ref="F737:G737"/>
    <mergeCell ref="F740:G740"/>
    <mergeCell ref="F708:G708"/>
    <mergeCell ref="F716:G716"/>
    <mergeCell ref="F616:G616"/>
    <mergeCell ref="F678:G678"/>
    <mergeCell ref="F682:G682"/>
    <mergeCell ref="F699:G699"/>
    <mergeCell ref="F697:G697"/>
    <mergeCell ref="F689:G689"/>
    <mergeCell ref="F642:G642"/>
    <mergeCell ref="F665:G665"/>
    <mergeCell ref="F669:G669"/>
    <mergeCell ref="F673:G673"/>
    <mergeCell ref="F619:G619"/>
    <mergeCell ref="F618:G618"/>
    <mergeCell ref="F649:G649"/>
    <mergeCell ref="F711:G711"/>
    <mergeCell ref="F690:G690"/>
    <mergeCell ref="F727:G727"/>
    <mergeCell ref="F735:G735"/>
    <mergeCell ref="F734:G734"/>
    <mergeCell ref="F632:G632"/>
    <mergeCell ref="F675:G675"/>
    <mergeCell ref="F617:G617"/>
    <mergeCell ref="F620:G620"/>
    <mergeCell ref="F1115:G1115"/>
    <mergeCell ref="F1102:G1102"/>
    <mergeCell ref="F1098:G1098"/>
    <mergeCell ref="F1108:G1108"/>
    <mergeCell ref="F1109:G1109"/>
    <mergeCell ref="F1099:G1099"/>
    <mergeCell ref="F1060:G1060"/>
    <mergeCell ref="F1052:G1052"/>
    <mergeCell ref="F1091:G1091"/>
    <mergeCell ref="F1075:G1075"/>
    <mergeCell ref="F1093:G1093"/>
    <mergeCell ref="F1070:G1070"/>
    <mergeCell ref="F1053:G1053"/>
    <mergeCell ref="F1079:G1079"/>
    <mergeCell ref="F1089:G1089"/>
    <mergeCell ref="F1064:G1064"/>
    <mergeCell ref="F907:G907"/>
    <mergeCell ref="F912:G912"/>
    <mergeCell ref="F915:G915"/>
    <mergeCell ref="F918:G918"/>
    <mergeCell ref="F908:G908"/>
    <mergeCell ref="F909:G909"/>
    <mergeCell ref="F911:G911"/>
    <mergeCell ref="F986:G986"/>
    <mergeCell ref="F1046:G1046"/>
    <mergeCell ref="F922:G922"/>
    <mergeCell ref="F974:G974"/>
    <mergeCell ref="F968:G968"/>
    <mergeCell ref="F921:G921"/>
    <mergeCell ref="F942:G942"/>
    <mergeCell ref="F939:G939"/>
    <mergeCell ref="F936:G936"/>
    <mergeCell ref="F1132:G1132"/>
    <mergeCell ref="F1129:G1129"/>
    <mergeCell ref="F1124:G1124"/>
    <mergeCell ref="F1066:G1066"/>
    <mergeCell ref="F1068:G1068"/>
    <mergeCell ref="F1107:G1107"/>
    <mergeCell ref="F1087:G1087"/>
    <mergeCell ref="F1076:G1076"/>
    <mergeCell ref="F1071:G1071"/>
    <mergeCell ref="F1112:G1112"/>
    <mergeCell ref="F1110:G1110"/>
    <mergeCell ref="F1131:G1131"/>
    <mergeCell ref="F1117:G1117"/>
    <mergeCell ref="F1122:G1122"/>
    <mergeCell ref="F1121:G1121"/>
    <mergeCell ref="F1118:G1118"/>
    <mergeCell ref="C916:E916"/>
    <mergeCell ref="F1114:G1114"/>
    <mergeCell ref="F1106:G1106"/>
    <mergeCell ref="F1104:G1104"/>
    <mergeCell ref="F1127:G1127"/>
    <mergeCell ref="F1130:G1130"/>
    <mergeCell ref="F1120:G1120"/>
    <mergeCell ref="F1077:G1077"/>
    <mergeCell ref="F1119:G1119"/>
    <mergeCell ref="F1116:G1116"/>
    <mergeCell ref="F1113:G1113"/>
    <mergeCell ref="F1111:G1111"/>
    <mergeCell ref="F1103:G1103"/>
    <mergeCell ref="F1096:G1096"/>
    <mergeCell ref="F1088:G1088"/>
    <mergeCell ref="F1094:G1094"/>
    <mergeCell ref="C711:E711"/>
    <mergeCell ref="C710:E710"/>
    <mergeCell ref="C880:E880"/>
    <mergeCell ref="C871:E871"/>
    <mergeCell ref="C861:E861"/>
    <mergeCell ref="C867:E867"/>
    <mergeCell ref="C879:E879"/>
    <mergeCell ref="C865:E865"/>
    <mergeCell ref="C874:E874"/>
    <mergeCell ref="C875:E875"/>
    <mergeCell ref="C864:E864"/>
    <mergeCell ref="C876:E876"/>
    <mergeCell ref="C810:E810"/>
    <mergeCell ref="C808:E808"/>
    <mergeCell ref="C873:E873"/>
    <mergeCell ref="C860:E860"/>
    <mergeCell ref="C856:E856"/>
    <mergeCell ref="C869:E869"/>
    <mergeCell ref="C863:E863"/>
    <mergeCell ref="C870:E870"/>
    <mergeCell ref="C878:E878"/>
    <mergeCell ref="C717:E717"/>
    <mergeCell ref="C714:E714"/>
    <mergeCell ref="C729:E729"/>
    <mergeCell ref="C738:E738"/>
    <mergeCell ref="C744:E744"/>
    <mergeCell ref="C754:E754"/>
    <mergeCell ref="C746:E746"/>
    <mergeCell ref="C750:E750"/>
    <mergeCell ref="C819:E819"/>
    <mergeCell ref="C805:E805"/>
    <mergeCell ref="C779:E779"/>
    <mergeCell ref="C692:E692"/>
    <mergeCell ref="C689:E689"/>
    <mergeCell ref="C691:E691"/>
    <mergeCell ref="C693:E693"/>
    <mergeCell ref="C697:E697"/>
    <mergeCell ref="C662:E662"/>
    <mergeCell ref="C665:E665"/>
    <mergeCell ref="C684:E684"/>
    <mergeCell ref="C687:E687"/>
    <mergeCell ref="C676:E676"/>
    <mergeCell ref="C688:E688"/>
    <mergeCell ref="C707:E707"/>
    <mergeCell ref="C696:E696"/>
    <mergeCell ref="C703:E703"/>
    <mergeCell ref="C694:E694"/>
    <mergeCell ref="C695:E695"/>
    <mergeCell ref="C704:E704"/>
    <mergeCell ref="C698:E698"/>
    <mergeCell ref="C690:E690"/>
    <mergeCell ref="C699:E699"/>
    <mergeCell ref="C668:E668"/>
    <mergeCell ref="C672:E672"/>
    <mergeCell ref="C674:E674"/>
    <mergeCell ref="C678:E678"/>
    <mergeCell ref="C685:E685"/>
    <mergeCell ref="C675:E675"/>
    <mergeCell ref="C673:E673"/>
    <mergeCell ref="C677:E677"/>
    <mergeCell ref="C671:E671"/>
    <mergeCell ref="C670:E670"/>
    <mergeCell ref="C686:E686"/>
    <mergeCell ref="C681:E681"/>
    <mergeCell ref="C683:E683"/>
    <mergeCell ref="C680:E680"/>
    <mergeCell ref="C682:E682"/>
    <mergeCell ref="C669:E669"/>
    <mergeCell ref="C679:E679"/>
    <mergeCell ref="C656:E656"/>
    <mergeCell ref="C650:E650"/>
    <mergeCell ref="C551:E551"/>
    <mergeCell ref="C651:E651"/>
    <mergeCell ref="C630:E630"/>
    <mergeCell ref="C655:E655"/>
    <mergeCell ref="C584:E584"/>
    <mergeCell ref="C593:E593"/>
    <mergeCell ref="C653:E653"/>
    <mergeCell ref="C658:E658"/>
    <mergeCell ref="C654:E654"/>
    <mergeCell ref="C659:E659"/>
    <mergeCell ref="C660:E660"/>
    <mergeCell ref="C667:E667"/>
    <mergeCell ref="C666:E666"/>
    <mergeCell ref="C663:E663"/>
    <mergeCell ref="C664:E664"/>
    <mergeCell ref="C657:E657"/>
    <mergeCell ref="C589:E589"/>
    <mergeCell ref="C588:E588"/>
    <mergeCell ref="C580:E580"/>
    <mergeCell ref="C568:E568"/>
    <mergeCell ref="C571:E571"/>
    <mergeCell ref="C559:E559"/>
    <mergeCell ref="C574:E574"/>
    <mergeCell ref="C575:E575"/>
    <mergeCell ref="C579:E579"/>
    <mergeCell ref="C466:E466"/>
    <mergeCell ref="C507:E507"/>
    <mergeCell ref="C504:E504"/>
    <mergeCell ref="C462:E462"/>
    <mergeCell ref="C521:E521"/>
    <mergeCell ref="C471:E471"/>
    <mergeCell ref="C526:E526"/>
    <mergeCell ref="C530:E530"/>
    <mergeCell ref="C529:E529"/>
    <mergeCell ref="C527:E527"/>
    <mergeCell ref="C533:E533"/>
    <mergeCell ref="C545:E545"/>
    <mergeCell ref="C479:E479"/>
    <mergeCell ref="C514:E514"/>
    <mergeCell ref="C512:E512"/>
    <mergeCell ref="C498:E498"/>
    <mergeCell ref="C486:E486"/>
    <mergeCell ref="C511:E511"/>
    <mergeCell ref="C490:E490"/>
    <mergeCell ref="C503:E503"/>
    <mergeCell ref="C517:E517"/>
    <mergeCell ref="C518:E518"/>
    <mergeCell ref="C581:E581"/>
    <mergeCell ref="C582:E582"/>
    <mergeCell ref="C583:E583"/>
    <mergeCell ref="C625:E625"/>
    <mergeCell ref="C623:E623"/>
    <mergeCell ref="C597:E597"/>
    <mergeCell ref="C612:E612"/>
    <mergeCell ref="C590:E590"/>
    <mergeCell ref="C606:E606"/>
    <mergeCell ref="C621:E621"/>
    <mergeCell ref="C634:E634"/>
    <mergeCell ref="C617:E617"/>
    <mergeCell ref="C596:E596"/>
    <mergeCell ref="C525:E525"/>
    <mergeCell ref="C531:E531"/>
    <mergeCell ref="C534:E534"/>
    <mergeCell ref="C576:E576"/>
    <mergeCell ref="C578:E578"/>
    <mergeCell ref="C585:E585"/>
    <mergeCell ref="C577:E577"/>
    <mergeCell ref="C609:E609"/>
    <mergeCell ref="C548:E548"/>
    <mergeCell ref="C542:E542"/>
    <mergeCell ref="C543:E543"/>
    <mergeCell ref="C610:E610"/>
    <mergeCell ref="C616:E616"/>
    <mergeCell ref="C310:E310"/>
    <mergeCell ref="C290:E290"/>
    <mergeCell ref="C299:E299"/>
    <mergeCell ref="C359:E359"/>
    <mergeCell ref="C472:E472"/>
    <mergeCell ref="C334:E334"/>
    <mergeCell ref="C485:E485"/>
    <mergeCell ref="C515:E515"/>
    <mergeCell ref="C510:E510"/>
    <mergeCell ref="C520:E520"/>
    <mergeCell ref="C547:E547"/>
    <mergeCell ref="C539:E539"/>
    <mergeCell ref="C546:E546"/>
    <mergeCell ref="C544:E544"/>
    <mergeCell ref="C523:E523"/>
    <mergeCell ref="C528:E528"/>
    <mergeCell ref="C535:E535"/>
    <mergeCell ref="C532:E532"/>
    <mergeCell ref="C536:E536"/>
    <mergeCell ref="C456:E456"/>
    <mergeCell ref="C298:E298"/>
    <mergeCell ref="C320:E320"/>
    <mergeCell ref="C301:E301"/>
    <mergeCell ref="C292:E292"/>
    <mergeCell ref="C294:E294"/>
    <mergeCell ref="C297:E297"/>
    <mergeCell ref="C296:E296"/>
    <mergeCell ref="C495:E495"/>
    <mergeCell ref="C513:E513"/>
    <mergeCell ref="C519:E519"/>
    <mergeCell ref="C476:E476"/>
    <mergeCell ref="C459:E459"/>
    <mergeCell ref="C293:E293"/>
    <mergeCell ref="C307:E307"/>
    <mergeCell ref="C305:E305"/>
    <mergeCell ref="C309:E309"/>
    <mergeCell ref="C314:E314"/>
    <mergeCell ref="C306:E306"/>
    <mergeCell ref="C282:E282"/>
    <mergeCell ref="C302:E302"/>
    <mergeCell ref="C295:E295"/>
    <mergeCell ref="C287:E287"/>
    <mergeCell ref="C423:E423"/>
    <mergeCell ref="C390:E390"/>
    <mergeCell ref="C315:E315"/>
    <mergeCell ref="C311:E311"/>
    <mergeCell ref="C312:E312"/>
    <mergeCell ref="C322:E322"/>
    <mergeCell ref="C326:E326"/>
    <mergeCell ref="C328:E328"/>
    <mergeCell ref="C332:E332"/>
    <mergeCell ref="C400:E400"/>
    <mergeCell ref="C401:E401"/>
    <mergeCell ref="C408:E408"/>
    <mergeCell ref="C403:E403"/>
    <mergeCell ref="C406:E406"/>
    <mergeCell ref="C397:E397"/>
    <mergeCell ref="C404:E404"/>
    <mergeCell ref="C386:E386"/>
    <mergeCell ref="C393:E393"/>
    <mergeCell ref="C398:E398"/>
    <mergeCell ref="C396:E396"/>
    <mergeCell ref="C405:E405"/>
    <mergeCell ref="C304:E304"/>
    <mergeCell ref="F254:G254"/>
    <mergeCell ref="F242:G242"/>
    <mergeCell ref="C263:E263"/>
    <mergeCell ref="F258:G258"/>
    <mergeCell ref="C254:E254"/>
    <mergeCell ref="C243:E243"/>
    <mergeCell ref="F272:G272"/>
    <mergeCell ref="C270:E270"/>
    <mergeCell ref="F275:G275"/>
    <mergeCell ref="F268:G268"/>
    <mergeCell ref="C285:E285"/>
    <mergeCell ref="C284:E284"/>
    <mergeCell ref="C278:E278"/>
    <mergeCell ref="C271:E271"/>
    <mergeCell ref="C273:E273"/>
    <mergeCell ref="C283:E283"/>
    <mergeCell ref="C281:E281"/>
    <mergeCell ref="C276:E276"/>
    <mergeCell ref="C279:E279"/>
    <mergeCell ref="C251:E251"/>
    <mergeCell ref="C260:E260"/>
    <mergeCell ref="C264:E264"/>
    <mergeCell ref="C259:E259"/>
    <mergeCell ref="F267:G267"/>
    <mergeCell ref="F247:G247"/>
    <mergeCell ref="F261:G261"/>
    <mergeCell ref="F264:G264"/>
    <mergeCell ref="F265:G265"/>
    <mergeCell ref="F262:G262"/>
    <mergeCell ref="F263:G263"/>
    <mergeCell ref="C280:E280"/>
    <mergeCell ref="C424:E424"/>
    <mergeCell ref="C341:E341"/>
    <mergeCell ref="C478:E478"/>
    <mergeCell ref="C483:E483"/>
    <mergeCell ref="C477:E477"/>
    <mergeCell ref="C480:E480"/>
    <mergeCell ref="C482:E482"/>
    <mergeCell ref="C439:E439"/>
    <mergeCell ref="C447:E447"/>
    <mergeCell ref="C433:E433"/>
    <mergeCell ref="C835:E835"/>
    <mergeCell ref="C758:E758"/>
    <mergeCell ref="C843:E843"/>
    <mergeCell ref="C850:E850"/>
    <mergeCell ref="C818:E818"/>
    <mergeCell ref="C812:E812"/>
    <mergeCell ref="C815:E815"/>
    <mergeCell ref="C811:E811"/>
    <mergeCell ref="C767:E767"/>
    <mergeCell ref="C751:E751"/>
    <mergeCell ref="C755:E755"/>
    <mergeCell ref="C753:E753"/>
    <mergeCell ref="C762:E762"/>
    <mergeCell ref="C752:E752"/>
    <mergeCell ref="C756:E756"/>
    <mergeCell ref="C740:E740"/>
    <mergeCell ref="C701:E701"/>
    <mergeCell ref="C706:E706"/>
    <mergeCell ref="C709:E709"/>
    <mergeCell ref="C702:E702"/>
    <mergeCell ref="C715:E715"/>
    <mergeCell ref="C716:E716"/>
    <mergeCell ref="C734:E734"/>
    <mergeCell ref="C950:E950"/>
    <mergeCell ref="C989:E989"/>
    <mergeCell ref="C994:E994"/>
    <mergeCell ref="C997:E997"/>
    <mergeCell ref="C973:E973"/>
    <mergeCell ref="C959:E959"/>
    <mergeCell ref="C915:E915"/>
    <mergeCell ref="C898:E898"/>
    <mergeCell ref="C914:E914"/>
    <mergeCell ref="C903:E903"/>
    <mergeCell ref="C899:E899"/>
    <mergeCell ref="C975:E975"/>
    <mergeCell ref="C910:E910"/>
    <mergeCell ref="C940:E940"/>
    <mergeCell ref="C905:E905"/>
    <mergeCell ref="C930:E930"/>
    <mergeCell ref="C837:E837"/>
    <mergeCell ref="C881:E881"/>
    <mergeCell ref="C934:E934"/>
    <mergeCell ref="C889:E889"/>
    <mergeCell ref="C892:E892"/>
    <mergeCell ref="C909:E909"/>
    <mergeCell ref="C884:E884"/>
    <mergeCell ref="C883:E883"/>
    <mergeCell ref="C891:E891"/>
    <mergeCell ref="C918:E918"/>
    <mergeCell ref="C908:E908"/>
    <mergeCell ref="C896:E896"/>
    <mergeCell ref="C902:E902"/>
    <mergeCell ref="C912:E912"/>
    <mergeCell ref="C882:E882"/>
    <mergeCell ref="C1144:E1144"/>
    <mergeCell ref="C1042:E1042"/>
    <mergeCell ref="C1116:E1116"/>
    <mergeCell ref="C1102:E1102"/>
    <mergeCell ref="C1104:E1104"/>
    <mergeCell ref="C1063:E1063"/>
    <mergeCell ref="C1050:E1050"/>
    <mergeCell ref="C1053:E1053"/>
    <mergeCell ref="C1056:E1056"/>
    <mergeCell ref="C1057:E1057"/>
    <mergeCell ref="C1130:E1130"/>
    <mergeCell ref="C1152:E1152"/>
    <mergeCell ref="C1141:E1141"/>
    <mergeCell ref="C1138:E1138"/>
    <mergeCell ref="C1134:E1134"/>
    <mergeCell ref="C1131:E1131"/>
    <mergeCell ref="C1139:E1139"/>
    <mergeCell ref="C1137:E1137"/>
    <mergeCell ref="C1148:E1148"/>
    <mergeCell ref="C1149:E1149"/>
    <mergeCell ref="C1143:E1143"/>
    <mergeCell ref="C1132:E1132"/>
    <mergeCell ref="C1136:E1136"/>
    <mergeCell ref="C1109:E1109"/>
    <mergeCell ref="C1133:E1133"/>
    <mergeCell ref="C1122:E1122"/>
    <mergeCell ref="C1128:E1128"/>
    <mergeCell ref="C1127:E1127"/>
    <mergeCell ref="C1118:E1118"/>
    <mergeCell ref="C1111:E1111"/>
    <mergeCell ref="C1126:E1126"/>
    <mergeCell ref="C1120:E1120"/>
    <mergeCell ref="C1129:E1129"/>
    <mergeCell ref="C1119:E1119"/>
    <mergeCell ref="C1117:E1117"/>
    <mergeCell ref="C1110:E1110"/>
    <mergeCell ref="C1044:E1044"/>
    <mergeCell ref="C1105:E1105"/>
    <mergeCell ref="C1066:E1066"/>
    <mergeCell ref="C1070:E1070"/>
    <mergeCell ref="C1030:E1030"/>
    <mergeCell ref="C1115:E1115"/>
    <mergeCell ref="C1094:E1094"/>
    <mergeCell ref="C1101:E1101"/>
    <mergeCell ref="C1123:E1123"/>
    <mergeCell ref="C1108:E1108"/>
    <mergeCell ref="C1107:E1107"/>
    <mergeCell ref="C1121:E1121"/>
    <mergeCell ref="C1113:E1113"/>
    <mergeCell ref="C1039:E1039"/>
    <mergeCell ref="C1083:E1083"/>
    <mergeCell ref="C1095:E1095"/>
    <mergeCell ref="C1088:E1088"/>
    <mergeCell ref="C1041:E1041"/>
    <mergeCell ref="C1087:E1087"/>
    <mergeCell ref="C1072:E1072"/>
    <mergeCell ref="C1045:E1045"/>
    <mergeCell ref="C1051:E1051"/>
    <mergeCell ref="C1052:E1052"/>
    <mergeCell ref="C1125:E1125"/>
    <mergeCell ref="C1112:E1112"/>
    <mergeCell ref="C1071:E1071"/>
    <mergeCell ref="C1059:E1059"/>
    <mergeCell ref="C1086:E1086"/>
    <mergeCell ref="C820:E820"/>
    <mergeCell ref="C833:E833"/>
    <mergeCell ref="C829:E829"/>
    <mergeCell ref="C832:E832"/>
    <mergeCell ref="C823:E823"/>
    <mergeCell ref="C822:E822"/>
    <mergeCell ref="C827:E827"/>
    <mergeCell ref="C826:E826"/>
    <mergeCell ref="C821:E821"/>
    <mergeCell ref="C828:E828"/>
    <mergeCell ref="C1027:E1027"/>
    <mergeCell ref="C1064:E1064"/>
    <mergeCell ref="C1124:E1124"/>
    <mergeCell ref="C1026:E1026"/>
    <mergeCell ref="C852:E852"/>
    <mergeCell ref="C1046:E1046"/>
    <mergeCell ref="C1043:E1043"/>
    <mergeCell ref="C1028:E1028"/>
    <mergeCell ref="C1036:E1036"/>
    <mergeCell ref="C1048:E1048"/>
    <mergeCell ref="C1020:E1020"/>
    <mergeCell ref="C1011:E1011"/>
    <mergeCell ref="C1007:E1007"/>
    <mergeCell ref="C1001:E1001"/>
    <mergeCell ref="C1003:E1003"/>
    <mergeCell ref="C976:E976"/>
    <mergeCell ref="C906:E906"/>
    <mergeCell ref="C887:E887"/>
    <mergeCell ref="C894:E894"/>
    <mergeCell ref="C907:E907"/>
    <mergeCell ref="C897:E897"/>
    <mergeCell ref="C911:E911"/>
    <mergeCell ref="C761:E761"/>
    <mergeCell ref="C765:E765"/>
    <mergeCell ref="C760:E760"/>
    <mergeCell ref="C787:E787"/>
    <mergeCell ref="C807:E807"/>
    <mergeCell ref="C797:E797"/>
    <mergeCell ref="C778:E778"/>
    <mergeCell ref="C768:E768"/>
    <mergeCell ref="C775:E775"/>
    <mergeCell ref="C769:E769"/>
    <mergeCell ref="C782:E782"/>
    <mergeCell ref="C777:E777"/>
    <mergeCell ref="C795:E795"/>
    <mergeCell ref="C794:E794"/>
    <mergeCell ref="C799:E799"/>
    <mergeCell ref="C784:E784"/>
    <mergeCell ref="C783:E783"/>
    <mergeCell ref="C798:E798"/>
    <mergeCell ref="C801:E801"/>
    <mergeCell ref="C781:E781"/>
    <mergeCell ref="C425:E425"/>
    <mergeCell ref="C436:E436"/>
    <mergeCell ref="C429:E429"/>
    <mergeCell ref="C435:E435"/>
    <mergeCell ref="C721:E721"/>
    <mergeCell ref="C728:E728"/>
    <mergeCell ref="C727:E727"/>
    <mergeCell ref="C724:E724"/>
    <mergeCell ref="C463:E463"/>
    <mergeCell ref="C444:E444"/>
    <mergeCell ref="C453:E453"/>
    <mergeCell ref="C449:E449"/>
    <mergeCell ref="C452:E452"/>
    <mergeCell ref="C450:E450"/>
    <mergeCell ref="C718:E718"/>
    <mergeCell ref="C712:E712"/>
    <mergeCell ref="C720:E720"/>
    <mergeCell ref="C725:E725"/>
    <mergeCell ref="C722:E722"/>
    <mergeCell ref="C481:E481"/>
    <mergeCell ref="C488:E488"/>
    <mergeCell ref="C508:E508"/>
    <mergeCell ref="C499:E499"/>
    <mergeCell ref="C516:E516"/>
    <mergeCell ref="C497:E497"/>
    <mergeCell ref="C487:E487"/>
    <mergeCell ref="C489:E489"/>
    <mergeCell ref="C430:E430"/>
    <mergeCell ref="C708:E708"/>
    <mergeCell ref="C652:E652"/>
    <mergeCell ref="C640:E640"/>
    <mergeCell ref="C587:E587"/>
    <mergeCell ref="C410:E410"/>
    <mergeCell ref="C426:E426"/>
    <mergeCell ref="C419:E419"/>
    <mergeCell ref="C421:E421"/>
    <mergeCell ref="C420:E420"/>
    <mergeCell ref="H235:I235"/>
    <mergeCell ref="H231:I231"/>
    <mergeCell ref="H233:I233"/>
    <mergeCell ref="C253:E253"/>
    <mergeCell ref="C248:E248"/>
    <mergeCell ref="C238:E238"/>
    <mergeCell ref="C252:E252"/>
    <mergeCell ref="F234:G234"/>
    <mergeCell ref="F239:G239"/>
    <mergeCell ref="F238:G238"/>
    <mergeCell ref="C385:E385"/>
    <mergeCell ref="C361:E361"/>
    <mergeCell ref="C333:E333"/>
    <mergeCell ref="C353:E353"/>
    <mergeCell ref="C354:E354"/>
    <mergeCell ref="C376:E376"/>
    <mergeCell ref="C364:E364"/>
    <mergeCell ref="C339:E339"/>
    <mergeCell ref="C358:E358"/>
    <mergeCell ref="C357:E357"/>
    <mergeCell ref="C349:E349"/>
    <mergeCell ref="C317:E317"/>
    <mergeCell ref="C323:E323"/>
    <mergeCell ref="C321:E321"/>
    <mergeCell ref="C378:E378"/>
    <mergeCell ref="C379:E379"/>
    <mergeCell ref="C380:E380"/>
    <mergeCell ref="C381:E381"/>
    <mergeCell ref="C383:E383"/>
    <mergeCell ref="C384:E384"/>
    <mergeCell ref="C337:E337"/>
    <mergeCell ref="C329:E329"/>
    <mergeCell ref="H193:I193"/>
    <mergeCell ref="H205:I205"/>
    <mergeCell ref="H191:I191"/>
    <mergeCell ref="H216:I216"/>
    <mergeCell ref="H212:I212"/>
    <mergeCell ref="H208:I208"/>
    <mergeCell ref="H206:I206"/>
    <mergeCell ref="H195:I195"/>
    <mergeCell ref="H190:I190"/>
    <mergeCell ref="H192:I192"/>
    <mergeCell ref="H209:I209"/>
    <mergeCell ref="H197:I197"/>
    <mergeCell ref="H194:I194"/>
    <mergeCell ref="F200:G200"/>
    <mergeCell ref="F208:G208"/>
    <mergeCell ref="F201:G201"/>
    <mergeCell ref="F207:G207"/>
    <mergeCell ref="F195:G195"/>
    <mergeCell ref="F197:G197"/>
    <mergeCell ref="F203:G203"/>
    <mergeCell ref="F198:G198"/>
    <mergeCell ref="F205:G205"/>
    <mergeCell ref="F206:G206"/>
    <mergeCell ref="F204:G204"/>
    <mergeCell ref="F209:G209"/>
    <mergeCell ref="F212:G212"/>
    <mergeCell ref="F214:G214"/>
    <mergeCell ref="H163:I163"/>
    <mergeCell ref="F149:G149"/>
    <mergeCell ref="F147:G147"/>
    <mergeCell ref="H147:I147"/>
    <mergeCell ref="H153:I153"/>
    <mergeCell ref="F169:G169"/>
    <mergeCell ref="F165:G165"/>
    <mergeCell ref="F166:G166"/>
    <mergeCell ref="F164:G164"/>
    <mergeCell ref="H164:I164"/>
    <mergeCell ref="F161:G161"/>
    <mergeCell ref="H165:I165"/>
    <mergeCell ref="F163:G163"/>
    <mergeCell ref="H167:I167"/>
    <mergeCell ref="F168:G168"/>
    <mergeCell ref="F154:G154"/>
    <mergeCell ref="F125:G125"/>
    <mergeCell ref="H125:I125"/>
    <mergeCell ref="F155:G155"/>
    <mergeCell ref="H155:I155"/>
    <mergeCell ref="H158:I158"/>
    <mergeCell ref="H145:I145"/>
    <mergeCell ref="H143:I143"/>
    <mergeCell ref="C77:E77"/>
    <mergeCell ref="C78:E78"/>
    <mergeCell ref="H71:I71"/>
    <mergeCell ref="H72:I72"/>
    <mergeCell ref="C82:E82"/>
    <mergeCell ref="C80:E80"/>
    <mergeCell ref="C79:E79"/>
    <mergeCell ref="C81:E81"/>
    <mergeCell ref="H80:I80"/>
    <mergeCell ref="F73:G73"/>
    <mergeCell ref="C67:E67"/>
    <mergeCell ref="C76:E76"/>
    <mergeCell ref="C74:E74"/>
    <mergeCell ref="C71:E71"/>
    <mergeCell ref="C70:E70"/>
    <mergeCell ref="C72:E72"/>
    <mergeCell ref="C73:E73"/>
    <mergeCell ref="C75:E75"/>
    <mergeCell ref="C69:E69"/>
    <mergeCell ref="C89:E89"/>
    <mergeCell ref="C344:E344"/>
    <mergeCell ref="C330:E330"/>
    <mergeCell ref="C343:E343"/>
    <mergeCell ref="C336:E336"/>
    <mergeCell ref="C99:E99"/>
    <mergeCell ref="C308:E308"/>
    <mergeCell ref="C327:E327"/>
    <mergeCell ref="C324:E324"/>
    <mergeCell ref="C168:E168"/>
    <mergeCell ref="C83:E83"/>
    <mergeCell ref="C87:E87"/>
    <mergeCell ref="C86:E86"/>
    <mergeCell ref="C85:E85"/>
    <mergeCell ref="C88:E88"/>
    <mergeCell ref="C232:E232"/>
    <mergeCell ref="C224:E224"/>
    <mergeCell ref="C96:E96"/>
    <mergeCell ref="C84:E84"/>
    <mergeCell ref="C106:E106"/>
    <mergeCell ref="C225:E225"/>
    <mergeCell ref="C229:E229"/>
    <mergeCell ref="C228:E228"/>
    <mergeCell ref="C226:E226"/>
    <mergeCell ref="C288:E288"/>
    <mergeCell ref="C303:E303"/>
    <mergeCell ref="C300:E300"/>
    <mergeCell ref="C289:E289"/>
    <mergeCell ref="C291:E291"/>
    <mergeCell ref="C316:E316"/>
    <mergeCell ref="C313:E313"/>
    <mergeCell ref="C267:E267"/>
    <mergeCell ref="C98:E98"/>
    <mergeCell ref="F96:G96"/>
    <mergeCell ref="F97:G97"/>
    <mergeCell ref="F90:G90"/>
    <mergeCell ref="C97:E97"/>
    <mergeCell ref="C95:E95"/>
    <mergeCell ref="C94:E94"/>
    <mergeCell ref="C93:E93"/>
    <mergeCell ref="C211:E211"/>
    <mergeCell ref="C100:E100"/>
    <mergeCell ref="C347:E347"/>
    <mergeCell ref="C234:E234"/>
    <mergeCell ref="C92:E92"/>
    <mergeCell ref="C318:E318"/>
    <mergeCell ref="C345:E345"/>
    <mergeCell ref="C340:E340"/>
    <mergeCell ref="C335:E335"/>
    <mergeCell ref="C101:E101"/>
    <mergeCell ref="F143:G143"/>
    <mergeCell ref="F139:G139"/>
    <mergeCell ref="F142:G142"/>
    <mergeCell ref="F141:G141"/>
    <mergeCell ref="F116:G116"/>
    <mergeCell ref="F224:G224"/>
    <mergeCell ref="F218:G218"/>
    <mergeCell ref="F221:G221"/>
    <mergeCell ref="F228:G228"/>
    <mergeCell ref="F229:G229"/>
    <mergeCell ref="C274:E274"/>
    <mergeCell ref="C269:E269"/>
    <mergeCell ref="C277:E277"/>
    <mergeCell ref="C275:E275"/>
    <mergeCell ref="C244:E244"/>
    <mergeCell ref="C217:E217"/>
    <mergeCell ref="C110:E110"/>
    <mergeCell ref="C109:E109"/>
    <mergeCell ref="C113:E113"/>
    <mergeCell ref="C130:E130"/>
    <mergeCell ref="C134:E134"/>
    <mergeCell ref="C133:E133"/>
    <mergeCell ref="C126:E126"/>
    <mergeCell ref="C114:E114"/>
    <mergeCell ref="C128:E128"/>
    <mergeCell ref="C127:E127"/>
    <mergeCell ref="C108:E108"/>
    <mergeCell ref="F130:G130"/>
    <mergeCell ref="C120:E120"/>
    <mergeCell ref="C122:E122"/>
    <mergeCell ref="F112:G112"/>
    <mergeCell ref="F113:G113"/>
    <mergeCell ref="F117:G117"/>
    <mergeCell ref="F118:G118"/>
    <mergeCell ref="C121:E121"/>
    <mergeCell ref="C117:E117"/>
    <mergeCell ref="C115:E115"/>
    <mergeCell ref="C111:E111"/>
    <mergeCell ref="C125:E125"/>
    <mergeCell ref="C155:E155"/>
    <mergeCell ref="C132:E132"/>
    <mergeCell ref="C131:E131"/>
    <mergeCell ref="C144:E144"/>
    <mergeCell ref="C192:E192"/>
    <mergeCell ref="F159:G159"/>
    <mergeCell ref="F158:G158"/>
    <mergeCell ref="C418:E418"/>
    <mergeCell ref="C415:E415"/>
    <mergeCell ref="C417:E417"/>
    <mergeCell ref="C416:E416"/>
    <mergeCell ref="C458:E458"/>
    <mergeCell ref="C422:E422"/>
    <mergeCell ref="C440:E440"/>
    <mergeCell ref="C438:E438"/>
    <mergeCell ref="C431:E431"/>
    <mergeCell ref="C432:E432"/>
    <mergeCell ref="C391:E391"/>
    <mergeCell ref="C365:E365"/>
    <mergeCell ref="C372:E372"/>
    <mergeCell ref="C377:E377"/>
    <mergeCell ref="C389:E389"/>
    <mergeCell ref="C388:E388"/>
    <mergeCell ref="C375:E375"/>
    <mergeCell ref="C369:E369"/>
    <mergeCell ref="C370:E370"/>
    <mergeCell ref="C382:E382"/>
    <mergeCell ref="C394:E394"/>
    <mergeCell ref="C414:E414"/>
    <mergeCell ref="C399:E399"/>
    <mergeCell ref="C395:E395"/>
    <mergeCell ref="C387:E387"/>
    <mergeCell ref="C402:E402"/>
    <mergeCell ref="C412:E412"/>
    <mergeCell ref="C411:E411"/>
    <mergeCell ref="C407:E407"/>
    <mergeCell ref="C392:E392"/>
    <mergeCell ref="C413:E413"/>
    <mergeCell ref="C409:E409"/>
    <mergeCell ref="C732:E732"/>
    <mergeCell ref="C731:E731"/>
    <mergeCell ref="C443:E443"/>
    <mergeCell ref="C484:E484"/>
    <mergeCell ref="C500:E500"/>
    <mergeCell ref="C474:E474"/>
    <mergeCell ref="C446:E446"/>
    <mergeCell ref="C726:E726"/>
    <mergeCell ref="C605:E605"/>
    <mergeCell ref="C468:E468"/>
    <mergeCell ref="C748:E748"/>
    <mergeCell ref="C743:E743"/>
    <mergeCell ref="C742:E742"/>
    <mergeCell ref="C737:E737"/>
    <mergeCell ref="C730:E730"/>
    <mergeCell ref="C764:E764"/>
    <mergeCell ref="C803:E803"/>
    <mergeCell ref="C786:E786"/>
    <mergeCell ref="C800:E800"/>
    <mergeCell ref="C773:E773"/>
    <mergeCell ref="C776:E776"/>
    <mergeCell ref="C780:E780"/>
    <mergeCell ref="C788:E788"/>
    <mergeCell ref="C802:E802"/>
    <mergeCell ref="C790:E790"/>
    <mergeCell ref="C771:E771"/>
    <mergeCell ref="C770:E770"/>
    <mergeCell ref="C791:E791"/>
    <mergeCell ref="C792:E792"/>
    <mergeCell ref="C759:E759"/>
    <mergeCell ref="C785:E785"/>
    <mergeCell ref="C774:E774"/>
    <mergeCell ref="C733:E733"/>
    <mergeCell ref="C1075:E1075"/>
    <mergeCell ref="C1065:E1065"/>
    <mergeCell ref="C1068:E1068"/>
    <mergeCell ref="C1067:E1067"/>
    <mergeCell ref="C1060:E1060"/>
    <mergeCell ref="C1062:E1062"/>
    <mergeCell ref="C1058:E1058"/>
    <mergeCell ref="C1074:E1074"/>
    <mergeCell ref="C1035:E1035"/>
    <mergeCell ref="C741:E741"/>
    <mergeCell ref="C745:E745"/>
    <mergeCell ref="F1038:G1038"/>
    <mergeCell ref="F1042:G1042"/>
    <mergeCell ref="F1054:G1054"/>
    <mergeCell ref="F1027:G1027"/>
    <mergeCell ref="C806:E806"/>
    <mergeCell ref="C951:E951"/>
    <mergeCell ref="C948:E948"/>
    <mergeCell ref="F877:G877"/>
    <mergeCell ref="F861:G861"/>
    <mergeCell ref="F875:G875"/>
    <mergeCell ref="F954:G954"/>
    <mergeCell ref="F969:G969"/>
    <mergeCell ref="C735:E735"/>
    <mergeCell ref="F965:G965"/>
    <mergeCell ref="F966:G966"/>
    <mergeCell ref="F948:G948"/>
    <mergeCell ref="F950:G950"/>
    <mergeCell ref="F956:G956"/>
    <mergeCell ref="F885:G885"/>
    <mergeCell ref="F900:G900"/>
    <mergeCell ref="F961:G961"/>
    <mergeCell ref="F959:G959"/>
    <mergeCell ref="F935:G935"/>
    <mergeCell ref="F941:G941"/>
    <mergeCell ref="F943:G943"/>
    <mergeCell ref="F951:G951"/>
    <mergeCell ref="F928:G928"/>
    <mergeCell ref="F944:G944"/>
    <mergeCell ref="F923:G923"/>
    <mergeCell ref="F933:G933"/>
    <mergeCell ref="F926:G926"/>
    <mergeCell ref="F953:G953"/>
    <mergeCell ref="F958:G958"/>
    <mergeCell ref="C1055:E1055"/>
    <mergeCell ref="C1054:E1054"/>
    <mergeCell ref="C1049:E1049"/>
    <mergeCell ref="F946:G946"/>
    <mergeCell ref="C1047:E1047"/>
    <mergeCell ref="F1044:G1044"/>
    <mergeCell ref="C1031:E1031"/>
    <mergeCell ref="C1033:E1033"/>
    <mergeCell ref="C1034:E1034"/>
    <mergeCell ref="F978:G978"/>
    <mergeCell ref="F938:G938"/>
    <mergeCell ref="F983:G983"/>
    <mergeCell ref="F1016:G1016"/>
    <mergeCell ref="F932:G932"/>
    <mergeCell ref="F924:G924"/>
    <mergeCell ref="F930:G930"/>
    <mergeCell ref="F960:G960"/>
    <mergeCell ref="F996:G996"/>
    <mergeCell ref="F947:G947"/>
    <mergeCell ref="F867:G867"/>
    <mergeCell ref="F854:G854"/>
    <mergeCell ref="F868:G868"/>
    <mergeCell ref="F841:G841"/>
    <mergeCell ref="F855:G855"/>
    <mergeCell ref="F870:G870"/>
    <mergeCell ref="F836:G836"/>
    <mergeCell ref="F837:G837"/>
    <mergeCell ref="F831:G831"/>
    <mergeCell ref="F856:G856"/>
    <mergeCell ref="F828:G828"/>
    <mergeCell ref="F835:G835"/>
    <mergeCell ref="F853:G853"/>
    <mergeCell ref="F842:G842"/>
    <mergeCell ref="F916:G916"/>
    <mergeCell ref="F957:G957"/>
    <mergeCell ref="F955:G955"/>
    <mergeCell ref="F931:G931"/>
    <mergeCell ref="F937:G937"/>
    <mergeCell ref="F934:G934"/>
    <mergeCell ref="F910:G910"/>
    <mergeCell ref="F927:G927"/>
    <mergeCell ref="F901:G901"/>
    <mergeCell ref="F903:G903"/>
    <mergeCell ref="F905:G905"/>
    <mergeCell ref="F902:G902"/>
    <mergeCell ref="F906:G906"/>
    <mergeCell ref="F925:G925"/>
    <mergeCell ref="F852:G852"/>
    <mergeCell ref="F846:G846"/>
    <mergeCell ref="F849:G849"/>
    <mergeCell ref="F843:G843"/>
    <mergeCell ref="F847:G847"/>
    <mergeCell ref="F818:G818"/>
    <mergeCell ref="F819:G819"/>
    <mergeCell ref="F762:G762"/>
    <mergeCell ref="F764:G764"/>
    <mergeCell ref="F773:G773"/>
    <mergeCell ref="F782:G782"/>
    <mergeCell ref="F817:G817"/>
    <mergeCell ref="F824:G824"/>
    <mergeCell ref="F825:G825"/>
    <mergeCell ref="F802:G802"/>
    <mergeCell ref="F839:G839"/>
    <mergeCell ref="F887:G887"/>
    <mergeCell ref="F858:G858"/>
    <mergeCell ref="F851:G851"/>
    <mergeCell ref="F823:G823"/>
    <mergeCell ref="F834:G834"/>
    <mergeCell ref="F830:G830"/>
    <mergeCell ref="F827:G827"/>
    <mergeCell ref="F829:G829"/>
    <mergeCell ref="F840:G840"/>
    <mergeCell ref="F833:G833"/>
    <mergeCell ref="F859:G859"/>
    <mergeCell ref="F850:G850"/>
    <mergeCell ref="F860:G860"/>
    <mergeCell ref="F869:G869"/>
    <mergeCell ref="F862:G862"/>
    <mergeCell ref="F863:G863"/>
    <mergeCell ref="F426:G426"/>
    <mergeCell ref="F439:G439"/>
    <mergeCell ref="F592:G592"/>
    <mergeCell ref="F667:G667"/>
    <mergeCell ref="F659:G659"/>
    <mergeCell ref="F627:G627"/>
    <mergeCell ref="F676:G676"/>
    <mergeCell ref="F635:G635"/>
    <mergeCell ref="F625:G625"/>
    <mergeCell ref="F662:G662"/>
    <mergeCell ref="F660:G660"/>
    <mergeCell ref="F658:G658"/>
    <mergeCell ref="F661:G661"/>
    <mergeCell ref="F656:G656"/>
    <mergeCell ref="F653:G653"/>
    <mergeCell ref="F655:G655"/>
    <mergeCell ref="F646:G646"/>
    <mergeCell ref="F644:G644"/>
    <mergeCell ref="F663:G663"/>
    <mergeCell ref="F440:G440"/>
    <mergeCell ref="F671:G671"/>
    <mergeCell ref="F674:G674"/>
    <mergeCell ref="F607:G607"/>
    <mergeCell ref="F579:G579"/>
    <mergeCell ref="F615:G615"/>
    <mergeCell ref="F596:G596"/>
    <mergeCell ref="F599:G599"/>
    <mergeCell ref="F585:G585"/>
    <mergeCell ref="F605:G605"/>
    <mergeCell ref="F587:G587"/>
    <mergeCell ref="F606:G606"/>
    <mergeCell ref="F503:G503"/>
    <mergeCell ref="C325:E325"/>
    <mergeCell ref="C319:E319"/>
    <mergeCell ref="C346:E346"/>
    <mergeCell ref="C350:E350"/>
    <mergeCell ref="C255:E255"/>
    <mergeCell ref="C245:E245"/>
    <mergeCell ref="C272:E272"/>
    <mergeCell ref="C237:E237"/>
    <mergeCell ref="C374:E374"/>
    <mergeCell ref="C368:E368"/>
    <mergeCell ref="C373:E373"/>
    <mergeCell ref="C363:E363"/>
    <mergeCell ref="C371:E371"/>
    <mergeCell ref="C367:E367"/>
    <mergeCell ref="C366:E366"/>
    <mergeCell ref="C352:E352"/>
    <mergeCell ref="C351:E351"/>
    <mergeCell ref="C331:E331"/>
    <mergeCell ref="C338:E338"/>
    <mergeCell ref="C360:E360"/>
    <mergeCell ref="C362:E362"/>
    <mergeCell ref="C356:E356"/>
    <mergeCell ref="C355:E355"/>
    <mergeCell ref="C348:E348"/>
    <mergeCell ref="C258:E258"/>
    <mergeCell ref="C286:E286"/>
    <mergeCell ref="C265:E265"/>
    <mergeCell ref="C268:E268"/>
    <mergeCell ref="C261:E261"/>
    <mergeCell ref="C262:E262"/>
    <mergeCell ref="C266:E266"/>
    <mergeCell ref="C257:E257"/>
    <mergeCell ref="H29:I29"/>
    <mergeCell ref="F29:G29"/>
    <mergeCell ref="C29:E29"/>
    <mergeCell ref="H27:I27"/>
    <mergeCell ref="C27:E27"/>
    <mergeCell ref="C30:E30"/>
    <mergeCell ref="H32:I32"/>
    <mergeCell ref="C124:E124"/>
    <mergeCell ref="H31:I31"/>
    <mergeCell ref="C41:E41"/>
    <mergeCell ref="C52:E52"/>
    <mergeCell ref="C39:E39"/>
    <mergeCell ref="C33:E33"/>
    <mergeCell ref="C38:E38"/>
    <mergeCell ref="F33:G33"/>
    <mergeCell ref="C43:E43"/>
    <mergeCell ref="C208:E208"/>
    <mergeCell ref="C66:E66"/>
    <mergeCell ref="C63:E63"/>
    <mergeCell ref="C129:E129"/>
    <mergeCell ref="C116:E116"/>
    <mergeCell ref="C118:E118"/>
    <mergeCell ref="C112:E112"/>
    <mergeCell ref="C107:E107"/>
    <mergeCell ref="C119:E119"/>
    <mergeCell ref="C135:E135"/>
    <mergeCell ref="C139:E139"/>
    <mergeCell ref="C138:E138"/>
    <mergeCell ref="C137:E137"/>
    <mergeCell ref="C136:E136"/>
    <mergeCell ref="C178:E178"/>
    <mergeCell ref="C177:E177"/>
    <mergeCell ref="F17:G17"/>
    <mergeCell ref="H17:I17"/>
    <mergeCell ref="C16:E16"/>
    <mergeCell ref="F16:G16"/>
    <mergeCell ref="H16:I16"/>
    <mergeCell ref="C23:E23"/>
    <mergeCell ref="F23:G23"/>
    <mergeCell ref="H23:I23"/>
    <mergeCell ref="H25:I25"/>
    <mergeCell ref="C22:E22"/>
    <mergeCell ref="F25:G25"/>
    <mergeCell ref="H22:I22"/>
    <mergeCell ref="H24:I24"/>
    <mergeCell ref="F24:G24"/>
    <mergeCell ref="C25:E25"/>
    <mergeCell ref="C28:E28"/>
    <mergeCell ref="F28:G28"/>
    <mergeCell ref="H28:I28"/>
    <mergeCell ref="C26:E26"/>
    <mergeCell ref="C18:E18"/>
    <mergeCell ref="H9:I9"/>
    <mergeCell ref="F26:G26"/>
    <mergeCell ref="F30:G30"/>
    <mergeCell ref="H30:I30"/>
    <mergeCell ref="F41:G41"/>
    <mergeCell ref="F31:G31"/>
    <mergeCell ref="F27:G27"/>
    <mergeCell ref="H12:I12"/>
    <mergeCell ref="H38:I38"/>
    <mergeCell ref="F40:G40"/>
    <mergeCell ref="C13:E13"/>
    <mergeCell ref="F15:G15"/>
    <mergeCell ref="C24:E24"/>
    <mergeCell ref="H13:I13"/>
    <mergeCell ref="H26:I26"/>
    <mergeCell ref="C9:E9"/>
    <mergeCell ref="F9:G9"/>
    <mergeCell ref="C10:E10"/>
    <mergeCell ref="F10:G10"/>
    <mergeCell ref="C12:E12"/>
    <mergeCell ref="F13:G13"/>
    <mergeCell ref="H10:I10"/>
    <mergeCell ref="H11:I11"/>
    <mergeCell ref="C11:E11"/>
    <mergeCell ref="F11:G11"/>
    <mergeCell ref="C15:E15"/>
    <mergeCell ref="F12:G12"/>
    <mergeCell ref="F14:G14"/>
    <mergeCell ref="H15:I15"/>
    <mergeCell ref="H14:I14"/>
    <mergeCell ref="C14:E14"/>
    <mergeCell ref="C17:E17"/>
    <mergeCell ref="C35:E35"/>
    <mergeCell ref="C40:E40"/>
    <mergeCell ref="C59:E59"/>
    <mergeCell ref="C62:E62"/>
    <mergeCell ref="C57:E57"/>
    <mergeCell ref="C49:E49"/>
    <mergeCell ref="C142:E142"/>
    <mergeCell ref="C31:E31"/>
    <mergeCell ref="C54:E54"/>
    <mergeCell ref="C68:E68"/>
    <mergeCell ref="C34:E34"/>
    <mergeCell ref="C42:E42"/>
    <mergeCell ref="C44:E44"/>
    <mergeCell ref="C56:E56"/>
    <mergeCell ref="C46:E46"/>
    <mergeCell ref="C65:E65"/>
    <mergeCell ref="C64:E64"/>
    <mergeCell ref="C60:E60"/>
    <mergeCell ref="C61:E61"/>
    <mergeCell ref="C53:E53"/>
    <mergeCell ref="C55:E55"/>
    <mergeCell ref="C58:E58"/>
    <mergeCell ref="C32:E32"/>
    <mergeCell ref="C102:E102"/>
    <mergeCell ref="C103:E103"/>
    <mergeCell ref="C105:E105"/>
    <mergeCell ref="C104:E104"/>
    <mergeCell ref="C90:E90"/>
    <mergeCell ref="C91:E91"/>
    <mergeCell ref="C140:E140"/>
    <mergeCell ref="C123:E123"/>
    <mergeCell ref="C51:E51"/>
    <mergeCell ref="C143:E143"/>
    <mergeCell ref="C184:E184"/>
    <mergeCell ref="C188:E188"/>
    <mergeCell ref="C149:E149"/>
    <mergeCell ref="C141:E141"/>
    <mergeCell ref="C147:E147"/>
    <mergeCell ref="C148:E148"/>
    <mergeCell ref="C249:E249"/>
    <mergeCell ref="C154:E154"/>
    <mergeCell ref="C172:E172"/>
    <mergeCell ref="C201:E201"/>
    <mergeCell ref="C200:E200"/>
    <mergeCell ref="C191:E191"/>
    <mergeCell ref="C220:E220"/>
    <mergeCell ref="C235:E235"/>
    <mergeCell ref="C233:E233"/>
    <mergeCell ref="C209:E209"/>
    <mergeCell ref="C223:E223"/>
    <mergeCell ref="C215:E215"/>
    <mergeCell ref="C219:E219"/>
    <mergeCell ref="C213:E213"/>
    <mergeCell ref="C221:E221"/>
    <mergeCell ref="C214:E214"/>
    <mergeCell ref="C227:E227"/>
    <mergeCell ref="C230:E230"/>
    <mergeCell ref="C216:E216"/>
    <mergeCell ref="C218:E218"/>
    <mergeCell ref="C231:E231"/>
    <mergeCell ref="C247:E247"/>
    <mergeCell ref="C204:E204"/>
    <mergeCell ref="C146:E146"/>
    <mergeCell ref="C145:E145"/>
    <mergeCell ref="C222:E222"/>
    <mergeCell ref="F219:G219"/>
    <mergeCell ref="F233:G233"/>
    <mergeCell ref="C197:E197"/>
    <mergeCell ref="C212:E212"/>
    <mergeCell ref="C202:E202"/>
    <mergeCell ref="F211:G211"/>
    <mergeCell ref="F216:G216"/>
    <mergeCell ref="F232:G232"/>
    <mergeCell ref="F227:G227"/>
    <mergeCell ref="F213:G213"/>
    <mergeCell ref="F220:G220"/>
    <mergeCell ref="F230:G230"/>
    <mergeCell ref="F223:G223"/>
    <mergeCell ref="F222:G222"/>
    <mergeCell ref="F217:G217"/>
    <mergeCell ref="F225:G225"/>
    <mergeCell ref="C199:E199"/>
    <mergeCell ref="F215:G215"/>
    <mergeCell ref="H363:I363"/>
    <mergeCell ref="H364:I364"/>
    <mergeCell ref="H371:I371"/>
    <mergeCell ref="H368:I368"/>
    <mergeCell ref="H367:I367"/>
    <mergeCell ref="F375:G375"/>
    <mergeCell ref="F379:G379"/>
    <mergeCell ref="F400:G400"/>
    <mergeCell ref="F377:G377"/>
    <mergeCell ref="F392:G392"/>
    <mergeCell ref="F381:G381"/>
    <mergeCell ref="F385:G385"/>
    <mergeCell ref="F386:G386"/>
    <mergeCell ref="F388:G388"/>
    <mergeCell ref="F384:G384"/>
    <mergeCell ref="H396:I396"/>
    <mergeCell ref="H395:I395"/>
    <mergeCell ref="H381:I381"/>
    <mergeCell ref="F376:G376"/>
    <mergeCell ref="F378:G378"/>
    <mergeCell ref="F382:G382"/>
    <mergeCell ref="H369:I369"/>
    <mergeCell ref="H391:I391"/>
    <mergeCell ref="H385:I385"/>
    <mergeCell ref="H372:I372"/>
    <mergeCell ref="F398:G398"/>
    <mergeCell ref="F387:G387"/>
    <mergeCell ref="F389:G389"/>
    <mergeCell ref="F391:G391"/>
    <mergeCell ref="F396:G396"/>
    <mergeCell ref="F394:G394"/>
    <mergeCell ref="F395:G395"/>
    <mergeCell ref="H33:I33"/>
    <mergeCell ref="H351:I351"/>
    <mergeCell ref="H108:I108"/>
    <mergeCell ref="H350:I350"/>
    <mergeCell ref="H347:I347"/>
    <mergeCell ref="H300:I300"/>
    <mergeCell ref="H39:I39"/>
    <mergeCell ref="H41:I41"/>
    <mergeCell ref="H346:I346"/>
    <mergeCell ref="H349:I349"/>
    <mergeCell ref="H374:I374"/>
    <mergeCell ref="H379:I379"/>
    <mergeCell ref="H375:I375"/>
    <mergeCell ref="H373:I373"/>
    <mergeCell ref="F35:G35"/>
    <mergeCell ref="F32:G32"/>
    <mergeCell ref="F119:G119"/>
    <mergeCell ref="F34:G34"/>
    <mergeCell ref="F38:G38"/>
    <mergeCell ref="H40:I40"/>
    <mergeCell ref="F39:G39"/>
    <mergeCell ref="H91:I91"/>
    <mergeCell ref="F329:G329"/>
    <mergeCell ref="F327:G327"/>
    <mergeCell ref="H291:I291"/>
    <mergeCell ref="F332:G332"/>
    <mergeCell ref="F253:G253"/>
    <mergeCell ref="F256:G256"/>
    <mergeCell ref="F235:G235"/>
    <mergeCell ref="F245:G245"/>
    <mergeCell ref="H302:I302"/>
    <mergeCell ref="F430:G430"/>
    <mergeCell ref="F412:G412"/>
    <mergeCell ref="F361:G361"/>
    <mergeCell ref="H361:I361"/>
    <mergeCell ref="H383:I383"/>
    <mergeCell ref="H220:I220"/>
    <mergeCell ref="H323:I323"/>
    <mergeCell ref="H34:I34"/>
    <mergeCell ref="H35:I35"/>
    <mergeCell ref="H299:I299"/>
    <mergeCell ref="H298:I298"/>
    <mergeCell ref="H46:I46"/>
    <mergeCell ref="H276:I276"/>
    <mergeCell ref="H173:I173"/>
    <mergeCell ref="H171:I171"/>
    <mergeCell ref="H308:I308"/>
    <mergeCell ref="H309:I309"/>
    <mergeCell ref="F316:G316"/>
    <mergeCell ref="H310:I310"/>
    <mergeCell ref="F309:G309"/>
    <mergeCell ref="F310:G310"/>
    <mergeCell ref="H312:I312"/>
    <mergeCell ref="H317:I317"/>
    <mergeCell ref="H360:I360"/>
    <mergeCell ref="H305:I305"/>
    <mergeCell ref="H292:I292"/>
    <mergeCell ref="H341:I341"/>
    <mergeCell ref="H303:I303"/>
    <mergeCell ref="H181:I181"/>
    <mergeCell ref="H307:I307"/>
    <mergeCell ref="H387:I387"/>
    <mergeCell ref="H398:I398"/>
    <mergeCell ref="F929:G929"/>
    <mergeCell ref="F984:G984"/>
    <mergeCell ref="F945:G945"/>
    <mergeCell ref="F952:G952"/>
    <mergeCell ref="F949:G949"/>
    <mergeCell ref="F971:G971"/>
    <mergeCell ref="F748:G748"/>
    <mergeCell ref="F866:G866"/>
    <mergeCell ref="F876:G876"/>
    <mergeCell ref="F845:G845"/>
    <mergeCell ref="F865:G865"/>
    <mergeCell ref="F864:G864"/>
    <mergeCell ref="F940:G940"/>
    <mergeCell ref="F874:G874"/>
    <mergeCell ref="F832:G832"/>
    <mergeCell ref="F765:G765"/>
    <mergeCell ref="F750:G750"/>
    <mergeCell ref="F780:G780"/>
    <mergeCell ref="F779:G779"/>
    <mergeCell ref="F753:G753"/>
    <mergeCell ref="F775:G775"/>
    <mergeCell ref="F771:G771"/>
    <mergeCell ref="F776:G776"/>
    <mergeCell ref="F766:G766"/>
    <mergeCell ref="F768:G768"/>
    <mergeCell ref="F770:G770"/>
    <mergeCell ref="F754:G754"/>
    <mergeCell ref="F763:G763"/>
    <mergeCell ref="F774:G774"/>
    <mergeCell ref="F803:G803"/>
    <mergeCell ref="F799:G799"/>
    <mergeCell ref="F786:G786"/>
    <mergeCell ref="C1073:E1073"/>
    <mergeCell ref="F1073:G1073"/>
    <mergeCell ref="F1143:G1143"/>
    <mergeCell ref="F1140:G1140"/>
    <mergeCell ref="C1150:E1150"/>
    <mergeCell ref="F999:G999"/>
    <mergeCell ref="F1141:G1141"/>
    <mergeCell ref="F1062:G1062"/>
    <mergeCell ref="F1017:G1017"/>
    <mergeCell ref="F1039:G1039"/>
    <mergeCell ref="F1067:G1067"/>
    <mergeCell ref="F1036:G1036"/>
    <mergeCell ref="F1059:G1059"/>
    <mergeCell ref="F1005:G1005"/>
    <mergeCell ref="F1034:G1034"/>
    <mergeCell ref="F1000:G1000"/>
    <mergeCell ref="F1002:G1002"/>
    <mergeCell ref="F1015:G1015"/>
    <mergeCell ref="F1001:G1001"/>
    <mergeCell ref="F1056:G1056"/>
    <mergeCell ref="F1051:G1051"/>
    <mergeCell ref="F1020:G1020"/>
    <mergeCell ref="F1040:G1040"/>
    <mergeCell ref="F1022:G1022"/>
    <mergeCell ref="F1055:G1055"/>
    <mergeCell ref="F1049:G1049"/>
    <mergeCell ref="F1048:G1048"/>
    <mergeCell ref="F1026:G1026"/>
    <mergeCell ref="F1033:G1033"/>
    <mergeCell ref="F1014:G1014"/>
    <mergeCell ref="F1045:G1045"/>
    <mergeCell ref="F1047:G1047"/>
    <mergeCell ref="C1162:E1162"/>
    <mergeCell ref="C1163:E1163"/>
    <mergeCell ref="C1180:E1180"/>
    <mergeCell ref="C1179:E1179"/>
    <mergeCell ref="C1181:E1181"/>
    <mergeCell ref="C1166:E1166"/>
    <mergeCell ref="C1178:E1178"/>
    <mergeCell ref="C1177:E1177"/>
    <mergeCell ref="C1169:E1169"/>
    <mergeCell ref="C1172:E1172"/>
    <mergeCell ref="F1179:G1179"/>
    <mergeCell ref="F1147:G1147"/>
    <mergeCell ref="F1150:G1150"/>
    <mergeCell ref="F1157:G1157"/>
    <mergeCell ref="F1152:G1152"/>
    <mergeCell ref="F1148:G1148"/>
    <mergeCell ref="F1165:G1165"/>
    <mergeCell ref="F1173:G1173"/>
    <mergeCell ref="F1171:G1171"/>
    <mergeCell ref="F1164:G1164"/>
    <mergeCell ref="C1167:E1167"/>
    <mergeCell ref="F1163:G1163"/>
    <mergeCell ref="C1173:E1173"/>
    <mergeCell ref="C1174:E1174"/>
    <mergeCell ref="F1180:G1180"/>
    <mergeCell ref="C1175:E1175"/>
    <mergeCell ref="C1176:E1176"/>
    <mergeCell ref="F1177:G1177"/>
    <mergeCell ref="F1175:G1175"/>
    <mergeCell ref="F1176:G1176"/>
    <mergeCell ref="F1167:G1167"/>
    <mergeCell ref="F1172:G1172"/>
    <mergeCell ref="C1192:E1192"/>
    <mergeCell ref="C1193:E1193"/>
    <mergeCell ref="F1197:G1197"/>
    <mergeCell ref="F1195:G1195"/>
    <mergeCell ref="F1183:G1183"/>
    <mergeCell ref="C1184:E1184"/>
    <mergeCell ref="F1189:G1189"/>
    <mergeCell ref="F1190:G1190"/>
    <mergeCell ref="F1188:G1188"/>
    <mergeCell ref="C1191:E1191"/>
    <mergeCell ref="F1187:G1187"/>
    <mergeCell ref="F1191:G1191"/>
    <mergeCell ref="C1190:E1190"/>
    <mergeCell ref="C1189:E1189"/>
    <mergeCell ref="C1170:E1170"/>
    <mergeCell ref="C1168:E1168"/>
    <mergeCell ref="C1171:E1171"/>
    <mergeCell ref="C1186:E1186"/>
    <mergeCell ref="C1188:E1188"/>
    <mergeCell ref="F1181:G1181"/>
    <mergeCell ref="F1178:G1178"/>
    <mergeCell ref="F1174:G1174"/>
    <mergeCell ref="C1185:E1185"/>
    <mergeCell ref="C1187:E1187"/>
    <mergeCell ref="C1182:E1182"/>
    <mergeCell ref="C1183:E1183"/>
    <mergeCell ref="F1184:G1184"/>
    <mergeCell ref="F1192:G1192"/>
    <mergeCell ref="C1206:E1206"/>
    <mergeCell ref="C1195:E1195"/>
    <mergeCell ref="F1208:G1208"/>
    <mergeCell ref="C1210:E1210"/>
    <mergeCell ref="C1202:E1202"/>
    <mergeCell ref="C1207:E1207"/>
    <mergeCell ref="C1205:E1205"/>
    <mergeCell ref="F1203:G1203"/>
    <mergeCell ref="C1203:E1203"/>
    <mergeCell ref="C1204:E1204"/>
    <mergeCell ref="C1194:E1194"/>
    <mergeCell ref="C1198:E1198"/>
    <mergeCell ref="F1198:G1198"/>
    <mergeCell ref="C1199:E1199"/>
    <mergeCell ref="C1200:E1200"/>
    <mergeCell ref="F1204:G1204"/>
    <mergeCell ref="F1199:G1199"/>
    <mergeCell ref="C1201:E1201"/>
    <mergeCell ref="F1200:G1200"/>
    <mergeCell ref="F1201:G1201"/>
    <mergeCell ref="C1197:E1197"/>
    <mergeCell ref="C1196:E1196"/>
    <mergeCell ref="F1194:G1194"/>
    <mergeCell ref="F1196:G1196"/>
    <mergeCell ref="C1215:E1215"/>
    <mergeCell ref="C1214:E1214"/>
    <mergeCell ref="C1219:E1219"/>
    <mergeCell ref="C1217:E1217"/>
    <mergeCell ref="C1218:E1218"/>
    <mergeCell ref="C1220:E1220"/>
    <mergeCell ref="C1216:E1216"/>
    <mergeCell ref="C1221:E1221"/>
    <mergeCell ref="C1223:E1223"/>
    <mergeCell ref="F1212:G1212"/>
    <mergeCell ref="C1208:E1208"/>
    <mergeCell ref="C1213:E1213"/>
    <mergeCell ref="C1212:E1212"/>
    <mergeCell ref="C1211:E1211"/>
    <mergeCell ref="F1223:G1223"/>
    <mergeCell ref="F1210:G1210"/>
    <mergeCell ref="F1220:G1220"/>
    <mergeCell ref="F1217:G1217"/>
    <mergeCell ref="C1235:E1235"/>
    <mergeCell ref="C1229:E1229"/>
    <mergeCell ref="C1231:E1231"/>
    <mergeCell ref="C1234:E1234"/>
    <mergeCell ref="C1226:E1226"/>
    <mergeCell ref="C1245:E1245"/>
    <mergeCell ref="C1236:E1236"/>
    <mergeCell ref="C1233:E1233"/>
    <mergeCell ref="C1237:E1237"/>
    <mergeCell ref="C1238:E1238"/>
    <mergeCell ref="C1224:E1224"/>
    <mergeCell ref="C1225:E1225"/>
    <mergeCell ref="C1227:E1227"/>
    <mergeCell ref="C1232:E1232"/>
    <mergeCell ref="C1228:E1228"/>
    <mergeCell ref="C1222:E1222"/>
    <mergeCell ref="C1230:E1230"/>
    <mergeCell ref="C1256:E1256"/>
    <mergeCell ref="C1249:E1249"/>
    <mergeCell ref="C1246:E1246"/>
    <mergeCell ref="C1254:E1254"/>
    <mergeCell ref="C1255:E1255"/>
    <mergeCell ref="C1248:E1248"/>
    <mergeCell ref="C1253:E1253"/>
    <mergeCell ref="C1252:E1252"/>
    <mergeCell ref="C1250:E1250"/>
    <mergeCell ref="C1247:E1247"/>
    <mergeCell ref="C1251:E1251"/>
    <mergeCell ref="C1243:E1243"/>
    <mergeCell ref="C1242:E1242"/>
    <mergeCell ref="C1239:E1239"/>
    <mergeCell ref="C1240:E1240"/>
    <mergeCell ref="C1241:E1241"/>
    <mergeCell ref="C1244:E1244"/>
    <mergeCell ref="C1261:E1261"/>
    <mergeCell ref="C1284:E1284"/>
    <mergeCell ref="C1265:E1265"/>
    <mergeCell ref="C1269:E1269"/>
    <mergeCell ref="C1279:E1279"/>
    <mergeCell ref="C1272:E1272"/>
    <mergeCell ref="C1278:E1278"/>
    <mergeCell ref="C1275:E1275"/>
    <mergeCell ref="C1277:E1277"/>
    <mergeCell ref="C1270:E1270"/>
    <mergeCell ref="C1273:E1273"/>
    <mergeCell ref="C1258:E1258"/>
    <mergeCell ref="C1260:E1260"/>
    <mergeCell ref="C1266:E1266"/>
    <mergeCell ref="C1264:E1264"/>
    <mergeCell ref="C1274:E1274"/>
    <mergeCell ref="C1263:E1263"/>
    <mergeCell ref="C1268:E1268"/>
    <mergeCell ref="C1267:E1267"/>
    <mergeCell ref="C1262:E1262"/>
    <mergeCell ref="C1271:E1271"/>
    <mergeCell ref="F1340:G1340"/>
    <mergeCell ref="C1338:E1338"/>
    <mergeCell ref="C1337:E1337"/>
    <mergeCell ref="C1347:E1347"/>
    <mergeCell ref="F1348:G1348"/>
    <mergeCell ref="C1339:E1339"/>
    <mergeCell ref="F1339:G1339"/>
    <mergeCell ref="C1344:E1344"/>
    <mergeCell ref="C1342:E1342"/>
    <mergeCell ref="F1344:G1344"/>
    <mergeCell ref="H1339:I1339"/>
    <mergeCell ref="C1304:E1304"/>
    <mergeCell ref="C1316:E1316"/>
    <mergeCell ref="C1310:E1310"/>
    <mergeCell ref="C1308:E1308"/>
    <mergeCell ref="C1282:E1282"/>
    <mergeCell ref="C1291:E1291"/>
    <mergeCell ref="C1283:E1283"/>
    <mergeCell ref="C1288:E1288"/>
    <mergeCell ref="C1285:E1285"/>
    <mergeCell ref="C1286:E1286"/>
    <mergeCell ref="C1287:E1287"/>
    <mergeCell ref="C1334:E1334"/>
    <mergeCell ref="C1302:E1302"/>
    <mergeCell ref="F1358:G1358"/>
    <mergeCell ref="C1354:E1354"/>
    <mergeCell ref="F1356:G1356"/>
    <mergeCell ref="H1353:I1353"/>
    <mergeCell ref="H1355:I1355"/>
    <mergeCell ref="F1357:G1357"/>
    <mergeCell ref="C1357:E1357"/>
    <mergeCell ref="F1350:G1350"/>
    <mergeCell ref="C1355:E1355"/>
    <mergeCell ref="C1346:E1346"/>
    <mergeCell ref="C1345:E1345"/>
    <mergeCell ref="F1347:G1347"/>
    <mergeCell ref="C1352:E1352"/>
    <mergeCell ref="F1351:G1351"/>
    <mergeCell ref="C1349:E1349"/>
    <mergeCell ref="F1346:G1346"/>
    <mergeCell ref="C1350:E1350"/>
    <mergeCell ref="C1307:E1307"/>
    <mergeCell ref="C1311:E1311"/>
    <mergeCell ref="C1317:E1317"/>
    <mergeCell ref="F1314:G1314"/>
    <mergeCell ref="C1365:E1365"/>
    <mergeCell ref="C1364:E1364"/>
    <mergeCell ref="F1362:G1362"/>
    <mergeCell ref="F1342:G1342"/>
    <mergeCell ref="C1351:E1351"/>
    <mergeCell ref="H1368:I1368"/>
    <mergeCell ref="H1367:I1367"/>
    <mergeCell ref="F1363:G1363"/>
    <mergeCell ref="H1363:I1363"/>
    <mergeCell ref="F1368:G1368"/>
    <mergeCell ref="C1367:E1367"/>
    <mergeCell ref="C1366:E1366"/>
    <mergeCell ref="F1367:G1367"/>
    <mergeCell ref="H1360:I1360"/>
    <mergeCell ref="F1354:G1354"/>
    <mergeCell ref="H1356:I1356"/>
    <mergeCell ref="F1361:G1361"/>
    <mergeCell ref="H1354:I1354"/>
    <mergeCell ref="H1361:I1361"/>
    <mergeCell ref="F1359:G1359"/>
    <mergeCell ref="F1360:G1360"/>
    <mergeCell ref="C1353:E1353"/>
    <mergeCell ref="C1358:E1358"/>
    <mergeCell ref="H1359:I1359"/>
    <mergeCell ref="H1357:I1357"/>
    <mergeCell ref="C1359:E1359"/>
    <mergeCell ref="H1352:I1352"/>
    <mergeCell ref="C1356:E1356"/>
    <mergeCell ref="F1313:G1313"/>
    <mergeCell ref="C1312:E1312"/>
    <mergeCell ref="C1314:E1314"/>
    <mergeCell ref="F1312:G1312"/>
    <mergeCell ref="C1315:E1315"/>
    <mergeCell ref="C1313:E1313"/>
    <mergeCell ref="F1316:G1316"/>
    <mergeCell ref="C1333:E1333"/>
    <mergeCell ref="F1333:G1333"/>
    <mergeCell ref="C1327:E1327"/>
    <mergeCell ref="F1324:G1324"/>
    <mergeCell ref="C1326:E1326"/>
    <mergeCell ref="F1327:G1327"/>
    <mergeCell ref="F1330:G1330"/>
    <mergeCell ref="C1332:E1332"/>
    <mergeCell ref="C1331:E1331"/>
    <mergeCell ref="C1318:E1318"/>
    <mergeCell ref="C1319:E1319"/>
    <mergeCell ref="F1272:G1272"/>
    <mergeCell ref="F1233:G1233"/>
    <mergeCell ref="F1251:G1251"/>
    <mergeCell ref="H1240:I1240"/>
    <mergeCell ref="F1264:G1264"/>
    <mergeCell ref="H1261:I1261"/>
    <mergeCell ref="F1261:G1261"/>
    <mergeCell ref="F1262:G1262"/>
    <mergeCell ref="H1229:I1229"/>
    <mergeCell ref="H1311:I1311"/>
    <mergeCell ref="H1288:I1288"/>
    <mergeCell ref="H1228:I1228"/>
    <mergeCell ref="H1300:I1300"/>
    <mergeCell ref="H1296:I1296"/>
    <mergeCell ref="H1293:I1293"/>
    <mergeCell ref="H1307:I1307"/>
    <mergeCell ref="H1304:I1304"/>
    <mergeCell ref="H1306:I1306"/>
    <mergeCell ref="H1266:I1266"/>
    <mergeCell ref="H1305:I1305"/>
    <mergeCell ref="H1310:I1310"/>
    <mergeCell ref="F1306:G1306"/>
    <mergeCell ref="H1302:I1302"/>
    <mergeCell ref="H1294:I1294"/>
    <mergeCell ref="H1301:I1301"/>
    <mergeCell ref="F1302:G1302"/>
    <mergeCell ref="F1296:G1296"/>
    <mergeCell ref="F1297:G1297"/>
    <mergeCell ref="F1304:G1304"/>
    <mergeCell ref="F1310:G1310"/>
    <mergeCell ref="F1301:G1301"/>
    <mergeCell ref="F1246:G1246"/>
    <mergeCell ref="H974:I974"/>
    <mergeCell ref="F1186:G1186"/>
    <mergeCell ref="F1182:G1182"/>
    <mergeCell ref="F1218:G1218"/>
    <mergeCell ref="F1256:G1256"/>
    <mergeCell ref="F1270:G1270"/>
    <mergeCell ref="F1267:G1267"/>
    <mergeCell ref="H1270:I1270"/>
    <mergeCell ref="F1228:G1228"/>
    <mergeCell ref="F1265:G1265"/>
    <mergeCell ref="F1224:G1224"/>
    <mergeCell ref="F1222:G1222"/>
    <mergeCell ref="F1221:G1221"/>
    <mergeCell ref="F1253:G1253"/>
    <mergeCell ref="F1255:G1255"/>
    <mergeCell ref="F1252:G1252"/>
    <mergeCell ref="F1269:G1269"/>
    <mergeCell ref="F1254:G1254"/>
    <mergeCell ref="F1247:G1247"/>
    <mergeCell ref="F1259:G1259"/>
    <mergeCell ref="F1243:G1243"/>
    <mergeCell ref="F1185:G1185"/>
    <mergeCell ref="F1193:G1193"/>
    <mergeCell ref="F1061:G1061"/>
    <mergeCell ref="F1037:G1037"/>
    <mergeCell ref="F981:G981"/>
    <mergeCell ref="F989:G989"/>
    <mergeCell ref="H984:I984"/>
    <mergeCell ref="H988:I988"/>
    <mergeCell ref="F990:G990"/>
    <mergeCell ref="F1050:G1050"/>
    <mergeCell ref="F976:G976"/>
    <mergeCell ref="H987:I987"/>
    <mergeCell ref="H991:I991"/>
    <mergeCell ref="H945:I945"/>
    <mergeCell ref="H959:I959"/>
    <mergeCell ref="H981:I981"/>
    <mergeCell ref="F985:G985"/>
    <mergeCell ref="F973:G973"/>
    <mergeCell ref="F979:G979"/>
    <mergeCell ref="F975:G975"/>
    <mergeCell ref="H977:I977"/>
    <mergeCell ref="H985:I985"/>
    <mergeCell ref="F982:G982"/>
    <mergeCell ref="H952:I952"/>
    <mergeCell ref="H954:I954"/>
    <mergeCell ref="H956:I956"/>
    <mergeCell ref="F977:G977"/>
    <mergeCell ref="F988:G988"/>
    <mergeCell ref="F970:G970"/>
    <mergeCell ref="F972:G972"/>
    <mergeCell ref="F987:G987"/>
    <mergeCell ref="F980:G980"/>
    <mergeCell ref="H964:I964"/>
    <mergeCell ref="H970:I970"/>
    <mergeCell ref="H958:I958"/>
    <mergeCell ref="F963:G963"/>
    <mergeCell ref="F962:G962"/>
    <mergeCell ref="F967:G967"/>
    <mergeCell ref="F964:G964"/>
    <mergeCell ref="H978:I978"/>
    <mergeCell ref="H963:I963"/>
    <mergeCell ref="H966:I966"/>
    <mergeCell ref="H969:I969"/>
    <mergeCell ref="F1032:G1032"/>
    <mergeCell ref="H1018:I1018"/>
    <mergeCell ref="H1015:I1015"/>
    <mergeCell ref="H1017:I1017"/>
    <mergeCell ref="H1002:I1002"/>
    <mergeCell ref="F1031:G1031"/>
    <mergeCell ref="F1010:G1010"/>
    <mergeCell ref="F1029:G1029"/>
    <mergeCell ref="F1025:G1025"/>
    <mergeCell ref="F1011:G1011"/>
    <mergeCell ref="F1008:G1008"/>
    <mergeCell ref="H994:I994"/>
    <mergeCell ref="H990:I990"/>
    <mergeCell ref="F998:G998"/>
    <mergeCell ref="H996:I996"/>
    <mergeCell ref="F993:G993"/>
    <mergeCell ref="F992:G992"/>
    <mergeCell ref="H993:I993"/>
    <mergeCell ref="F994:G994"/>
    <mergeCell ref="F991:G991"/>
    <mergeCell ref="F1021:G1021"/>
    <mergeCell ref="F1019:G1019"/>
    <mergeCell ref="F997:G997"/>
    <mergeCell ref="H1012:I1012"/>
    <mergeCell ref="F904:G904"/>
    <mergeCell ref="H892:I892"/>
    <mergeCell ref="H979:I979"/>
    <mergeCell ref="H913:I913"/>
    <mergeCell ref="H920:I920"/>
    <mergeCell ref="H912:I912"/>
    <mergeCell ref="H918:I918"/>
    <mergeCell ref="F914:G914"/>
    <mergeCell ref="F919:G919"/>
    <mergeCell ref="F917:G917"/>
    <mergeCell ref="H915:I915"/>
    <mergeCell ref="F913:G913"/>
    <mergeCell ref="F920:G920"/>
    <mergeCell ref="H1039:I1039"/>
    <mergeCell ref="H1003:I1003"/>
    <mergeCell ref="F1006:G1006"/>
    <mergeCell ref="H1004:I1004"/>
    <mergeCell ref="F1004:G1004"/>
    <mergeCell ref="H1007:I1007"/>
    <mergeCell ref="F1003:G1003"/>
    <mergeCell ref="H1008:I1008"/>
    <mergeCell ref="H1037:I1037"/>
    <mergeCell ref="F1013:G1013"/>
    <mergeCell ref="F1009:G1009"/>
    <mergeCell ref="F1012:G1012"/>
    <mergeCell ref="H1011:I1011"/>
    <mergeCell ref="H1028:I1028"/>
    <mergeCell ref="H1029:I1029"/>
    <mergeCell ref="H1024:I1024"/>
    <mergeCell ref="H1014:I1014"/>
    <mergeCell ref="F1035:G1035"/>
    <mergeCell ref="F1024:G1024"/>
    <mergeCell ref="F898:G898"/>
    <mergeCell ref="F889:G889"/>
    <mergeCell ref="F888:G888"/>
    <mergeCell ref="F894:G894"/>
    <mergeCell ref="F895:G895"/>
    <mergeCell ref="F893:G893"/>
    <mergeCell ref="H903:I903"/>
    <mergeCell ref="H869:I869"/>
    <mergeCell ref="F880:G880"/>
    <mergeCell ref="F878:G878"/>
    <mergeCell ref="F896:G896"/>
    <mergeCell ref="F890:G890"/>
    <mergeCell ref="F884:G884"/>
    <mergeCell ref="F883:G883"/>
    <mergeCell ref="F872:G872"/>
    <mergeCell ref="F892:G892"/>
    <mergeCell ref="H899:I899"/>
    <mergeCell ref="H887:I887"/>
    <mergeCell ref="H897:I897"/>
    <mergeCell ref="F891:G891"/>
    <mergeCell ref="F897:G897"/>
    <mergeCell ref="F882:G882"/>
    <mergeCell ref="F879:G879"/>
    <mergeCell ref="F881:G881"/>
    <mergeCell ref="F899:G899"/>
    <mergeCell ref="F795:G795"/>
    <mergeCell ref="F798:G798"/>
    <mergeCell ref="F789:G789"/>
    <mergeCell ref="F788:G788"/>
    <mergeCell ref="F684:G684"/>
    <mergeCell ref="F679:G679"/>
    <mergeCell ref="F717:G717"/>
    <mergeCell ref="F680:G680"/>
    <mergeCell ref="F683:G683"/>
    <mergeCell ref="F712:G712"/>
    <mergeCell ref="F781:G781"/>
    <mergeCell ref="H870:I870"/>
    <mergeCell ref="H872:I872"/>
    <mergeCell ref="H867:I867"/>
    <mergeCell ref="H875:I875"/>
    <mergeCell ref="F871:G871"/>
    <mergeCell ref="F873:G873"/>
    <mergeCell ref="F755:G755"/>
    <mergeCell ref="F814:G814"/>
    <mergeCell ref="F816:G816"/>
    <mergeCell ref="F810:G810"/>
    <mergeCell ref="F822:G822"/>
    <mergeCell ref="F794:G794"/>
    <mergeCell ref="F805:G805"/>
    <mergeCell ref="F804:G804"/>
    <mergeCell ref="F811:G811"/>
    <mergeCell ref="F812:G812"/>
    <mergeCell ref="F815:G815"/>
    <mergeCell ref="F777:G777"/>
    <mergeCell ref="F857:G857"/>
    <mergeCell ref="F838:G838"/>
    <mergeCell ref="F844:G844"/>
    <mergeCell ref="F459:G459"/>
    <mergeCell ref="F455:G455"/>
    <mergeCell ref="F456:G456"/>
    <mergeCell ref="F475:G475"/>
    <mergeCell ref="F472:G472"/>
    <mergeCell ref="F458:G458"/>
    <mergeCell ref="F555:G555"/>
    <mergeCell ref="F562:G562"/>
    <mergeCell ref="F559:G559"/>
    <mergeCell ref="F551:G551"/>
    <mergeCell ref="F539:G539"/>
    <mergeCell ref="F544:G544"/>
    <mergeCell ref="F547:G547"/>
    <mergeCell ref="F550:G550"/>
    <mergeCell ref="F546:G546"/>
    <mergeCell ref="F558:G558"/>
    <mergeCell ref="F581:G581"/>
    <mergeCell ref="F580:G580"/>
    <mergeCell ref="F457:G457"/>
    <mergeCell ref="F492:G492"/>
    <mergeCell ref="F467:G467"/>
    <mergeCell ref="F501:G501"/>
    <mergeCell ref="F505:G505"/>
    <mergeCell ref="F490:G490"/>
    <mergeCell ref="F486:G486"/>
    <mergeCell ref="F493:G493"/>
    <mergeCell ref="F502:G502"/>
    <mergeCell ref="F469:G469"/>
    <mergeCell ref="F461:G461"/>
    <mergeCell ref="F470:G470"/>
    <mergeCell ref="F570:G570"/>
    <mergeCell ref="F536:G536"/>
    <mergeCell ref="F473:G473"/>
    <mergeCell ref="F489:G489"/>
    <mergeCell ref="F519:G519"/>
    <mergeCell ref="F460:G460"/>
    <mergeCell ref="F465:G465"/>
    <mergeCell ref="F478:G478"/>
    <mergeCell ref="F495:G495"/>
    <mergeCell ref="F462:G462"/>
    <mergeCell ref="F463:G463"/>
    <mergeCell ref="F477:G477"/>
    <mergeCell ref="F466:G466"/>
    <mergeCell ref="F464:G464"/>
    <mergeCell ref="F515:G515"/>
    <mergeCell ref="F532:G532"/>
    <mergeCell ref="F527:G527"/>
    <mergeCell ref="F535:G535"/>
    <mergeCell ref="F504:G504"/>
    <mergeCell ref="F476:G476"/>
    <mergeCell ref="F479:G479"/>
    <mergeCell ref="F995:G995"/>
    <mergeCell ref="F1007:G1007"/>
    <mergeCell ref="F1126:G1126"/>
    <mergeCell ref="F784:G784"/>
    <mergeCell ref="F787:G787"/>
    <mergeCell ref="F807:G807"/>
    <mergeCell ref="F645:G645"/>
    <mergeCell ref="F666:G666"/>
    <mergeCell ref="F778:G778"/>
    <mergeCell ref="F534:G534"/>
    <mergeCell ref="F533:G533"/>
    <mergeCell ref="F528:G528"/>
    <mergeCell ref="F521:G521"/>
    <mergeCell ref="F525:G525"/>
    <mergeCell ref="F531:G531"/>
    <mergeCell ref="F522:G522"/>
    <mergeCell ref="F523:G523"/>
    <mergeCell ref="F541:G541"/>
    <mergeCell ref="F595:G595"/>
    <mergeCell ref="F749:G749"/>
    <mergeCell ref="F793:G793"/>
    <mergeCell ref="F848:G848"/>
    <mergeCell ref="F634:G634"/>
    <mergeCell ref="F621:G621"/>
    <mergeCell ref="F626:G626"/>
    <mergeCell ref="F612:G612"/>
    <mergeCell ref="F785:G785"/>
    <mergeCell ref="F797:G797"/>
    <mergeCell ref="F800:G800"/>
    <mergeCell ref="F792:G792"/>
    <mergeCell ref="F790:G790"/>
    <mergeCell ref="F796:G796"/>
    <mergeCell ref="F640:G640"/>
    <mergeCell ref="F664:G664"/>
    <mergeCell ref="F672:G672"/>
    <mergeCell ref="F668:G668"/>
    <mergeCell ref="F687:G687"/>
    <mergeCell ref="F657:G657"/>
    <mergeCell ref="H533:I533"/>
    <mergeCell ref="H514:I514"/>
    <mergeCell ref="H509:I509"/>
    <mergeCell ref="H522:I522"/>
    <mergeCell ref="H517:I517"/>
    <mergeCell ref="F500:G500"/>
    <mergeCell ref="F497:G497"/>
    <mergeCell ref="F496:G496"/>
    <mergeCell ref="F499:G499"/>
    <mergeCell ref="F498:G498"/>
    <mergeCell ref="F494:G494"/>
    <mergeCell ref="F510:G510"/>
    <mergeCell ref="F628:G628"/>
    <mergeCell ref="H606:I606"/>
    <mergeCell ref="H604:I604"/>
    <mergeCell ref="H609:I609"/>
    <mergeCell ref="H608:I608"/>
    <mergeCell ref="H616:I616"/>
    <mergeCell ref="H615:I615"/>
    <mergeCell ref="F583:G583"/>
    <mergeCell ref="F582:G582"/>
    <mergeCell ref="F614:G614"/>
    <mergeCell ref="F608:G608"/>
    <mergeCell ref="F602:G602"/>
    <mergeCell ref="F564:G564"/>
    <mergeCell ref="F611:G611"/>
    <mergeCell ref="H1347:I1347"/>
    <mergeCell ref="F1349:G1349"/>
    <mergeCell ref="H1314:I1314"/>
    <mergeCell ref="H1312:I1312"/>
    <mergeCell ref="H1313:I1313"/>
    <mergeCell ref="H1308:I1308"/>
    <mergeCell ref="H1326:I1326"/>
    <mergeCell ref="H1335:I1335"/>
    <mergeCell ref="H1319:I1319"/>
    <mergeCell ref="H1331:I1331"/>
    <mergeCell ref="F1345:G1345"/>
    <mergeCell ref="F769:G769"/>
    <mergeCell ref="F752:G752"/>
    <mergeCell ref="F744:G744"/>
    <mergeCell ref="F756:G756"/>
    <mergeCell ref="F760:G760"/>
    <mergeCell ref="F761:G761"/>
    <mergeCell ref="F1258:G1258"/>
    <mergeCell ref="F1263:G1263"/>
    <mergeCell ref="F1319:G1319"/>
    <mergeCell ref="F1271:G1271"/>
    <mergeCell ref="F1311:G1311"/>
    <mergeCell ref="F1239:G1239"/>
    <mergeCell ref="F1343:G1343"/>
    <mergeCell ref="F1211:G1211"/>
    <mergeCell ref="F806:G806"/>
    <mergeCell ref="F1097:G1097"/>
    <mergeCell ref="F1100:G1100"/>
    <mergeCell ref="F1101:G1101"/>
    <mergeCell ref="F783:G783"/>
    <mergeCell ref="F791:G791"/>
    <mergeCell ref="F813:G813"/>
    <mergeCell ref="C1368:E1368"/>
    <mergeCell ref="H1366:I1366"/>
    <mergeCell ref="H1260:I1260"/>
    <mergeCell ref="H1275:I1275"/>
    <mergeCell ref="H1263:I1263"/>
    <mergeCell ref="H1227:I1227"/>
    <mergeCell ref="H1342:I1342"/>
    <mergeCell ref="H1316:I1316"/>
    <mergeCell ref="H1337:I1337"/>
    <mergeCell ref="H1327:I1327"/>
    <mergeCell ref="C1377:I1377"/>
    <mergeCell ref="H1365:I1365"/>
    <mergeCell ref="F1353:G1353"/>
    <mergeCell ref="F1352:G1352"/>
    <mergeCell ref="F1355:G1355"/>
    <mergeCell ref="H1348:I1348"/>
    <mergeCell ref="E1371:G1371"/>
    <mergeCell ref="H1362:I1362"/>
    <mergeCell ref="C1348:E1348"/>
    <mergeCell ref="C1362:E1362"/>
    <mergeCell ref="H1364:I1364"/>
    <mergeCell ref="F1366:G1366"/>
    <mergeCell ref="F1365:G1365"/>
    <mergeCell ref="H1358:I1358"/>
    <mergeCell ref="F1364:G1364"/>
    <mergeCell ref="C1360:E1360"/>
    <mergeCell ref="C1363:E1363"/>
    <mergeCell ref="H1349:I1349"/>
    <mergeCell ref="H1346:I1346"/>
    <mergeCell ref="H1345:I1345"/>
    <mergeCell ref="H1343:I1343"/>
    <mergeCell ref="H1286:I1286"/>
    <mergeCell ref="C1361:E1361"/>
    <mergeCell ref="H1351:I1351"/>
    <mergeCell ref="H1350:I1350"/>
    <mergeCell ref="H1344:I1344"/>
    <mergeCell ref="H1340:I1340"/>
    <mergeCell ref="H1244:I1244"/>
    <mergeCell ref="H1223:I1223"/>
    <mergeCell ref="H1237:I1237"/>
    <mergeCell ref="F1238:G1238"/>
    <mergeCell ref="H1239:I1239"/>
    <mergeCell ref="H1203:I1203"/>
    <mergeCell ref="H1209:I1209"/>
    <mergeCell ref="H1204:I1204"/>
    <mergeCell ref="F1207:G1207"/>
    <mergeCell ref="H1215:I1215"/>
    <mergeCell ref="H1205:I1205"/>
    <mergeCell ref="F1205:G1205"/>
    <mergeCell ref="F1214:G1214"/>
    <mergeCell ref="F1216:G1216"/>
    <mergeCell ref="H1207:I1207"/>
    <mergeCell ref="H1210:I1210"/>
    <mergeCell ref="F1213:G1213"/>
    <mergeCell ref="F1215:G1215"/>
    <mergeCell ref="H1208:I1208"/>
    <mergeCell ref="F1227:G1227"/>
    <mergeCell ref="C1343:E1343"/>
    <mergeCell ref="C1329:E1329"/>
    <mergeCell ref="F1331:G1331"/>
    <mergeCell ref="F1337:G1337"/>
    <mergeCell ref="F1329:G1329"/>
    <mergeCell ref="H1329:I1329"/>
    <mergeCell ref="C1340:E1340"/>
    <mergeCell ref="C1296:E1296"/>
    <mergeCell ref="C1295:E1295"/>
    <mergeCell ref="C1300:E1300"/>
    <mergeCell ref="H1322:I1322"/>
    <mergeCell ref="H1323:I1323"/>
    <mergeCell ref="C1336:E1336"/>
    <mergeCell ref="H1338:I1338"/>
    <mergeCell ref="H1334:I1334"/>
    <mergeCell ref="F1332:G1332"/>
    <mergeCell ref="F1338:G1338"/>
    <mergeCell ref="H1332:I1332"/>
    <mergeCell ref="H1333:I1333"/>
    <mergeCell ref="F1336:G1336"/>
    <mergeCell ref="H1336:I1336"/>
    <mergeCell ref="F1335:G1335"/>
    <mergeCell ref="F1334:G1334"/>
    <mergeCell ref="C1330:E1330"/>
    <mergeCell ref="C1335:E1335"/>
    <mergeCell ref="C1298:E1298"/>
    <mergeCell ref="C1299:E1299"/>
    <mergeCell ref="C1297:E1297"/>
    <mergeCell ref="H1297:I1297"/>
    <mergeCell ref="H1299:I1299"/>
    <mergeCell ref="F1299:G1299"/>
    <mergeCell ref="F1328:G1328"/>
    <mergeCell ref="F1325:G1325"/>
    <mergeCell ref="F1315:G1315"/>
    <mergeCell ref="H1325:I1325"/>
    <mergeCell ref="H1330:I1330"/>
    <mergeCell ref="F1308:G1308"/>
    <mergeCell ref="H1309:I1309"/>
    <mergeCell ref="H1315:I1315"/>
    <mergeCell ref="H1298:I1298"/>
    <mergeCell ref="C1305:E1305"/>
    <mergeCell ref="F1309:G1309"/>
    <mergeCell ref="C1309:E1309"/>
    <mergeCell ref="F1305:G1305"/>
    <mergeCell ref="F1300:G1300"/>
    <mergeCell ref="C1303:E1303"/>
    <mergeCell ref="F1303:G1303"/>
    <mergeCell ref="C1301:E1301"/>
    <mergeCell ref="F1307:G1307"/>
    <mergeCell ref="H1328:I1328"/>
    <mergeCell ref="F1322:G1322"/>
    <mergeCell ref="H1320:I1320"/>
    <mergeCell ref="C1323:E1323"/>
    <mergeCell ref="F1321:G1321"/>
    <mergeCell ref="C1324:E1324"/>
    <mergeCell ref="C1322:E1322"/>
    <mergeCell ref="C1321:E1321"/>
    <mergeCell ref="C1328:E1328"/>
    <mergeCell ref="C1325:E1325"/>
    <mergeCell ref="H1324:I1324"/>
    <mergeCell ref="F1318:G1318"/>
    <mergeCell ref="H1321:I1321"/>
    <mergeCell ref="F1298:G1298"/>
    <mergeCell ref="F1320:G1320"/>
    <mergeCell ref="H1317:I1317"/>
    <mergeCell ref="H1318:I1318"/>
    <mergeCell ref="F1326:G1326"/>
    <mergeCell ref="F1317:G1317"/>
    <mergeCell ref="C1320:E1320"/>
    <mergeCell ref="F1323:G1323"/>
    <mergeCell ref="C1306:E1306"/>
    <mergeCell ref="H1274:I1274"/>
    <mergeCell ref="H1282:I1282"/>
    <mergeCell ref="C1280:E1280"/>
    <mergeCell ref="H1292:I1292"/>
    <mergeCell ref="H1283:I1283"/>
    <mergeCell ref="C1290:E1290"/>
    <mergeCell ref="F1288:G1288"/>
    <mergeCell ref="F1285:G1285"/>
    <mergeCell ref="F1289:G1289"/>
    <mergeCell ref="F1282:G1282"/>
    <mergeCell ref="H1285:I1285"/>
    <mergeCell ref="C1289:E1289"/>
    <mergeCell ref="H1287:I1287"/>
    <mergeCell ref="F1295:G1295"/>
    <mergeCell ref="F1291:G1291"/>
    <mergeCell ref="C1293:E1293"/>
    <mergeCell ref="H1290:I1290"/>
    <mergeCell ref="F1287:G1287"/>
    <mergeCell ref="C1292:E1292"/>
    <mergeCell ref="F1292:G1292"/>
    <mergeCell ref="F1294:G1294"/>
    <mergeCell ref="F1290:G1290"/>
    <mergeCell ref="C1294:E1294"/>
    <mergeCell ref="C1276:E1276"/>
    <mergeCell ref="H1291:I1291"/>
    <mergeCell ref="H1295:I1295"/>
    <mergeCell ref="C1281:E1281"/>
    <mergeCell ref="H1264:I1264"/>
    <mergeCell ref="H1269:I1269"/>
    <mergeCell ref="H1262:I1262"/>
    <mergeCell ref="H1250:I1250"/>
    <mergeCell ref="H1284:I1284"/>
    <mergeCell ref="H1256:I1256"/>
    <mergeCell ref="H1281:I1281"/>
    <mergeCell ref="F1278:G1278"/>
    <mergeCell ref="H1280:I1280"/>
    <mergeCell ref="H1278:I1278"/>
    <mergeCell ref="F1283:G1283"/>
    <mergeCell ref="H1273:I1273"/>
    <mergeCell ref="H1258:I1258"/>
    <mergeCell ref="F1279:G1279"/>
    <mergeCell ref="F1293:G1293"/>
    <mergeCell ref="F1280:G1280"/>
    <mergeCell ref="F1281:G1281"/>
    <mergeCell ref="F1250:G1250"/>
    <mergeCell ref="F1277:G1277"/>
    <mergeCell ref="F1274:G1274"/>
    <mergeCell ref="F1284:G1284"/>
    <mergeCell ref="F1257:G1257"/>
    <mergeCell ref="F1276:G1276"/>
    <mergeCell ref="F1286:G1286"/>
    <mergeCell ref="H1289:I1289"/>
    <mergeCell ref="H1265:I1265"/>
    <mergeCell ref="F1275:G1275"/>
    <mergeCell ref="H1279:I1279"/>
    <mergeCell ref="H1277:I1277"/>
    <mergeCell ref="H1276:I1276"/>
    <mergeCell ref="H1271:I1271"/>
    <mergeCell ref="H1267:I1267"/>
    <mergeCell ref="H1238:I1238"/>
    <mergeCell ref="H1230:I1230"/>
    <mergeCell ref="H1242:I1242"/>
    <mergeCell ref="H1231:I1231"/>
    <mergeCell ref="F1226:G1226"/>
    <mergeCell ref="F1229:G1229"/>
    <mergeCell ref="F1236:G1236"/>
    <mergeCell ref="F1234:G1234"/>
    <mergeCell ref="H1252:I1252"/>
    <mergeCell ref="H1257:I1257"/>
    <mergeCell ref="F1240:G1240"/>
    <mergeCell ref="F1241:G1241"/>
    <mergeCell ref="H1241:I1241"/>
    <mergeCell ref="F1249:G1249"/>
    <mergeCell ref="H1254:I1254"/>
    <mergeCell ref="F1248:G1248"/>
    <mergeCell ref="H1246:I1246"/>
    <mergeCell ref="H1247:I1247"/>
    <mergeCell ref="H1251:I1251"/>
    <mergeCell ref="H1243:I1243"/>
    <mergeCell ref="H1249:I1249"/>
    <mergeCell ref="H1255:I1255"/>
    <mergeCell ref="H1248:I1248"/>
    <mergeCell ref="F1245:G1245"/>
    <mergeCell ref="F1230:G1230"/>
    <mergeCell ref="F1244:G1244"/>
    <mergeCell ref="H1253:I1253"/>
    <mergeCell ref="H1245:I1245"/>
    <mergeCell ref="H1236:I1236"/>
    <mergeCell ref="F1231:G1231"/>
    <mergeCell ref="H1233:I1233"/>
    <mergeCell ref="H1225:I1225"/>
    <mergeCell ref="H1218:I1218"/>
    <mergeCell ref="H1213:I1213"/>
    <mergeCell ref="H1235:I1235"/>
    <mergeCell ref="H1219:I1219"/>
    <mergeCell ref="H1232:I1232"/>
    <mergeCell ref="H1198:I1198"/>
    <mergeCell ref="H1224:I1224"/>
    <mergeCell ref="F1202:G1202"/>
    <mergeCell ref="H1206:I1206"/>
    <mergeCell ref="F1209:G1209"/>
    <mergeCell ref="F1206:G1206"/>
    <mergeCell ref="H1202:I1202"/>
    <mergeCell ref="H1220:I1220"/>
    <mergeCell ref="H1226:I1226"/>
    <mergeCell ref="F1225:G1225"/>
    <mergeCell ref="H1234:I1234"/>
    <mergeCell ref="F1219:G1219"/>
    <mergeCell ref="F1235:G1235"/>
    <mergeCell ref="F1232:G1232"/>
    <mergeCell ref="H1221:I1221"/>
    <mergeCell ref="H1189:I1189"/>
    <mergeCell ref="H1190:I1190"/>
    <mergeCell ref="H1186:I1186"/>
    <mergeCell ref="H1181:I1181"/>
    <mergeCell ref="H1171:I1171"/>
    <mergeCell ref="H1174:I1174"/>
    <mergeCell ref="H1179:I1179"/>
    <mergeCell ref="H1188:I1188"/>
    <mergeCell ref="H1184:I1184"/>
    <mergeCell ref="H1197:I1197"/>
    <mergeCell ref="H1192:I1192"/>
    <mergeCell ref="H1222:I1222"/>
    <mergeCell ref="H1199:I1199"/>
    <mergeCell ref="H1214:I1214"/>
    <mergeCell ref="H1211:I1211"/>
    <mergeCell ref="H1200:I1200"/>
    <mergeCell ref="H1212:I1212"/>
    <mergeCell ref="H1216:I1216"/>
    <mergeCell ref="H1201:I1201"/>
    <mergeCell ref="H1177:I1177"/>
    <mergeCell ref="H1180:I1180"/>
    <mergeCell ref="H1178:I1178"/>
    <mergeCell ref="H1217:I1217"/>
    <mergeCell ref="H1129:I1129"/>
    <mergeCell ref="H1099:I1099"/>
    <mergeCell ref="H1121:I1121"/>
    <mergeCell ref="H1115:I1115"/>
    <mergeCell ref="H1045:I1045"/>
    <mergeCell ref="H1109:I1109"/>
    <mergeCell ref="H1047:I1047"/>
    <mergeCell ref="H1041:I1041"/>
    <mergeCell ref="H1048:I1048"/>
    <mergeCell ref="H1052:I1052"/>
    <mergeCell ref="H1050:I1050"/>
    <mergeCell ref="H1042:I1042"/>
    <mergeCell ref="H1106:I1106"/>
    <mergeCell ref="H1100:I1100"/>
    <mergeCell ref="H1153:I1153"/>
    <mergeCell ref="H1141:I1141"/>
    <mergeCell ref="H1149:I1149"/>
    <mergeCell ref="H1148:I1148"/>
    <mergeCell ref="H1152:I1152"/>
    <mergeCell ref="H1143:I1143"/>
    <mergeCell ref="H1142:I1142"/>
    <mergeCell ref="H1147:I1147"/>
    <mergeCell ref="H1043:I1043"/>
    <mergeCell ref="H1114:I1114"/>
    <mergeCell ref="H1131:I1131"/>
    <mergeCell ref="H1139:I1139"/>
    <mergeCell ref="H1137:I1137"/>
    <mergeCell ref="H1133:I1133"/>
    <mergeCell ref="H1126:I1126"/>
    <mergeCell ref="H1122:I1122"/>
    <mergeCell ref="H1127:I1127"/>
    <mergeCell ref="H1128:I1128"/>
    <mergeCell ref="H1164:I1164"/>
    <mergeCell ref="H1173:I1173"/>
    <mergeCell ref="H1150:I1150"/>
    <mergeCell ref="H1151:I1151"/>
    <mergeCell ref="H1156:I1156"/>
    <mergeCell ref="H1161:I1161"/>
    <mergeCell ref="H1160:I1160"/>
    <mergeCell ref="H1159:I1159"/>
    <mergeCell ref="H1154:I1154"/>
    <mergeCell ref="H1140:I1140"/>
    <mergeCell ref="H1132:I1132"/>
    <mergeCell ref="H1169:I1169"/>
    <mergeCell ref="H1166:I1166"/>
    <mergeCell ref="H1155:I1155"/>
    <mergeCell ref="H1167:I1167"/>
    <mergeCell ref="H1144:I1144"/>
    <mergeCell ref="H1145:I1145"/>
    <mergeCell ref="H1157:I1157"/>
    <mergeCell ref="H1136:I1136"/>
    <mergeCell ref="H1172:I1172"/>
    <mergeCell ref="H1162:I1162"/>
    <mergeCell ref="H1163:I1163"/>
    <mergeCell ref="H1158:I1158"/>
    <mergeCell ref="H1134:I1134"/>
    <mergeCell ref="H1135:I1135"/>
    <mergeCell ref="H686:I686"/>
    <mergeCell ref="H1110:I1110"/>
    <mergeCell ref="H672:I672"/>
    <mergeCell ref="H689:I689"/>
    <mergeCell ref="H770:I770"/>
    <mergeCell ref="H772:I772"/>
    <mergeCell ref="H1021:I1021"/>
    <mergeCell ref="H1027:I1027"/>
    <mergeCell ref="H1006:I1006"/>
    <mergeCell ref="H1032:I1032"/>
    <mergeCell ref="H961:I961"/>
    <mergeCell ref="H943:I943"/>
    <mergeCell ref="H962:I962"/>
    <mergeCell ref="H1116:I1116"/>
    <mergeCell ref="H968:I968"/>
    <mergeCell ref="H1000:I1000"/>
    <mergeCell ref="H1010:I1010"/>
    <mergeCell ref="H997:I997"/>
    <mergeCell ref="H1066:I1066"/>
    <mergeCell ref="H1022:I1022"/>
    <mergeCell ref="H1067:I1067"/>
    <mergeCell ref="H1036:I1036"/>
    <mergeCell ref="H1044:I1044"/>
    <mergeCell ref="H1046:I1046"/>
    <mergeCell ref="H1038:I1038"/>
    <mergeCell ref="H1035:I1035"/>
    <mergeCell ref="H873:I873"/>
    <mergeCell ref="H999:I999"/>
    <mergeCell ref="H904:I904"/>
    <mergeCell ref="H989:I989"/>
    <mergeCell ref="H687:I687"/>
    <mergeCell ref="H684:I684"/>
    <mergeCell ref="H378:I378"/>
    <mergeCell ref="H525:I525"/>
    <mergeCell ref="H488:I488"/>
    <mergeCell ref="H497:I497"/>
    <mergeCell ref="H520:I520"/>
    <mergeCell ref="H490:I490"/>
    <mergeCell ref="H508:I508"/>
    <mergeCell ref="H516:I516"/>
    <mergeCell ref="H493:I493"/>
    <mergeCell ref="H561:I561"/>
    <mergeCell ref="H565:I565"/>
    <mergeCell ref="H537:I537"/>
    <mergeCell ref="H568:I568"/>
    <mergeCell ref="H535:I535"/>
    <mergeCell ref="H557:I557"/>
    <mergeCell ref="H544:I544"/>
    <mergeCell ref="H540:I540"/>
    <mergeCell ref="H551:I551"/>
    <mergeCell ref="H552:I552"/>
    <mergeCell ref="H390:I390"/>
    <mergeCell ref="H393:I393"/>
    <mergeCell ref="H388:I388"/>
    <mergeCell ref="H392:I392"/>
    <mergeCell ref="H389:I389"/>
    <mergeCell ref="H480:I480"/>
    <mergeCell ref="H482:I482"/>
    <mergeCell ref="H447:I447"/>
    <mergeCell ref="H518:I518"/>
    <mergeCell ref="H441:I441"/>
    <mergeCell ref="H428:I428"/>
    <mergeCell ref="H507:I507"/>
    <mergeCell ref="H496:I496"/>
    <mergeCell ref="H451:I451"/>
    <mergeCell ref="H442:I442"/>
    <mergeCell ref="H448:I448"/>
    <mergeCell ref="H449:I449"/>
    <mergeCell ref="H433:I433"/>
    <mergeCell ref="H435:I435"/>
    <mergeCell ref="H437:I437"/>
    <mergeCell ref="H440:I440"/>
    <mergeCell ref="H445:I445"/>
    <mergeCell ref="H431:I431"/>
    <mergeCell ref="H438:I438"/>
    <mergeCell ref="H430:I430"/>
    <mergeCell ref="H436:I436"/>
    <mergeCell ref="H439:I439"/>
    <mergeCell ref="H485:I485"/>
    <mergeCell ref="H454:I454"/>
    <mergeCell ref="H477:I477"/>
    <mergeCell ref="H460:I460"/>
    <mergeCell ref="H469:I469"/>
    <mergeCell ref="H475:I475"/>
    <mergeCell ref="H443:I443"/>
    <mergeCell ref="H468:I468"/>
    <mergeCell ref="H446:I446"/>
    <mergeCell ref="H450:I450"/>
    <mergeCell ref="H461:I461"/>
    <mergeCell ref="H459:I459"/>
    <mergeCell ref="H464:I464"/>
    <mergeCell ref="H645:I645"/>
    <mergeCell ref="H668:I668"/>
    <mergeCell ref="H660:I660"/>
    <mergeCell ref="H665:I665"/>
    <mergeCell ref="H659:I659"/>
    <mergeCell ref="H657:I657"/>
    <mergeCell ref="H664:I664"/>
    <mergeCell ref="H510:I510"/>
    <mergeCell ref="H489:I489"/>
    <mergeCell ref="H519:I519"/>
    <mergeCell ref="H529:I529"/>
    <mergeCell ref="H528:I528"/>
    <mergeCell ref="H580:I580"/>
    <mergeCell ref="H573:I573"/>
    <mergeCell ref="H574:I574"/>
    <mergeCell ref="H548:I548"/>
    <mergeCell ref="H503:I503"/>
    <mergeCell ref="H504:I504"/>
    <mergeCell ref="H495:I495"/>
    <mergeCell ref="H506:I506"/>
    <mergeCell ref="H641:I641"/>
    <mergeCell ref="H572:I572"/>
    <mergeCell ref="H607:I607"/>
    <mergeCell ref="H491:I491"/>
    <mergeCell ref="H532:I532"/>
    <mergeCell ref="H567:I567"/>
    <mergeCell ref="H587:I587"/>
    <mergeCell ref="H492:I492"/>
    <mergeCell ref="H549:I549"/>
    <mergeCell ref="H571:I571"/>
    <mergeCell ref="H543:I543"/>
    <mergeCell ref="H539:I539"/>
    <mergeCell ref="H679:I679"/>
    <mergeCell ref="H637:I637"/>
    <mergeCell ref="H658:I658"/>
    <mergeCell ref="H682:I682"/>
    <mergeCell ref="H673:I673"/>
    <mergeCell ref="H649:I649"/>
    <mergeCell ref="H671:I671"/>
    <mergeCell ref="H663:I663"/>
    <mergeCell ref="H643:I643"/>
    <mergeCell ref="H670:I670"/>
    <mergeCell ref="H975:I975"/>
    <mergeCell ref="H976:I976"/>
    <mergeCell ref="H944:I944"/>
    <mergeCell ref="H973:I973"/>
    <mergeCell ref="H950:I950"/>
    <mergeCell ref="H955:I955"/>
    <mergeCell ref="H926:I926"/>
    <mergeCell ref="H940:I940"/>
    <mergeCell ref="H939:I939"/>
    <mergeCell ref="H908:I908"/>
    <mergeCell ref="H905:I905"/>
    <mergeCell ref="H898:I898"/>
    <mergeCell ref="H927:I927"/>
    <mergeCell ref="H929:I929"/>
    <mergeCell ref="H925:I925"/>
    <mergeCell ref="H921:I921"/>
    <mergeCell ref="H799:I799"/>
    <mergeCell ref="H819:I819"/>
    <mergeCell ref="H800:I800"/>
    <mergeCell ref="H833:I833"/>
    <mergeCell ref="H831:I831"/>
    <mergeCell ref="H828:I828"/>
    <mergeCell ref="H809:I809"/>
    <mergeCell ref="H816:I816"/>
    <mergeCell ref="H804:I804"/>
    <mergeCell ref="H814:I814"/>
    <mergeCell ref="H824:I824"/>
    <mergeCell ref="H810:I810"/>
    <mergeCell ref="H972:I972"/>
    <mergeCell ref="H960:I960"/>
    <mergeCell ref="H957:I957"/>
    <mergeCell ref="H953:I953"/>
    <mergeCell ref="H951:I951"/>
    <mergeCell ref="H965:I965"/>
    <mergeCell ref="H942:I942"/>
    <mergeCell ref="H941:I941"/>
    <mergeCell ref="H871:I871"/>
    <mergeCell ref="H885:I885"/>
    <mergeCell ref="H931:I931"/>
    <mergeCell ref="H909:I909"/>
    <mergeCell ref="H919:I919"/>
    <mergeCell ref="H946:I946"/>
    <mergeCell ref="H949:I949"/>
    <mergeCell ref="H971:I971"/>
    <mergeCell ref="H936:I936"/>
    <mergeCell ref="H933:I933"/>
    <mergeCell ref="H930:I930"/>
    <mergeCell ref="H932:I932"/>
    <mergeCell ref="H967:I967"/>
    <mergeCell ref="H947:I947"/>
    <mergeCell ref="H948:I948"/>
    <mergeCell ref="H878:I878"/>
    <mergeCell ref="H923:I923"/>
    <mergeCell ref="H910:I910"/>
    <mergeCell ref="H823:I823"/>
    <mergeCell ref="H785:I785"/>
    <mergeCell ref="H796:I796"/>
    <mergeCell ref="H793:I793"/>
    <mergeCell ref="H453:I453"/>
    <mergeCell ref="H902:I902"/>
    <mergeCell ref="H889:I889"/>
    <mergeCell ref="H891:I891"/>
    <mergeCell ref="H896:I896"/>
    <mergeCell ref="H890:I890"/>
    <mergeCell ref="H874:I874"/>
    <mergeCell ref="H900:I900"/>
    <mergeCell ref="H862:I862"/>
    <mergeCell ref="H877:I877"/>
    <mergeCell ref="H888:I888"/>
    <mergeCell ref="H938:I938"/>
    <mergeCell ref="H895:I895"/>
    <mergeCell ref="H911:I911"/>
    <mergeCell ref="H906:I906"/>
    <mergeCell ref="H937:I937"/>
    <mergeCell ref="H934:I934"/>
    <mergeCell ref="H935:I935"/>
    <mergeCell ref="H928:I928"/>
    <mergeCell ref="H924:I924"/>
    <mergeCell ref="H786:I786"/>
    <mergeCell ref="H697:I697"/>
    <mergeCell ref="H699:I699"/>
    <mergeCell ref="H702:I702"/>
    <mergeCell ref="H700:I700"/>
    <mergeCell ref="H709:I709"/>
    <mergeCell ref="H703:I703"/>
    <mergeCell ref="H708:I708"/>
    <mergeCell ref="H922:I922"/>
    <mergeCell ref="H752:I752"/>
    <mergeCell ref="H861:I861"/>
    <mergeCell ref="H857:I857"/>
    <mergeCell ref="H858:I858"/>
    <mergeCell ref="H843:I843"/>
    <mergeCell ref="H554:I554"/>
    <mergeCell ref="H530:I530"/>
    <mergeCell ref="H542:I542"/>
    <mergeCell ref="H536:I536"/>
    <mergeCell ref="H553:I553"/>
    <mergeCell ref="H534:I534"/>
    <mergeCell ref="H470:I470"/>
    <mergeCell ref="H466:I466"/>
    <mergeCell ref="H471:I471"/>
    <mergeCell ref="H486:I486"/>
    <mergeCell ref="H487:I487"/>
    <mergeCell ref="H476:I476"/>
    <mergeCell ref="H481:I481"/>
    <mergeCell ref="H483:I483"/>
    <mergeCell ref="H478:I478"/>
    <mergeCell ref="H512:I512"/>
    <mergeCell ref="H479:I479"/>
    <mergeCell ref="H860:I860"/>
    <mergeCell ref="H832:I832"/>
    <mergeCell ref="H837:I837"/>
    <mergeCell ref="H807:I807"/>
    <mergeCell ref="H826:I826"/>
    <mergeCell ref="H825:I825"/>
    <mergeCell ref="H822:I822"/>
    <mergeCell ref="H813:I813"/>
    <mergeCell ref="H855:I855"/>
    <mergeCell ref="H413:I413"/>
    <mergeCell ref="H415:I415"/>
    <mergeCell ref="H400:I400"/>
    <mergeCell ref="H420:I420"/>
    <mergeCell ref="H411:I411"/>
    <mergeCell ref="H410:I410"/>
    <mergeCell ref="H409:I409"/>
    <mergeCell ref="H419:I419"/>
    <mergeCell ref="H404:I404"/>
    <mergeCell ref="H425:I425"/>
    <mergeCell ref="H416:I416"/>
    <mergeCell ref="H421:I421"/>
    <mergeCell ref="H418:I418"/>
    <mergeCell ref="H434:I434"/>
    <mergeCell ref="H422:I422"/>
    <mergeCell ref="H432:I432"/>
    <mergeCell ref="H423:I423"/>
    <mergeCell ref="H429:I429"/>
    <mergeCell ref="H417:I417"/>
    <mergeCell ref="H426:I426"/>
    <mergeCell ref="H408:I408"/>
    <mergeCell ref="H414:I414"/>
    <mergeCell ref="H405:I405"/>
    <mergeCell ref="H412:I412"/>
    <mergeCell ref="H403:I403"/>
    <mergeCell ref="H402:I402"/>
    <mergeCell ref="H424:I424"/>
    <mergeCell ref="H427:I427"/>
    <mergeCell ref="C239:E239"/>
    <mergeCell ref="C236:E236"/>
    <mergeCell ref="C240:E240"/>
    <mergeCell ref="C242:E242"/>
    <mergeCell ref="F241:G241"/>
    <mergeCell ref="F326:G326"/>
    <mergeCell ref="C241:E241"/>
    <mergeCell ref="C246:E246"/>
    <mergeCell ref="F244:G244"/>
    <mergeCell ref="F255:G255"/>
    <mergeCell ref="F252:G252"/>
    <mergeCell ref="F251:G251"/>
    <mergeCell ref="C250:E250"/>
    <mergeCell ref="C256:E256"/>
    <mergeCell ref="F248:G248"/>
    <mergeCell ref="F336:G336"/>
    <mergeCell ref="H407:I407"/>
    <mergeCell ref="H406:I406"/>
    <mergeCell ref="H401:I401"/>
    <mergeCell ref="F335:G335"/>
    <mergeCell ref="F330:G330"/>
    <mergeCell ref="H382:I382"/>
    <mergeCell ref="H386:I386"/>
    <mergeCell ref="F331:G331"/>
    <mergeCell ref="F345:G345"/>
    <mergeCell ref="H397:I397"/>
    <mergeCell ref="H394:I394"/>
    <mergeCell ref="H399:I399"/>
    <mergeCell ref="H376:I376"/>
    <mergeCell ref="H377:I377"/>
    <mergeCell ref="H380:I380"/>
    <mergeCell ref="H384:I384"/>
    <mergeCell ref="C210:E210"/>
    <mergeCell ref="C205:E205"/>
    <mergeCell ref="C207:E207"/>
    <mergeCell ref="C206:E206"/>
    <mergeCell ref="F191:G191"/>
    <mergeCell ref="F202:G202"/>
    <mergeCell ref="C203:E203"/>
    <mergeCell ref="C182:E182"/>
    <mergeCell ref="C176:E176"/>
    <mergeCell ref="F162:G162"/>
    <mergeCell ref="F173:G173"/>
    <mergeCell ref="F175:G175"/>
    <mergeCell ref="C174:E174"/>
    <mergeCell ref="C173:E173"/>
    <mergeCell ref="C179:E179"/>
    <mergeCell ref="C170:E170"/>
    <mergeCell ref="F167:G167"/>
    <mergeCell ref="F185:G185"/>
    <mergeCell ref="C189:E189"/>
    <mergeCell ref="C195:E195"/>
    <mergeCell ref="F189:G189"/>
    <mergeCell ref="F190:G190"/>
    <mergeCell ref="F186:G186"/>
    <mergeCell ref="C187:E187"/>
    <mergeCell ref="F188:G188"/>
    <mergeCell ref="F196:G196"/>
    <mergeCell ref="C180:E180"/>
    <mergeCell ref="C196:E196"/>
    <mergeCell ref="C185:E185"/>
    <mergeCell ref="C198:E198"/>
    <mergeCell ref="F193:G193"/>
    <mergeCell ref="C175:E175"/>
    <mergeCell ref="C169:E169"/>
    <mergeCell ref="C183:E183"/>
    <mergeCell ref="C171:E171"/>
    <mergeCell ref="C164:E164"/>
    <mergeCell ref="C161:E161"/>
    <mergeCell ref="C157:E157"/>
    <mergeCell ref="F194:G194"/>
    <mergeCell ref="C162:E162"/>
    <mergeCell ref="C186:E186"/>
    <mergeCell ref="C194:E194"/>
    <mergeCell ref="C193:E193"/>
    <mergeCell ref="C190:E190"/>
    <mergeCell ref="C159:E159"/>
    <mergeCell ref="C181:E181"/>
    <mergeCell ref="F174:G174"/>
    <mergeCell ref="F183:G183"/>
    <mergeCell ref="F184:G184"/>
    <mergeCell ref="F182:G182"/>
    <mergeCell ref="C167:E167"/>
    <mergeCell ref="F192:G192"/>
    <mergeCell ref="F187:G187"/>
    <mergeCell ref="F160:G160"/>
    <mergeCell ref="C152:E152"/>
    <mergeCell ref="F151:G151"/>
    <mergeCell ref="F152:G152"/>
    <mergeCell ref="F172:G172"/>
    <mergeCell ref="F181:G181"/>
    <mergeCell ref="F170:G170"/>
    <mergeCell ref="F171:G171"/>
    <mergeCell ref="F180:G180"/>
    <mergeCell ref="F179:G179"/>
    <mergeCell ref="F153:G153"/>
    <mergeCell ref="C150:E150"/>
    <mergeCell ref="F156:G156"/>
    <mergeCell ref="C153:E153"/>
    <mergeCell ref="C166:E166"/>
    <mergeCell ref="C163:E163"/>
    <mergeCell ref="C160:E160"/>
    <mergeCell ref="C151:E151"/>
    <mergeCell ref="C158:E158"/>
    <mergeCell ref="C165:E165"/>
    <mergeCell ref="F157:G157"/>
    <mergeCell ref="F177:G177"/>
    <mergeCell ref="F176:G176"/>
    <mergeCell ref="C156:E156"/>
    <mergeCell ref="F178:G178"/>
    <mergeCell ref="H455:I455"/>
    <mergeCell ref="H457:I457"/>
    <mergeCell ref="H456:I456"/>
    <mergeCell ref="H444:I444"/>
    <mergeCell ref="H452:I452"/>
    <mergeCell ref="H458:I458"/>
    <mergeCell ref="F323:G323"/>
    <mergeCell ref="F299:G299"/>
    <mergeCell ref="F302:G302"/>
    <mergeCell ref="F325:G325"/>
    <mergeCell ref="H555:I555"/>
    <mergeCell ref="H556:I556"/>
    <mergeCell ref="H546:I546"/>
    <mergeCell ref="H472:I472"/>
    <mergeCell ref="H467:I467"/>
    <mergeCell ref="H463:I463"/>
    <mergeCell ref="H484:I484"/>
    <mergeCell ref="F340:G340"/>
    <mergeCell ref="F334:G334"/>
    <mergeCell ref="F313:G313"/>
    <mergeCell ref="F517:G517"/>
    <mergeCell ref="F511:G511"/>
    <mergeCell ref="F512:G512"/>
    <mergeCell ref="F404:G404"/>
    <mergeCell ref="F373:G373"/>
    <mergeCell ref="F518:G518"/>
    <mergeCell ref="F514:G514"/>
    <mergeCell ref="F545:G545"/>
    <mergeCell ref="F543:G543"/>
    <mergeCell ref="F483:G483"/>
    <mergeCell ref="F484:G484"/>
    <mergeCell ref="F482:G482"/>
    <mergeCell ref="H760:I760"/>
    <mergeCell ref="H782:I782"/>
    <mergeCell ref="H780:I780"/>
    <mergeCell ref="H588:I588"/>
    <mergeCell ref="H744:I744"/>
    <mergeCell ref="H743:I743"/>
    <mergeCell ref="H766:I766"/>
    <mergeCell ref="H650:I650"/>
    <mergeCell ref="H618:I618"/>
    <mergeCell ref="H631:I631"/>
    <mergeCell ref="H754:I754"/>
    <mergeCell ref="H751:I751"/>
    <mergeCell ref="H632:I632"/>
    <mergeCell ref="H617:I617"/>
    <mergeCell ref="H619:I619"/>
    <mergeCell ref="H624:I624"/>
    <mergeCell ref="H739:I739"/>
    <mergeCell ref="H740:I740"/>
    <mergeCell ref="H642:I642"/>
    <mergeCell ref="H620:I620"/>
    <mergeCell ref="H622:I622"/>
    <mergeCell ref="H625:I625"/>
    <mergeCell ref="H623:I623"/>
    <mergeCell ref="H621:I621"/>
    <mergeCell ref="H612:I612"/>
    <mergeCell ref="H600:I600"/>
    <mergeCell ref="H605:I605"/>
    <mergeCell ref="H610:I610"/>
    <mergeCell ref="H611:I611"/>
    <mergeCell ref="H762:I762"/>
    <mergeCell ref="H717:I717"/>
    <mergeCell ref="H720:I720"/>
    <mergeCell ref="F290:G290"/>
    <mergeCell ref="H279:I279"/>
    <mergeCell ref="F287:G287"/>
    <mergeCell ref="F285:G285"/>
    <mergeCell ref="F283:G283"/>
    <mergeCell ref="H284:I284"/>
    <mergeCell ref="H285:I285"/>
    <mergeCell ref="H281:I281"/>
    <mergeCell ref="F282:G282"/>
    <mergeCell ref="H280:I280"/>
    <mergeCell ref="H289:I289"/>
    <mergeCell ref="F343:G343"/>
    <mergeCell ref="F305:G305"/>
    <mergeCell ref="F297:G297"/>
    <mergeCell ref="F300:G300"/>
    <mergeCell ref="F291:G291"/>
    <mergeCell ref="F289:G289"/>
    <mergeCell ref="F292:G292"/>
    <mergeCell ref="F296:G296"/>
    <mergeCell ref="F295:G295"/>
    <mergeCell ref="F298:G298"/>
    <mergeCell ref="F306:G306"/>
    <mergeCell ref="F324:G324"/>
    <mergeCell ref="F322:G322"/>
    <mergeCell ref="F321:G321"/>
    <mergeCell ref="F307:G307"/>
    <mergeCell ref="F308:G308"/>
    <mergeCell ref="H172:I172"/>
    <mergeCell ref="F273:G273"/>
    <mergeCell ref="F270:G270"/>
    <mergeCell ref="F271:G271"/>
    <mergeCell ref="F257:G257"/>
    <mergeCell ref="F286:G286"/>
    <mergeCell ref="F259:G259"/>
    <mergeCell ref="F279:G279"/>
    <mergeCell ref="F276:G276"/>
    <mergeCell ref="F277:G277"/>
    <mergeCell ref="F269:G269"/>
    <mergeCell ref="H218:I218"/>
    <mergeCell ref="F199:G199"/>
    <mergeCell ref="F250:G250"/>
    <mergeCell ref="F260:G260"/>
    <mergeCell ref="H271:I271"/>
    <mergeCell ref="F236:G236"/>
    <mergeCell ref="H186:I186"/>
    <mergeCell ref="H188:I188"/>
    <mergeCell ref="H189:I189"/>
    <mergeCell ref="F274:G274"/>
    <mergeCell ref="H187:I187"/>
    <mergeCell ref="H176:I176"/>
    <mergeCell ref="F284:G284"/>
    <mergeCell ref="F243:G243"/>
    <mergeCell ref="F240:G240"/>
    <mergeCell ref="F237:G237"/>
    <mergeCell ref="F226:G226"/>
    <mergeCell ref="F231:G231"/>
    <mergeCell ref="F249:G249"/>
    <mergeCell ref="F246:G246"/>
    <mergeCell ref="F266:G266"/>
    <mergeCell ref="H170:I170"/>
    <mergeCell ref="H148:I148"/>
    <mergeCell ref="H162:I162"/>
    <mergeCell ref="H161:I161"/>
    <mergeCell ref="H157:I157"/>
    <mergeCell ref="H149:I149"/>
    <mergeCell ref="H154:I154"/>
    <mergeCell ref="H150:I150"/>
    <mergeCell ref="H168:I168"/>
    <mergeCell ref="H152:I152"/>
    <mergeCell ref="H288:I288"/>
    <mergeCell ref="H160:I160"/>
    <mergeCell ref="H166:I166"/>
    <mergeCell ref="H286:I286"/>
    <mergeCell ref="H174:I174"/>
    <mergeCell ref="H175:I175"/>
    <mergeCell ref="H219:I219"/>
    <mergeCell ref="H202:I202"/>
    <mergeCell ref="H198:I198"/>
    <mergeCell ref="H169:I169"/>
    <mergeCell ref="H287:I287"/>
    <mergeCell ref="H185:I185"/>
    <mergeCell ref="H182:I182"/>
    <mergeCell ref="H183:I183"/>
    <mergeCell ref="H180:I180"/>
    <mergeCell ref="H184:I184"/>
    <mergeCell ref="H178:I178"/>
    <mergeCell ref="H177:I177"/>
    <mergeCell ref="H179:I179"/>
    <mergeCell ref="H215:I215"/>
    <mergeCell ref="H214:I214"/>
    <mergeCell ref="H204:I204"/>
    <mergeCell ref="H151:I151"/>
    <mergeCell ref="H117:I117"/>
    <mergeCell ref="H115:I115"/>
    <mergeCell ref="H142:I142"/>
    <mergeCell ref="H126:I126"/>
    <mergeCell ref="H112:I112"/>
    <mergeCell ref="H106:I106"/>
    <mergeCell ref="H131:I131"/>
    <mergeCell ref="H141:I141"/>
    <mergeCell ref="H137:I137"/>
    <mergeCell ref="H130:I130"/>
    <mergeCell ref="H113:I113"/>
    <mergeCell ref="H116:I116"/>
    <mergeCell ref="H104:I104"/>
    <mergeCell ref="H134:I134"/>
    <mergeCell ref="H107:I107"/>
    <mergeCell ref="H111:I111"/>
    <mergeCell ref="H109:I109"/>
    <mergeCell ref="H110:I110"/>
    <mergeCell ref="H114:I114"/>
    <mergeCell ref="H121:I121"/>
    <mergeCell ref="H105:I105"/>
    <mergeCell ref="H122:I122"/>
    <mergeCell ref="F150:G150"/>
    <mergeCell ref="F109:G109"/>
    <mergeCell ref="F114:G114"/>
    <mergeCell ref="F110:G110"/>
    <mergeCell ref="F111:G111"/>
    <mergeCell ref="F127:G127"/>
    <mergeCell ref="F122:G122"/>
    <mergeCell ref="F140:G140"/>
    <mergeCell ref="F126:G126"/>
    <mergeCell ref="F145:G145"/>
    <mergeCell ref="H140:I140"/>
    <mergeCell ref="H139:I139"/>
    <mergeCell ref="H138:I138"/>
    <mergeCell ref="F121:G121"/>
    <mergeCell ref="H146:I146"/>
    <mergeCell ref="F146:G146"/>
    <mergeCell ref="H124:I124"/>
    <mergeCell ref="H128:I128"/>
    <mergeCell ref="H123:I123"/>
    <mergeCell ref="H144:I144"/>
    <mergeCell ref="H136:I136"/>
    <mergeCell ref="F144:G144"/>
    <mergeCell ref="H120:I120"/>
    <mergeCell ref="H135:I135"/>
    <mergeCell ref="H118:I118"/>
    <mergeCell ref="F136:G136"/>
    <mergeCell ref="F124:G124"/>
    <mergeCell ref="F123:G123"/>
    <mergeCell ref="F129:G129"/>
    <mergeCell ref="F131:G131"/>
    <mergeCell ref="F115:G115"/>
    <mergeCell ref="F120:G120"/>
    <mergeCell ref="F80:G80"/>
    <mergeCell ref="H89:I89"/>
    <mergeCell ref="H81:I81"/>
    <mergeCell ref="H77:I77"/>
    <mergeCell ref="F102:G102"/>
    <mergeCell ref="F99:G99"/>
    <mergeCell ref="F101:G101"/>
    <mergeCell ref="F94:G94"/>
    <mergeCell ref="F106:G106"/>
    <mergeCell ref="F108:G108"/>
    <mergeCell ref="H101:I101"/>
    <mergeCell ref="F107:G107"/>
    <mergeCell ref="F104:G104"/>
    <mergeCell ref="F105:G105"/>
    <mergeCell ref="F103:G103"/>
    <mergeCell ref="H102:I102"/>
    <mergeCell ref="F148:G148"/>
    <mergeCell ref="H103:I103"/>
    <mergeCell ref="H90:I90"/>
    <mergeCell ref="H66:I66"/>
    <mergeCell ref="F71:G71"/>
    <mergeCell ref="H76:I76"/>
    <mergeCell ref="F79:G79"/>
    <mergeCell ref="H52:I52"/>
    <mergeCell ref="H73:I73"/>
    <mergeCell ref="H75:I75"/>
    <mergeCell ref="H53:I53"/>
    <mergeCell ref="H68:I68"/>
    <mergeCell ref="F67:G67"/>
    <mergeCell ref="H100:I100"/>
    <mergeCell ref="H92:I92"/>
    <mergeCell ref="H93:I93"/>
    <mergeCell ref="F89:G89"/>
    <mergeCell ref="H95:I95"/>
    <mergeCell ref="F93:G93"/>
    <mergeCell ref="F95:G95"/>
    <mergeCell ref="H94:I94"/>
    <mergeCell ref="H99:I99"/>
    <mergeCell ref="F98:G98"/>
    <mergeCell ref="F100:G100"/>
    <mergeCell ref="F85:G85"/>
    <mergeCell ref="F91:G91"/>
    <mergeCell ref="F86:G86"/>
    <mergeCell ref="F88:G88"/>
    <mergeCell ref="H97:I97"/>
    <mergeCell ref="H98:I98"/>
    <mergeCell ref="F59:G59"/>
    <mergeCell ref="H58:I58"/>
    <mergeCell ref="F62:G62"/>
    <mergeCell ref="H56:I56"/>
    <mergeCell ref="F60:G60"/>
    <mergeCell ref="F138:G138"/>
    <mergeCell ref="F44:G44"/>
    <mergeCell ref="F61:G61"/>
    <mergeCell ref="H51:I51"/>
    <mergeCell ref="F52:G52"/>
    <mergeCell ref="F58:G58"/>
    <mergeCell ref="H54:I54"/>
    <mergeCell ref="F54:G54"/>
    <mergeCell ref="H60:I60"/>
    <mergeCell ref="F56:G56"/>
    <mergeCell ref="F57:G57"/>
    <mergeCell ref="F69:G69"/>
    <mergeCell ref="H67:I67"/>
    <mergeCell ref="F72:G72"/>
    <mergeCell ref="F70:G70"/>
    <mergeCell ref="H65:I65"/>
    <mergeCell ref="F49:G49"/>
    <mergeCell ref="F65:G65"/>
    <mergeCell ref="H62:I62"/>
    <mergeCell ref="F63:G63"/>
    <mergeCell ref="H49:I49"/>
    <mergeCell ref="F78:G78"/>
    <mergeCell ref="F77:G77"/>
    <mergeCell ref="F132:G132"/>
    <mergeCell ref="F135:G135"/>
    <mergeCell ref="F51:G51"/>
    <mergeCell ref="H85:I85"/>
    <mergeCell ref="H84:I84"/>
    <mergeCell ref="H79:I79"/>
    <mergeCell ref="H87:I87"/>
    <mergeCell ref="H88:I88"/>
    <mergeCell ref="F84:G84"/>
    <mergeCell ref="H133:I133"/>
    <mergeCell ref="H127:I127"/>
    <mergeCell ref="F53:G53"/>
    <mergeCell ref="H61:I61"/>
    <mergeCell ref="F66:G66"/>
    <mergeCell ref="H63:I63"/>
    <mergeCell ref="F64:G64"/>
    <mergeCell ref="F92:G92"/>
    <mergeCell ref="H132:I132"/>
    <mergeCell ref="F128:G128"/>
    <mergeCell ref="H74:I74"/>
    <mergeCell ref="F68:G68"/>
    <mergeCell ref="H69:I69"/>
    <mergeCell ref="H64:I64"/>
    <mergeCell ref="H70:I70"/>
    <mergeCell ref="F74:G74"/>
    <mergeCell ref="F76:G76"/>
    <mergeCell ref="F75:G75"/>
    <mergeCell ref="H96:I96"/>
    <mergeCell ref="F55:G55"/>
    <mergeCell ref="H55:I55"/>
    <mergeCell ref="H57:I57"/>
    <mergeCell ref="F133:G133"/>
    <mergeCell ref="F87:G87"/>
    <mergeCell ref="F81:G81"/>
    <mergeCell ref="F82:G82"/>
    <mergeCell ref="H59:I59"/>
    <mergeCell ref="H86:I86"/>
    <mergeCell ref="F83:G83"/>
    <mergeCell ref="H83:I83"/>
    <mergeCell ref="H78:I78"/>
    <mergeCell ref="H82:I82"/>
    <mergeCell ref="H560:I560"/>
    <mergeCell ref="H523:I523"/>
    <mergeCell ref="H538:I538"/>
    <mergeCell ref="H531:I531"/>
    <mergeCell ref="H592:I592"/>
    <mergeCell ref="H581:I581"/>
    <mergeCell ref="H591:I591"/>
    <mergeCell ref="H596:I596"/>
    <mergeCell ref="H594:I594"/>
    <mergeCell ref="H595:I595"/>
    <mergeCell ref="H590:I590"/>
    <mergeCell ref="H558:I558"/>
    <mergeCell ref="H564:I564"/>
    <mergeCell ref="H578:I578"/>
    <mergeCell ref="H575:I575"/>
    <mergeCell ref="H465:I465"/>
    <mergeCell ref="H545:I545"/>
    <mergeCell ref="H570:I570"/>
    <mergeCell ref="H515:I515"/>
    <mergeCell ref="H550:I550"/>
    <mergeCell ref="H513:I513"/>
    <mergeCell ref="H563:I563"/>
    <mergeCell ref="H501:I501"/>
    <mergeCell ref="H502:I502"/>
    <mergeCell ref="H498:I498"/>
    <mergeCell ref="H500:I500"/>
    <mergeCell ref="H788:I788"/>
    <mergeCell ref="H764:I764"/>
    <mergeCell ref="H769:I769"/>
    <mergeCell ref="H784:I784"/>
    <mergeCell ref="H783:I783"/>
    <mergeCell ref="H763:I763"/>
    <mergeCell ref="H767:I767"/>
    <mergeCell ref="H773:I773"/>
    <mergeCell ref="H768:I768"/>
    <mergeCell ref="H675:I675"/>
    <mergeCell ref="H655:I655"/>
    <mergeCell ref="H685:I685"/>
    <mergeCell ref="H681:I681"/>
    <mergeCell ref="H678:I678"/>
    <mergeCell ref="H735:I735"/>
    <mergeCell ref="H656:I656"/>
    <mergeCell ref="H676:I676"/>
    <mergeCell ref="H711:I711"/>
    <mergeCell ref="H669:I669"/>
    <mergeCell ref="H662:I662"/>
    <mergeCell ref="H666:I666"/>
    <mergeCell ref="H693:I693"/>
    <mergeCell ref="H731:I731"/>
    <mergeCell ref="H724:I724"/>
    <mergeCell ref="H719:I719"/>
    <mergeCell ref="H716:I716"/>
    <mergeCell ref="H715:I715"/>
    <mergeCell ref="H737:I737"/>
    <mergeCell ref="H713:I713"/>
    <mergeCell ref="H771:I771"/>
    <mergeCell ref="H698:I698"/>
    <mergeCell ref="H718:I718"/>
    <mergeCell ref="H907:I907"/>
    <mergeCell ref="H841:I841"/>
    <mergeCell ref="H839:I839"/>
    <mergeCell ref="H866:I866"/>
    <mergeCell ref="H879:I879"/>
    <mergeCell ref="H881:I881"/>
    <mergeCell ref="H876:I876"/>
    <mergeCell ref="H882:I882"/>
    <mergeCell ref="H901:I901"/>
    <mergeCell ref="H864:I864"/>
    <mergeCell ref="H842:I842"/>
    <mergeCell ref="H829:I829"/>
    <mergeCell ref="H834:I834"/>
    <mergeCell ref="H859:I859"/>
    <mergeCell ref="H884:I884"/>
    <mergeCell ref="H883:I883"/>
    <mergeCell ref="H868:I868"/>
    <mergeCell ref="H865:I865"/>
    <mergeCell ref="H863:I863"/>
    <mergeCell ref="H854:I854"/>
    <mergeCell ref="H853:I853"/>
    <mergeCell ref="H848:I848"/>
    <mergeCell ref="H847:I847"/>
    <mergeCell ref="H846:I846"/>
    <mergeCell ref="H851:I851"/>
    <mergeCell ref="H852:I852"/>
    <mergeCell ref="H880:I880"/>
    <mergeCell ref="H805:I805"/>
    <mergeCell ref="H792:I792"/>
    <mergeCell ref="H787:I787"/>
    <mergeCell ref="H777:I777"/>
    <mergeCell ref="H779:I779"/>
    <mergeCell ref="H778:I778"/>
    <mergeCell ref="H798:I798"/>
    <mergeCell ref="H781:I781"/>
    <mergeCell ref="H790:I790"/>
    <mergeCell ref="H791:I791"/>
    <mergeCell ref="H808:I808"/>
    <mergeCell ref="H840:I840"/>
    <mergeCell ref="H806:I806"/>
    <mergeCell ref="H821:I821"/>
    <mergeCell ref="H818:I818"/>
    <mergeCell ref="H835:I835"/>
    <mergeCell ref="H836:I836"/>
    <mergeCell ref="H830:I830"/>
    <mergeCell ref="H838:I838"/>
    <mergeCell ref="H827:I827"/>
    <mergeCell ref="H789:I789"/>
    <mergeCell ref="H820:I820"/>
    <mergeCell ref="H812:I812"/>
    <mergeCell ref="H811:I811"/>
    <mergeCell ref="H797:I797"/>
    <mergeCell ref="H801:I801"/>
    <mergeCell ref="H815:I815"/>
    <mergeCell ref="H803:I803"/>
    <mergeCell ref="H794:I794"/>
    <mergeCell ref="H795:I795"/>
    <mergeCell ref="H802:I802"/>
    <mergeCell ref="H817:I817"/>
    <mergeCell ref="H692:I692"/>
    <mergeCell ref="H722:I722"/>
    <mergeCell ref="H707:I707"/>
    <mergeCell ref="F604:G604"/>
    <mergeCell ref="F600:G600"/>
    <mergeCell ref="H583:I583"/>
    <mergeCell ref="F586:G586"/>
    <mergeCell ref="F584:G584"/>
    <mergeCell ref="H584:I584"/>
    <mergeCell ref="H589:I589"/>
    <mergeCell ref="H598:I598"/>
    <mergeCell ref="F603:G603"/>
    <mergeCell ref="H714:I714"/>
    <mergeCell ref="H696:I696"/>
    <mergeCell ref="H704:I704"/>
    <mergeCell ref="H705:I705"/>
    <mergeCell ref="H694:I694"/>
    <mergeCell ref="H701:I701"/>
    <mergeCell ref="H706:I706"/>
    <mergeCell ref="H695:I695"/>
    <mergeCell ref="H654:I654"/>
    <mergeCell ref="H652:I652"/>
    <mergeCell ref="H638:I638"/>
    <mergeCell ref="H653:I653"/>
    <mergeCell ref="H647:I647"/>
    <mergeCell ref="H644:I644"/>
    <mergeCell ref="H646:I646"/>
    <mergeCell ref="H640:I640"/>
    <mergeCell ref="H633:I633"/>
    <mergeCell ref="H651:I651"/>
    <mergeCell ref="H639:I639"/>
    <mergeCell ref="H593:I593"/>
    <mergeCell ref="H635:I635"/>
    <mergeCell ref="H634:I634"/>
    <mergeCell ref="H627:I627"/>
    <mergeCell ref="H630:I630"/>
    <mergeCell ref="H614:I614"/>
    <mergeCell ref="H613:I613"/>
    <mergeCell ref="H562:I562"/>
    <mergeCell ref="F578:G578"/>
    <mergeCell ref="H586:I586"/>
    <mergeCell ref="F569:G569"/>
    <mergeCell ref="H576:I576"/>
    <mergeCell ref="F480:G480"/>
    <mergeCell ref="F548:G548"/>
    <mergeCell ref="F513:G513"/>
    <mergeCell ref="F542:G542"/>
    <mergeCell ref="F481:G481"/>
    <mergeCell ref="F488:G488"/>
    <mergeCell ref="F509:G509"/>
    <mergeCell ref="H541:I541"/>
    <mergeCell ref="H547:I547"/>
    <mergeCell ref="H511:I511"/>
    <mergeCell ref="H527:I527"/>
    <mergeCell ref="H582:I582"/>
    <mergeCell ref="H597:I597"/>
    <mergeCell ref="H601:I601"/>
    <mergeCell ref="H585:I585"/>
    <mergeCell ref="H505:I505"/>
    <mergeCell ref="H579:I579"/>
    <mergeCell ref="H526:I526"/>
    <mergeCell ref="H602:I602"/>
    <mergeCell ref="H599:I599"/>
    <mergeCell ref="H559:I559"/>
    <mergeCell ref="F1273:G1273"/>
    <mergeCell ref="F538:G538"/>
    <mergeCell ref="F520:G520"/>
    <mergeCell ref="F529:G529"/>
    <mergeCell ref="F556:G556"/>
    <mergeCell ref="F549:G549"/>
    <mergeCell ref="F554:G554"/>
    <mergeCell ref="F552:G552"/>
    <mergeCell ref="F537:G537"/>
    <mergeCell ref="F560:G560"/>
    <mergeCell ref="F1260:G1260"/>
    <mergeCell ref="F1266:G1266"/>
    <mergeCell ref="F1268:G1268"/>
    <mergeCell ref="F508:G508"/>
    <mergeCell ref="F506:G506"/>
    <mergeCell ref="F507:G507"/>
    <mergeCell ref="F574:G574"/>
    <mergeCell ref="F540:G540"/>
    <mergeCell ref="F1237:G1237"/>
    <mergeCell ref="F1242:G1242"/>
    <mergeCell ref="F1136:G1136"/>
    <mergeCell ref="F826:G826"/>
    <mergeCell ref="F821:G821"/>
    <mergeCell ref="F820:G820"/>
    <mergeCell ref="F801:G801"/>
    <mergeCell ref="F809:G809"/>
    <mergeCell ref="F808:G808"/>
    <mergeCell ref="F703:G703"/>
    <mergeCell ref="F670:G670"/>
    <mergeCell ref="F633:G633"/>
    <mergeCell ref="F641:G641"/>
    <mergeCell ref="F677:G677"/>
    <mergeCell ref="H729:I729"/>
    <mergeCell ref="H728:I728"/>
    <mergeCell ref="H727:I727"/>
    <mergeCell ref="H667:I667"/>
    <mergeCell ref="H732:I732"/>
    <mergeCell ref="F566:G566"/>
    <mergeCell ref="H674:I674"/>
    <mergeCell ref="H688:I688"/>
    <mergeCell ref="H726:I726"/>
    <mergeCell ref="H690:I690"/>
    <mergeCell ref="F568:G568"/>
    <mergeCell ref="F638:G638"/>
    <mergeCell ref="F419:G419"/>
    <mergeCell ref="F337:G337"/>
    <mergeCell ref="F405:G405"/>
    <mergeCell ref="F134:G134"/>
    <mergeCell ref="F338:G338"/>
    <mergeCell ref="F137:G137"/>
    <mergeCell ref="F210:G210"/>
    <mergeCell ref="F281:G281"/>
    <mergeCell ref="F471:G471"/>
    <mergeCell ref="F491:G491"/>
    <mergeCell ref="F526:G526"/>
    <mergeCell ref="F553:G553"/>
    <mergeCell ref="F485:G485"/>
    <mergeCell ref="F530:G530"/>
    <mergeCell ref="F516:G516"/>
    <mergeCell ref="F487:G487"/>
    <mergeCell ref="H569:I569"/>
    <mergeCell ref="H626:I626"/>
    <mergeCell ref="H636:I636"/>
    <mergeCell ref="H628:I628"/>
    <mergeCell ref="H1119:I1119"/>
    <mergeCell ref="H1117:I1117"/>
    <mergeCell ref="F563:G563"/>
    <mergeCell ref="H745:I745"/>
    <mergeCell ref="H736:I736"/>
    <mergeCell ref="H566:I566"/>
    <mergeCell ref="H761:I761"/>
    <mergeCell ref="H1033:I1033"/>
    <mergeCell ref="H1031:I1031"/>
    <mergeCell ref="H1058:I1058"/>
    <mergeCell ref="F567:G567"/>
    <mergeCell ref="H1120:I1120"/>
    <mergeCell ref="H1125:I1125"/>
    <mergeCell ref="H844:I844"/>
    <mergeCell ref="H741:I741"/>
    <mergeCell ref="H753:I753"/>
    <mergeCell ref="H759:I759"/>
    <mergeCell ref="H755:I755"/>
    <mergeCell ref="H1026:I1026"/>
    <mergeCell ref="F593:G593"/>
    <mergeCell ref="H577:I577"/>
    <mergeCell ref="F565:G565"/>
    <mergeCell ref="H691:I691"/>
    <mergeCell ref="H721:I721"/>
    <mergeCell ref="H723:I723"/>
    <mergeCell ref="H680:I680"/>
    <mergeCell ref="H733:I733"/>
    <mergeCell ref="H734:I734"/>
    <mergeCell ref="H603:I603"/>
    <mergeCell ref="H746:I746"/>
    <mergeCell ref="H757:I757"/>
    <mergeCell ref="F631:G631"/>
    <mergeCell ref="H1268:I1268"/>
    <mergeCell ref="H1272:I1272"/>
    <mergeCell ref="C1259:E1259"/>
    <mergeCell ref="H1259:I1259"/>
    <mergeCell ref="F1160:G1160"/>
    <mergeCell ref="F1139:G1139"/>
    <mergeCell ref="F1156:G1156"/>
    <mergeCell ref="F1159:G1159"/>
    <mergeCell ref="C1257:E1257"/>
    <mergeCell ref="C1161:E1161"/>
    <mergeCell ref="F1161:G1161"/>
    <mergeCell ref="F1158:G1158"/>
    <mergeCell ref="C1209:E1209"/>
    <mergeCell ref="F1162:G1162"/>
    <mergeCell ref="H1165:I1165"/>
    <mergeCell ref="H1168:I1168"/>
    <mergeCell ref="H1183:I1183"/>
    <mergeCell ref="H1182:I1182"/>
    <mergeCell ref="H1176:I1176"/>
    <mergeCell ref="H1175:I1175"/>
    <mergeCell ref="H1170:I1170"/>
    <mergeCell ref="H1196:I1196"/>
    <mergeCell ref="H1191:I1191"/>
    <mergeCell ref="H1194:I1194"/>
    <mergeCell ref="H1185:I1185"/>
    <mergeCell ref="H1195:I1195"/>
    <mergeCell ref="H1193:I1193"/>
    <mergeCell ref="C1151:E1151"/>
    <mergeCell ref="C1147:E1147"/>
    <mergeCell ref="C1146:E1146"/>
    <mergeCell ref="F1144:G1144"/>
    <mergeCell ref="F1149:G1149"/>
    <mergeCell ref="F1137:G1137"/>
    <mergeCell ref="H1102:I1102"/>
    <mergeCell ref="H1108:I1108"/>
    <mergeCell ref="H1103:I1103"/>
    <mergeCell ref="H1111:I1111"/>
    <mergeCell ref="H765:I765"/>
    <mergeCell ref="H1303:I1303"/>
    <mergeCell ref="H1187:I1187"/>
    <mergeCell ref="H776:I776"/>
    <mergeCell ref="H775:I775"/>
    <mergeCell ref="H774:I774"/>
    <mergeCell ref="H849:I849"/>
    <mergeCell ref="H850:I850"/>
    <mergeCell ref="H856:I856"/>
    <mergeCell ref="H845:I845"/>
    <mergeCell ref="H1092:I1092"/>
    <mergeCell ref="H758:I758"/>
    <mergeCell ref="H1051:I1051"/>
    <mergeCell ref="H1107:I1107"/>
    <mergeCell ref="H980:I980"/>
    <mergeCell ref="H1105:I1105"/>
    <mergeCell ref="H995:I995"/>
    <mergeCell ref="H992:I992"/>
    <mergeCell ref="H1023:I1023"/>
    <mergeCell ref="H1060:I1060"/>
    <mergeCell ref="H1025:I1025"/>
    <mergeCell ref="H1069:I1069"/>
    <mergeCell ref="H1085:I1085"/>
    <mergeCell ref="F1155:G1155"/>
    <mergeCell ref="F1146:G1146"/>
    <mergeCell ref="H1124:I1124"/>
    <mergeCell ref="F1154:G1154"/>
    <mergeCell ref="F1153:G1153"/>
    <mergeCell ref="F651:G651"/>
    <mergeCell ref="F1151:G1151"/>
    <mergeCell ref="F1028:G1028"/>
    <mergeCell ref="F1082:G1082"/>
    <mergeCell ref="H1095:I1095"/>
    <mergeCell ref="H1064:I1064"/>
    <mergeCell ref="H1061:I1061"/>
    <mergeCell ref="H1138:I1138"/>
    <mergeCell ref="H1130:I1130"/>
    <mergeCell ref="H1063:I1063"/>
    <mergeCell ref="H1065:I1065"/>
    <mergeCell ref="H1073:I1073"/>
    <mergeCell ref="H1056:I1056"/>
    <mergeCell ref="H1062:I1062"/>
    <mergeCell ref="F1063:G1063"/>
    <mergeCell ref="F1057:G1057"/>
    <mergeCell ref="F1058:G1058"/>
    <mergeCell ref="H1068:I1068"/>
    <mergeCell ref="H1078:I1078"/>
    <mergeCell ref="H1080:I1080"/>
    <mergeCell ref="H1123:I1123"/>
    <mergeCell ref="H1118:I1118"/>
    <mergeCell ref="H1098:I1098"/>
    <mergeCell ref="H1101:I1101"/>
    <mergeCell ref="H982:I982"/>
    <mergeCell ref="H1034:I1034"/>
    <mergeCell ref="H1020:I1020"/>
    <mergeCell ref="H1030:I1030"/>
    <mergeCell ref="H1009:I1009"/>
    <mergeCell ref="H1001:I1001"/>
    <mergeCell ref="H1113:I1113"/>
    <mergeCell ref="H1019:I1019"/>
    <mergeCell ref="H998:I998"/>
    <mergeCell ref="H1016:I1016"/>
    <mergeCell ref="H1005:I1005"/>
    <mergeCell ref="H1013:I1013"/>
    <mergeCell ref="F1041:G1041"/>
    <mergeCell ref="F1043:G1043"/>
    <mergeCell ref="F1018:G1018"/>
    <mergeCell ref="F1030:G1030"/>
    <mergeCell ref="F1023:G1023"/>
    <mergeCell ref="H36:I36"/>
    <mergeCell ref="H37:I37"/>
    <mergeCell ref="H129:I129"/>
    <mergeCell ref="H321:I321"/>
    <mergeCell ref="F48:G48"/>
    <mergeCell ref="F468:G468"/>
    <mergeCell ref="H48:I48"/>
    <mergeCell ref="H983:I983"/>
    <mergeCell ref="H986:I986"/>
    <mergeCell ref="H210:I210"/>
    <mergeCell ref="F630:G630"/>
    <mergeCell ref="H119:I119"/>
    <mergeCell ref="H749:I749"/>
    <mergeCell ref="H756:I756"/>
    <mergeCell ref="F650:G650"/>
    <mergeCell ref="H738:I738"/>
    <mergeCell ref="H748:I748"/>
    <mergeCell ref="H725:I725"/>
    <mergeCell ref="H730:I730"/>
    <mergeCell ref="H742:I742"/>
    <mergeCell ref="H747:I747"/>
    <mergeCell ref="H750:I750"/>
    <mergeCell ref="F1074:G1074"/>
    <mergeCell ref="C1097:E1097"/>
    <mergeCell ref="H1084:I1084"/>
    <mergeCell ref="H1094:I1094"/>
    <mergeCell ref="C1085:E1085"/>
    <mergeCell ref="H1089:I1089"/>
    <mergeCell ref="C1093:E1093"/>
    <mergeCell ref="C1089:E1089"/>
    <mergeCell ref="H1079:I1079"/>
    <mergeCell ref="C1080:E1080"/>
    <mergeCell ref="C1084:E1084"/>
    <mergeCell ref="H1083:I1083"/>
    <mergeCell ref="H1074:I1074"/>
    <mergeCell ref="H1076:I1076"/>
    <mergeCell ref="H1077:I1077"/>
    <mergeCell ref="H1075:I1075"/>
    <mergeCell ref="H1112:I1112"/>
    <mergeCell ref="H1104:I1104"/>
    <mergeCell ref="H1091:I1091"/>
    <mergeCell ref="H1088:I1088"/>
    <mergeCell ref="H1081:I1081"/>
    <mergeCell ref="C1081:E1081"/>
    <mergeCell ref="C1076:E1076"/>
    <mergeCell ref="C1077:E1077"/>
    <mergeCell ref="C36:E36"/>
    <mergeCell ref="F36:G36"/>
    <mergeCell ref="C45:E45"/>
    <mergeCell ref="F45:G45"/>
    <mergeCell ref="F573:G573"/>
    <mergeCell ref="F557:G557"/>
    <mergeCell ref="C48:E48"/>
    <mergeCell ref="F46:G46"/>
    <mergeCell ref="F47:G47"/>
    <mergeCell ref="F42:G42"/>
    <mergeCell ref="C473:E473"/>
    <mergeCell ref="F18:G18"/>
    <mergeCell ref="H45:I45"/>
    <mergeCell ref="H43:I43"/>
    <mergeCell ref="H44:I44"/>
    <mergeCell ref="F43:G43"/>
    <mergeCell ref="H42:I42"/>
    <mergeCell ref="H462:I462"/>
    <mergeCell ref="H18:I18"/>
    <mergeCell ref="C19:E19"/>
    <mergeCell ref="F19:G19"/>
    <mergeCell ref="H19:I19"/>
    <mergeCell ref="F22:G22"/>
    <mergeCell ref="F21:G21"/>
    <mergeCell ref="C21:E21"/>
    <mergeCell ref="F20:G20"/>
    <mergeCell ref="H20:I20"/>
    <mergeCell ref="C20:E20"/>
    <mergeCell ref="H21:I21"/>
    <mergeCell ref="F37:G37"/>
    <mergeCell ref="C50:E50"/>
    <mergeCell ref="C37:E37"/>
    <mergeCell ref="C47:E47"/>
    <mergeCell ref="H50:I50"/>
    <mergeCell ref="C1341:E1341"/>
    <mergeCell ref="F1341:G1341"/>
    <mergeCell ref="H1341:I1341"/>
    <mergeCell ref="F474:G474"/>
    <mergeCell ref="H474:I474"/>
    <mergeCell ref="H1054:I1054"/>
    <mergeCell ref="H47:I47"/>
    <mergeCell ref="F50:G50"/>
    <mergeCell ref="H521:I521"/>
    <mergeCell ref="H473:I473"/>
    <mergeCell ref="H1082:I1082"/>
    <mergeCell ref="H1057:I1057"/>
    <mergeCell ref="H1049:I1049"/>
    <mergeCell ref="H1070:I1070"/>
    <mergeCell ref="H1072:I1072"/>
    <mergeCell ref="F1069:G1069"/>
    <mergeCell ref="H1071:I1071"/>
    <mergeCell ref="F1072:G1072"/>
    <mergeCell ref="H1053:I1053"/>
    <mergeCell ref="H1059:I1059"/>
    <mergeCell ref="H1055:I1055"/>
    <mergeCell ref="C1082:E1082"/>
    <mergeCell ref="C1100:E1100"/>
    <mergeCell ref="H1087:I1087"/>
    <mergeCell ref="H1096:I1096"/>
    <mergeCell ref="H1086:I1086"/>
    <mergeCell ref="H1093:I1093"/>
    <mergeCell ref="F1090:G1090"/>
    <mergeCell ref="H1090:I1090"/>
    <mergeCell ref="H1097:I1097"/>
  </mergeCells>
  <phoneticPr fontId="0" type="noConversion"/>
  <hyperlinks>
    <hyperlink ref="D5" r:id="rId1" xr:uid="{00000000-0004-0000-0100-000000000000}"/>
    <hyperlink ref="D7" r:id="rId2" display="Наш сайт: https://usm.dp.ua/ua/" xr:uid="{00000000-0004-0000-0100-000001000000}"/>
  </hyperlinks>
  <pageMargins left="0" right="0" top="0" bottom="0" header="0" footer="0"/>
  <pageSetup paperSize="9" orientation="portrait" verticalDpi="360" r:id="rId3"/>
  <headerFooter alignWithMargins="0"/>
  <drawing r:id="rId4"/>
  <legacy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30"/>
  <sheetViews>
    <sheetView zoomScale="120" zoomScaleNormal="120" workbookViewId="0">
      <pane ySplit="1" topLeftCell="A2" activePane="bottomLeft" state="frozen"/>
      <selection pane="bottomLeft" activeCell="D3" sqref="D3:H3"/>
    </sheetView>
  </sheetViews>
  <sheetFormatPr defaultColWidth="9.140625" defaultRowHeight="11.25" x14ac:dyDescent="0.2"/>
  <cols>
    <col min="1" max="1" width="4.28515625" style="17" customWidth="1"/>
    <col min="2" max="2" width="3.140625" style="101" customWidth="1"/>
    <col min="3" max="4" width="9.140625" style="17"/>
    <col min="5" max="5" width="51.85546875" style="17" customWidth="1"/>
    <col min="6" max="6" width="10.42578125" style="17" customWidth="1"/>
    <col min="7" max="7" width="3.5703125" style="17" customWidth="1"/>
    <col min="8" max="8" width="9" style="18" bestFit="1" customWidth="1"/>
    <col min="9" max="9" width="3.5703125" style="17" customWidth="1"/>
    <col min="10" max="16384" width="9.140625" style="17"/>
  </cols>
  <sheetData>
    <row r="1" spans="1:9" ht="20.100000000000001" customHeight="1" x14ac:dyDescent="0.2">
      <c r="C1" s="181" t="s">
        <v>5410</v>
      </c>
      <c r="D1" s="258"/>
      <c r="E1" s="258"/>
      <c r="F1" s="258"/>
      <c r="G1" s="258"/>
      <c r="H1" s="259"/>
    </row>
    <row r="2" spans="1:9" ht="24" customHeight="1" x14ac:dyDescent="0.2">
      <c r="C2" s="184" t="s">
        <v>5411</v>
      </c>
      <c r="D2" s="258"/>
      <c r="E2" s="258"/>
      <c r="F2" s="258"/>
      <c r="G2" s="258"/>
      <c r="H2" s="259"/>
    </row>
    <row r="3" spans="1:9" ht="23.1" customHeight="1" x14ac:dyDescent="0.2">
      <c r="D3" s="185"/>
      <c r="E3" s="258"/>
      <c r="F3" s="258"/>
      <c r="G3" s="258"/>
      <c r="H3" s="259"/>
    </row>
    <row r="4" spans="1:9" ht="21.95" customHeight="1" x14ac:dyDescent="0.2">
      <c r="D4" s="185" t="s">
        <v>5412</v>
      </c>
      <c r="E4" s="258"/>
      <c r="F4" s="258"/>
      <c r="G4" s="258"/>
      <c r="H4" s="259"/>
    </row>
    <row r="5" spans="1:9" ht="23.1" customHeight="1" x14ac:dyDescent="0.2">
      <c r="D5" s="186" t="s">
        <v>5413</v>
      </c>
      <c r="E5" s="258"/>
      <c r="F5" s="258"/>
      <c r="G5" s="258"/>
      <c r="H5" s="259"/>
    </row>
    <row r="6" spans="1:9" ht="14.1" customHeight="1" x14ac:dyDescent="0.2"/>
    <row r="7" spans="1:9" ht="21.95" customHeight="1" x14ac:dyDescent="0.2">
      <c r="D7" s="186" t="s">
        <v>5418</v>
      </c>
      <c r="E7" s="258"/>
      <c r="F7" s="258"/>
      <c r="G7" s="258"/>
      <c r="H7" s="259"/>
    </row>
    <row r="8" spans="1:9" ht="12.95" customHeight="1" x14ac:dyDescent="0.2"/>
    <row r="9" spans="1:9" s="16" customFormat="1" ht="18.75" customHeight="1" thickBot="1" x14ac:dyDescent="0.3">
      <c r="A9" s="98" t="s">
        <v>78</v>
      </c>
      <c r="B9" s="99"/>
      <c r="C9" s="256" t="s">
        <v>5414</v>
      </c>
      <c r="D9" s="257"/>
      <c r="E9" s="257"/>
      <c r="F9" s="249" t="s">
        <v>77</v>
      </c>
      <c r="G9" s="250"/>
      <c r="H9" s="246" t="s">
        <v>79</v>
      </c>
      <c r="I9" s="247"/>
    </row>
    <row r="10" spans="1:9" ht="11.25" customHeight="1" x14ac:dyDescent="0.2">
      <c r="A10" s="19">
        <v>1</v>
      </c>
      <c r="B10" s="100"/>
      <c r="C10" s="251" t="s">
        <v>1158</v>
      </c>
      <c r="D10" s="252"/>
      <c r="E10" s="253"/>
      <c r="F10" s="254" t="s">
        <v>677</v>
      </c>
      <c r="G10" s="255"/>
      <c r="H10" s="248">
        <f>33.4-1</f>
        <v>32.4</v>
      </c>
      <c r="I10" s="248"/>
    </row>
    <row r="11" spans="1:9" ht="11.25" customHeight="1" x14ac:dyDescent="0.2">
      <c r="A11" s="19">
        <v>2</v>
      </c>
      <c r="B11" s="100"/>
      <c r="C11" s="219" t="s">
        <v>2562</v>
      </c>
      <c r="D11" s="220"/>
      <c r="E11" s="221"/>
      <c r="F11" s="222" t="s">
        <v>677</v>
      </c>
      <c r="G11" s="223"/>
      <c r="H11" s="230">
        <f>25.1-1</f>
        <v>24.1</v>
      </c>
      <c r="I11" s="230"/>
    </row>
    <row r="12" spans="1:9" ht="11.25" customHeight="1" x14ac:dyDescent="0.2">
      <c r="A12" s="19">
        <v>3</v>
      </c>
      <c r="B12" s="100" t="s">
        <v>741</v>
      </c>
      <c r="C12" s="219" t="s">
        <v>2561</v>
      </c>
      <c r="D12" s="220"/>
      <c r="E12" s="221"/>
      <c r="F12" s="222" t="s">
        <v>677</v>
      </c>
      <c r="G12" s="223"/>
      <c r="H12" s="230">
        <v>43</v>
      </c>
      <c r="I12" s="230"/>
    </row>
    <row r="13" spans="1:9" ht="11.25" customHeight="1" x14ac:dyDescent="0.2">
      <c r="A13" s="19">
        <v>4</v>
      </c>
      <c r="B13" s="100"/>
      <c r="C13" s="219" t="s">
        <v>1488</v>
      </c>
      <c r="D13" s="220"/>
      <c r="E13" s="221"/>
      <c r="F13" s="222" t="s">
        <v>70</v>
      </c>
      <c r="G13" s="223"/>
      <c r="H13" s="230">
        <v>3.3</v>
      </c>
      <c r="I13" s="230"/>
    </row>
    <row r="14" spans="1:9" ht="11.25" customHeight="1" x14ac:dyDescent="0.2">
      <c r="A14" s="19">
        <v>5</v>
      </c>
      <c r="B14" s="100"/>
      <c r="C14" s="219" t="s">
        <v>4504</v>
      </c>
      <c r="D14" s="220"/>
      <c r="E14" s="221"/>
      <c r="F14" s="222" t="s">
        <v>70</v>
      </c>
      <c r="G14" s="223"/>
      <c r="H14" s="230">
        <v>44.3</v>
      </c>
      <c r="I14" s="230"/>
    </row>
    <row r="15" spans="1:9" ht="11.25" customHeight="1" x14ac:dyDescent="0.2">
      <c r="A15" s="19">
        <v>6</v>
      </c>
      <c r="B15" s="100"/>
      <c r="C15" s="219" t="s">
        <v>2147</v>
      </c>
      <c r="D15" s="220"/>
      <c r="E15" s="221"/>
      <c r="F15" s="222" t="s">
        <v>70</v>
      </c>
      <c r="G15" s="223"/>
      <c r="H15" s="224">
        <f>84.5-5+45.9-12-2-0.1-20-4-20.7-1.2</f>
        <v>65.400000000000006</v>
      </c>
      <c r="I15" s="224"/>
    </row>
    <row r="16" spans="1:9" ht="11.25" customHeight="1" x14ac:dyDescent="0.2">
      <c r="A16" s="19">
        <v>7</v>
      </c>
      <c r="B16" s="100" t="s">
        <v>741</v>
      </c>
      <c r="C16" s="219" t="s">
        <v>2325</v>
      </c>
      <c r="D16" s="220"/>
      <c r="E16" s="221"/>
      <c r="F16" s="222" t="s">
        <v>318</v>
      </c>
      <c r="G16" s="223"/>
      <c r="H16" s="224">
        <f>92.2-20-29.2-0.1</f>
        <v>42.9</v>
      </c>
      <c r="I16" s="224"/>
    </row>
    <row r="17" spans="1:9" ht="11.25" customHeight="1" x14ac:dyDescent="0.2">
      <c r="A17" s="19">
        <v>8</v>
      </c>
      <c r="B17" s="100" t="s">
        <v>741</v>
      </c>
      <c r="C17" s="219" t="s">
        <v>2402</v>
      </c>
      <c r="D17" s="220"/>
      <c r="E17" s="221"/>
      <c r="F17" s="222" t="s">
        <v>115</v>
      </c>
      <c r="G17" s="223"/>
      <c r="H17" s="224">
        <v>1</v>
      </c>
      <c r="I17" s="224"/>
    </row>
    <row r="18" spans="1:9" ht="11.25" customHeight="1" x14ac:dyDescent="0.2">
      <c r="A18" s="19">
        <v>9</v>
      </c>
      <c r="B18" s="100"/>
      <c r="C18" s="219" t="s">
        <v>2299</v>
      </c>
      <c r="D18" s="220"/>
      <c r="E18" s="221"/>
      <c r="F18" s="222" t="s">
        <v>795</v>
      </c>
      <c r="G18" s="223"/>
      <c r="H18" s="230">
        <f>6.7-1</f>
        <v>5.7</v>
      </c>
      <c r="I18" s="230"/>
    </row>
    <row r="19" spans="1:9" ht="11.25" customHeight="1" x14ac:dyDescent="0.2">
      <c r="A19" s="19">
        <v>10</v>
      </c>
      <c r="B19" s="100"/>
      <c r="C19" s="219" t="s">
        <v>1375</v>
      </c>
      <c r="D19" s="220"/>
      <c r="E19" s="221"/>
      <c r="F19" s="222" t="s">
        <v>677</v>
      </c>
      <c r="G19" s="223"/>
      <c r="H19" s="230">
        <v>13.6</v>
      </c>
      <c r="I19" s="230"/>
    </row>
    <row r="20" spans="1:9" ht="11.25" customHeight="1" x14ac:dyDescent="0.2">
      <c r="A20" s="19">
        <v>11</v>
      </c>
      <c r="B20" s="100" t="s">
        <v>2200</v>
      </c>
      <c r="C20" s="219" t="s">
        <v>4611</v>
      </c>
      <c r="D20" s="220"/>
      <c r="E20" s="221"/>
      <c r="F20" s="222" t="s">
        <v>70</v>
      </c>
      <c r="G20" s="223"/>
      <c r="H20" s="224">
        <f>45.9-5-5.5</f>
        <v>35.4</v>
      </c>
      <c r="I20" s="224"/>
    </row>
    <row r="21" spans="1:9" ht="11.25" customHeight="1" x14ac:dyDescent="0.2">
      <c r="A21" s="19">
        <v>12</v>
      </c>
      <c r="B21" s="100"/>
      <c r="C21" s="219" t="s">
        <v>4287</v>
      </c>
      <c r="D21" s="220"/>
      <c r="E21" s="221"/>
      <c r="F21" s="222" t="s">
        <v>70</v>
      </c>
      <c r="G21" s="223"/>
      <c r="H21" s="224">
        <f>21.5-0.6-2-5-10</f>
        <v>3.8999999999999986</v>
      </c>
      <c r="I21" s="224"/>
    </row>
    <row r="22" spans="1:9" ht="11.25" customHeight="1" x14ac:dyDescent="0.2">
      <c r="A22" s="19">
        <v>13</v>
      </c>
      <c r="B22" s="100"/>
      <c r="C22" s="219" t="s">
        <v>1094</v>
      </c>
      <c r="D22" s="220"/>
      <c r="E22" s="221"/>
      <c r="F22" s="222" t="s">
        <v>70</v>
      </c>
      <c r="G22" s="223"/>
      <c r="H22" s="224">
        <f>11.4-1</f>
        <v>10.4</v>
      </c>
      <c r="I22" s="224"/>
    </row>
    <row r="23" spans="1:9" ht="11.25" customHeight="1" x14ac:dyDescent="0.2">
      <c r="A23" s="19">
        <v>14</v>
      </c>
      <c r="B23" s="100"/>
      <c r="C23" s="219" t="s">
        <v>1240</v>
      </c>
      <c r="D23" s="220"/>
      <c r="E23" s="221"/>
      <c r="F23" s="222" t="s">
        <v>70</v>
      </c>
      <c r="G23" s="223"/>
      <c r="H23" s="224">
        <f>50.2-6-0.1-20.2</f>
        <v>23.900000000000002</v>
      </c>
      <c r="I23" s="224"/>
    </row>
    <row r="24" spans="1:9" ht="11.25" customHeight="1" x14ac:dyDescent="0.2">
      <c r="A24" s="19">
        <v>15</v>
      </c>
      <c r="B24" s="100"/>
      <c r="C24" s="219" t="s">
        <v>713</v>
      </c>
      <c r="D24" s="220"/>
      <c r="E24" s="221"/>
      <c r="F24" s="222" t="s">
        <v>70</v>
      </c>
      <c r="G24" s="223"/>
      <c r="H24" s="224">
        <v>61.8</v>
      </c>
      <c r="I24" s="224"/>
    </row>
    <row r="25" spans="1:9" ht="11.25" customHeight="1" x14ac:dyDescent="0.2">
      <c r="A25" s="19">
        <v>16</v>
      </c>
      <c r="B25" s="100"/>
      <c r="C25" s="219" t="s">
        <v>3820</v>
      </c>
      <c r="D25" s="220"/>
      <c r="E25" s="221"/>
      <c r="F25" s="222" t="s">
        <v>70</v>
      </c>
      <c r="G25" s="223"/>
      <c r="H25" s="224">
        <f>30-10-1-0.5-3-1-3-2+1.8-5.1+0.4</f>
        <v>6.6000000000000014</v>
      </c>
      <c r="I25" s="224"/>
    </row>
    <row r="26" spans="1:9" ht="11.25" customHeight="1" x14ac:dyDescent="0.2">
      <c r="A26" s="19">
        <v>17</v>
      </c>
      <c r="B26" s="100"/>
      <c r="C26" s="219" t="s">
        <v>1527</v>
      </c>
      <c r="D26" s="220"/>
      <c r="E26" s="221"/>
      <c r="F26" s="222" t="s">
        <v>70</v>
      </c>
      <c r="G26" s="223"/>
      <c r="H26" s="224">
        <v>2.4</v>
      </c>
      <c r="I26" s="224"/>
    </row>
    <row r="27" spans="1:9" ht="11.25" customHeight="1" x14ac:dyDescent="0.2">
      <c r="A27" s="19">
        <v>18</v>
      </c>
      <c r="B27" s="100"/>
      <c r="C27" s="219" t="s">
        <v>1178</v>
      </c>
      <c r="D27" s="220"/>
      <c r="E27" s="221"/>
      <c r="F27" s="222" t="s">
        <v>318</v>
      </c>
      <c r="G27" s="223"/>
      <c r="H27" s="230">
        <f>29.4-2-15.3</f>
        <v>12.099999999999998</v>
      </c>
      <c r="I27" s="230"/>
    </row>
    <row r="28" spans="1:9" ht="11.25" customHeight="1" x14ac:dyDescent="0.2">
      <c r="A28" s="19">
        <v>19</v>
      </c>
      <c r="B28" s="100" t="s">
        <v>741</v>
      </c>
      <c r="C28" s="219" t="s">
        <v>4433</v>
      </c>
      <c r="D28" s="220"/>
      <c r="E28" s="221"/>
      <c r="F28" s="222" t="s">
        <v>297</v>
      </c>
      <c r="G28" s="223"/>
      <c r="H28" s="230">
        <v>22.8</v>
      </c>
      <c r="I28" s="230"/>
    </row>
    <row r="29" spans="1:9" ht="11.25" customHeight="1" x14ac:dyDescent="0.2">
      <c r="A29" s="19">
        <v>20</v>
      </c>
      <c r="B29" s="100"/>
      <c r="C29" s="219" t="s">
        <v>3697</v>
      </c>
      <c r="D29" s="220"/>
      <c r="E29" s="221"/>
      <c r="F29" s="222" t="s">
        <v>1038</v>
      </c>
      <c r="G29" s="223"/>
      <c r="H29" s="230">
        <f>38.7-5.3-0.9-1-3.2</f>
        <v>28.300000000000008</v>
      </c>
      <c r="I29" s="230"/>
    </row>
    <row r="30" spans="1:9" ht="11.25" customHeight="1" x14ac:dyDescent="0.2">
      <c r="A30" s="19">
        <v>21</v>
      </c>
      <c r="B30" s="100" t="s">
        <v>2200</v>
      </c>
      <c r="C30" s="219" t="s">
        <v>2655</v>
      </c>
      <c r="D30" s="220"/>
      <c r="E30" s="221"/>
      <c r="F30" s="222" t="s">
        <v>70</v>
      </c>
      <c r="G30" s="223"/>
      <c r="H30" s="224">
        <v>20.2</v>
      </c>
      <c r="I30" s="224"/>
    </row>
    <row r="31" spans="1:9" ht="11.25" customHeight="1" x14ac:dyDescent="0.2">
      <c r="A31" s="19">
        <v>22</v>
      </c>
      <c r="B31" s="100"/>
      <c r="C31" s="219" t="s">
        <v>3080</v>
      </c>
      <c r="D31" s="220"/>
      <c r="E31" s="221"/>
      <c r="F31" s="222" t="s">
        <v>318</v>
      </c>
      <c r="G31" s="223"/>
      <c r="H31" s="230">
        <f>27.6-0.8-1-9.5-1.15-1.1</f>
        <v>14.05</v>
      </c>
      <c r="I31" s="230"/>
    </row>
    <row r="32" spans="1:9" ht="11.25" customHeight="1" x14ac:dyDescent="0.2">
      <c r="A32" s="19">
        <v>23</v>
      </c>
      <c r="B32" s="100"/>
      <c r="C32" s="219" t="s">
        <v>4540</v>
      </c>
      <c r="D32" s="220"/>
      <c r="E32" s="221"/>
      <c r="F32" s="222" t="s">
        <v>677</v>
      </c>
      <c r="G32" s="223"/>
      <c r="H32" s="230">
        <f>51.2-0.5-1-1.2-0.6</f>
        <v>47.9</v>
      </c>
      <c r="I32" s="230"/>
    </row>
    <row r="33" spans="1:9" ht="11.25" customHeight="1" x14ac:dyDescent="0.2">
      <c r="A33" s="19">
        <v>24</v>
      </c>
      <c r="B33" s="100"/>
      <c r="C33" s="219" t="s">
        <v>1051</v>
      </c>
      <c r="D33" s="220"/>
      <c r="E33" s="221"/>
      <c r="F33" s="222" t="s">
        <v>297</v>
      </c>
      <c r="G33" s="223"/>
      <c r="H33" s="230">
        <f>20.5-1.3</f>
        <v>19.2</v>
      </c>
      <c r="I33" s="230"/>
    </row>
    <row r="34" spans="1:9" ht="11.25" customHeight="1" x14ac:dyDescent="0.2">
      <c r="A34" s="19">
        <v>25</v>
      </c>
      <c r="B34" s="100"/>
      <c r="C34" s="219" t="s">
        <v>1057</v>
      </c>
      <c r="D34" s="220"/>
      <c r="E34" s="221"/>
      <c r="F34" s="222" t="s">
        <v>297</v>
      </c>
      <c r="G34" s="223"/>
      <c r="H34" s="230">
        <v>2.8</v>
      </c>
      <c r="I34" s="230"/>
    </row>
    <row r="35" spans="1:9" ht="11.25" customHeight="1" x14ac:dyDescent="0.2">
      <c r="A35" s="19">
        <v>26</v>
      </c>
      <c r="B35" s="100"/>
      <c r="C35" s="219" t="s">
        <v>1056</v>
      </c>
      <c r="D35" s="220"/>
      <c r="E35" s="221"/>
      <c r="F35" s="222" t="s">
        <v>297</v>
      </c>
      <c r="G35" s="223"/>
      <c r="H35" s="230">
        <v>1.2</v>
      </c>
      <c r="I35" s="230"/>
    </row>
    <row r="36" spans="1:9" ht="11.25" customHeight="1" x14ac:dyDescent="0.2">
      <c r="A36" s="19">
        <v>27</v>
      </c>
      <c r="B36" s="100"/>
      <c r="C36" s="219" t="s">
        <v>508</v>
      </c>
      <c r="D36" s="220"/>
      <c r="E36" s="221"/>
      <c r="F36" s="222" t="s">
        <v>70</v>
      </c>
      <c r="G36" s="223"/>
      <c r="H36" s="230">
        <f>36.2-1-5-1.9</f>
        <v>28.300000000000004</v>
      </c>
      <c r="I36" s="230"/>
    </row>
    <row r="37" spans="1:9" ht="11.25" customHeight="1" x14ac:dyDescent="0.2">
      <c r="A37" s="19">
        <v>28</v>
      </c>
      <c r="B37" s="100"/>
      <c r="C37" s="219" t="s">
        <v>1068</v>
      </c>
      <c r="D37" s="220"/>
      <c r="E37" s="221"/>
      <c r="F37" s="222" t="s">
        <v>1069</v>
      </c>
      <c r="G37" s="223"/>
      <c r="H37" s="230">
        <v>12.4</v>
      </c>
      <c r="I37" s="230"/>
    </row>
    <row r="38" spans="1:9" ht="12.75" customHeight="1" x14ac:dyDescent="0.2">
      <c r="A38" s="19">
        <v>29</v>
      </c>
      <c r="B38" s="100"/>
      <c r="C38" s="219" t="s">
        <v>1902</v>
      </c>
      <c r="D38" s="220"/>
      <c r="E38" s="221"/>
      <c r="F38" s="217" t="s">
        <v>1900</v>
      </c>
      <c r="G38" s="218"/>
      <c r="H38" s="215">
        <v>19.600000000000001</v>
      </c>
      <c r="I38" s="216"/>
    </row>
    <row r="39" spans="1:9" ht="11.25" customHeight="1" x14ac:dyDescent="0.2">
      <c r="A39" s="19">
        <v>30</v>
      </c>
      <c r="B39" s="100"/>
      <c r="C39" s="219" t="s">
        <v>832</v>
      </c>
      <c r="D39" s="220"/>
      <c r="E39" s="221"/>
      <c r="F39" s="222" t="s">
        <v>70</v>
      </c>
      <c r="G39" s="223"/>
      <c r="H39" s="230">
        <v>26.6</v>
      </c>
      <c r="I39" s="230"/>
    </row>
    <row r="40" spans="1:9" ht="11.25" customHeight="1" x14ac:dyDescent="0.2">
      <c r="A40" s="19">
        <v>31</v>
      </c>
      <c r="B40" s="100"/>
      <c r="C40" s="219" t="s">
        <v>1039</v>
      </c>
      <c r="D40" s="220"/>
      <c r="E40" s="221"/>
      <c r="F40" s="222" t="s">
        <v>1040</v>
      </c>
      <c r="G40" s="223"/>
      <c r="H40" s="230">
        <v>14.5</v>
      </c>
      <c r="I40" s="230"/>
    </row>
    <row r="41" spans="1:9" ht="11.25" customHeight="1" x14ac:dyDescent="0.2">
      <c r="A41" s="19">
        <v>32</v>
      </c>
      <c r="B41" s="100" t="s">
        <v>1624</v>
      </c>
      <c r="C41" s="219" t="s">
        <v>2653</v>
      </c>
      <c r="D41" s="220"/>
      <c r="E41" s="221"/>
      <c r="F41" s="222" t="s">
        <v>2654</v>
      </c>
      <c r="G41" s="223"/>
      <c r="H41" s="230">
        <v>37</v>
      </c>
      <c r="I41" s="230"/>
    </row>
    <row r="42" spans="1:9" ht="11.25" customHeight="1" x14ac:dyDescent="0.2">
      <c r="A42" s="19">
        <v>33</v>
      </c>
      <c r="B42" s="100" t="s">
        <v>3601</v>
      </c>
      <c r="C42" s="231" t="s">
        <v>4469</v>
      </c>
      <c r="D42" s="232"/>
      <c r="E42" s="233"/>
      <c r="F42" s="222" t="s">
        <v>70</v>
      </c>
      <c r="G42" s="223"/>
      <c r="H42" s="225">
        <v>1.6</v>
      </c>
      <c r="I42" s="226"/>
    </row>
    <row r="43" spans="1:9" ht="11.25" customHeight="1" x14ac:dyDescent="0.2">
      <c r="A43" s="19">
        <v>34</v>
      </c>
      <c r="B43" s="100"/>
      <c r="C43" s="231" t="s">
        <v>4039</v>
      </c>
      <c r="D43" s="232"/>
      <c r="E43" s="233"/>
      <c r="F43" s="222" t="s">
        <v>70</v>
      </c>
      <c r="G43" s="223"/>
      <c r="H43" s="225">
        <v>2.9</v>
      </c>
      <c r="I43" s="226"/>
    </row>
    <row r="44" spans="1:9" ht="11.25" customHeight="1" x14ac:dyDescent="0.2">
      <c r="A44" s="19">
        <v>35</v>
      </c>
      <c r="B44" s="100"/>
      <c r="C44" s="231" t="s">
        <v>4038</v>
      </c>
      <c r="D44" s="232"/>
      <c r="E44" s="233"/>
      <c r="F44" s="222" t="s">
        <v>70</v>
      </c>
      <c r="G44" s="223"/>
      <c r="H44" s="225">
        <v>28</v>
      </c>
      <c r="I44" s="226"/>
    </row>
    <row r="45" spans="1:9" ht="11.25" customHeight="1" x14ac:dyDescent="0.2">
      <c r="A45" s="19">
        <v>36</v>
      </c>
      <c r="B45" s="100" t="s">
        <v>741</v>
      </c>
      <c r="C45" s="227" t="s">
        <v>2188</v>
      </c>
      <c r="D45" s="228"/>
      <c r="E45" s="229"/>
      <c r="F45" s="217" t="s">
        <v>70</v>
      </c>
      <c r="G45" s="218"/>
      <c r="H45" s="215">
        <f>3.7-1.1</f>
        <v>2.6</v>
      </c>
      <c r="I45" s="216"/>
    </row>
    <row r="46" spans="1:9" ht="11.25" customHeight="1" x14ac:dyDescent="0.2">
      <c r="A46" s="19">
        <v>37</v>
      </c>
      <c r="B46" s="100" t="s">
        <v>741</v>
      </c>
      <c r="C46" s="227" t="s">
        <v>1200</v>
      </c>
      <c r="D46" s="228"/>
      <c r="E46" s="229"/>
      <c r="F46" s="217" t="s">
        <v>318</v>
      </c>
      <c r="G46" s="218"/>
      <c r="H46" s="215">
        <v>0.1</v>
      </c>
      <c r="I46" s="216"/>
    </row>
    <row r="47" spans="1:9" ht="11.25" customHeight="1" x14ac:dyDescent="0.2">
      <c r="A47" s="19">
        <v>38</v>
      </c>
      <c r="B47" s="100" t="s">
        <v>741</v>
      </c>
      <c r="C47" s="227" t="s">
        <v>1199</v>
      </c>
      <c r="D47" s="228"/>
      <c r="E47" s="229"/>
      <c r="F47" s="217" t="s">
        <v>70</v>
      </c>
      <c r="G47" s="218"/>
      <c r="H47" s="215">
        <v>0.3</v>
      </c>
      <c r="I47" s="216"/>
    </row>
    <row r="48" spans="1:9" ht="11.25" customHeight="1" x14ac:dyDescent="0.2">
      <c r="A48" s="19">
        <v>39</v>
      </c>
      <c r="B48" s="100" t="s">
        <v>741</v>
      </c>
      <c r="C48" s="227" t="s">
        <v>3550</v>
      </c>
      <c r="D48" s="228"/>
      <c r="E48" s="229"/>
      <c r="F48" s="217" t="s">
        <v>70</v>
      </c>
      <c r="G48" s="218"/>
      <c r="H48" s="215">
        <f>3.9-2.8</f>
        <v>1.1000000000000001</v>
      </c>
      <c r="I48" s="216"/>
    </row>
    <row r="49" spans="1:9" ht="11.25" customHeight="1" x14ac:dyDescent="0.2">
      <c r="A49" s="19">
        <v>40</v>
      </c>
      <c r="B49" s="100"/>
      <c r="C49" s="227" t="s">
        <v>869</v>
      </c>
      <c r="D49" s="228"/>
      <c r="E49" s="229"/>
      <c r="F49" s="217" t="s">
        <v>70</v>
      </c>
      <c r="G49" s="218"/>
      <c r="H49" s="215">
        <v>1.3</v>
      </c>
      <c r="I49" s="216"/>
    </row>
    <row r="50" spans="1:9" ht="11.25" customHeight="1" x14ac:dyDescent="0.2">
      <c r="A50" s="19">
        <v>41</v>
      </c>
      <c r="B50" s="100"/>
      <c r="C50" s="227" t="s">
        <v>817</v>
      </c>
      <c r="D50" s="228"/>
      <c r="E50" s="229"/>
      <c r="F50" s="217" t="s">
        <v>70</v>
      </c>
      <c r="G50" s="218"/>
      <c r="H50" s="215">
        <v>200</v>
      </c>
      <c r="I50" s="216"/>
    </row>
    <row r="51" spans="1:9" ht="12.75" customHeight="1" x14ac:dyDescent="0.2">
      <c r="A51" s="19">
        <v>42</v>
      </c>
      <c r="B51" s="100"/>
      <c r="C51" s="227" t="s">
        <v>1107</v>
      </c>
      <c r="D51" s="228"/>
      <c r="E51" s="229"/>
      <c r="F51" s="217" t="s">
        <v>70</v>
      </c>
      <c r="G51" s="218"/>
      <c r="H51" s="215">
        <v>1.2</v>
      </c>
      <c r="I51" s="216"/>
    </row>
    <row r="52" spans="1:9" ht="11.25" customHeight="1" x14ac:dyDescent="0.2">
      <c r="A52" s="19">
        <v>43</v>
      </c>
      <c r="B52" s="100" t="s">
        <v>741</v>
      </c>
      <c r="C52" s="227" t="s">
        <v>2599</v>
      </c>
      <c r="D52" s="228"/>
      <c r="E52" s="229"/>
      <c r="F52" s="217" t="s">
        <v>70</v>
      </c>
      <c r="G52" s="218"/>
      <c r="H52" s="215">
        <f>5.2-0.4</f>
        <v>4.8</v>
      </c>
      <c r="I52" s="216"/>
    </row>
    <row r="53" spans="1:9" ht="11.25" customHeight="1" x14ac:dyDescent="0.2">
      <c r="A53" s="19">
        <v>44</v>
      </c>
      <c r="B53" s="100"/>
      <c r="C53" s="227" t="s">
        <v>2408</v>
      </c>
      <c r="D53" s="228"/>
      <c r="E53" s="229"/>
      <c r="F53" s="217" t="s">
        <v>124</v>
      </c>
      <c r="G53" s="218"/>
      <c r="H53" s="215">
        <f>238-1-0.9</f>
        <v>236.1</v>
      </c>
      <c r="I53" s="216"/>
    </row>
    <row r="54" spans="1:9" ht="12.75" customHeight="1" x14ac:dyDescent="0.2">
      <c r="A54" s="19">
        <v>45</v>
      </c>
      <c r="B54" s="100"/>
      <c r="C54" s="227" t="s">
        <v>1105</v>
      </c>
      <c r="D54" s="228"/>
      <c r="E54" s="229"/>
      <c r="F54" s="217" t="s">
        <v>695</v>
      </c>
      <c r="G54" s="218"/>
      <c r="H54" s="215">
        <v>27</v>
      </c>
      <c r="I54" s="216"/>
    </row>
    <row r="55" spans="1:9" ht="12.75" customHeight="1" x14ac:dyDescent="0.2">
      <c r="A55" s="19">
        <v>46</v>
      </c>
      <c r="B55" s="100"/>
      <c r="C55" s="227" t="s">
        <v>2666</v>
      </c>
      <c r="D55" s="228"/>
      <c r="E55" s="229"/>
      <c r="F55" s="217" t="s">
        <v>124</v>
      </c>
      <c r="G55" s="218"/>
      <c r="H55" s="215">
        <f>397.3-1.8</f>
        <v>395.5</v>
      </c>
      <c r="I55" s="216"/>
    </row>
    <row r="56" spans="1:9" ht="12.75" customHeight="1" x14ac:dyDescent="0.2">
      <c r="A56" s="19">
        <v>47</v>
      </c>
      <c r="B56" s="100" t="s">
        <v>741</v>
      </c>
      <c r="C56" s="227" t="s">
        <v>3361</v>
      </c>
      <c r="D56" s="228"/>
      <c r="E56" s="229"/>
      <c r="F56" s="217" t="s">
        <v>70</v>
      </c>
      <c r="G56" s="218"/>
      <c r="H56" s="215">
        <v>2.2000000000000002</v>
      </c>
      <c r="I56" s="216"/>
    </row>
    <row r="57" spans="1:9" ht="12.75" customHeight="1" x14ac:dyDescent="0.2">
      <c r="A57" s="19">
        <v>48</v>
      </c>
      <c r="B57" s="100"/>
      <c r="C57" s="227" t="s">
        <v>4508</v>
      </c>
      <c r="D57" s="228"/>
      <c r="E57" s="229"/>
      <c r="F57" s="217" t="s">
        <v>695</v>
      </c>
      <c r="G57" s="218"/>
      <c r="H57" s="215">
        <f>39.7-5.3-2.2-2.6</f>
        <v>29.6</v>
      </c>
      <c r="I57" s="216"/>
    </row>
    <row r="58" spans="1:9" ht="12.75" customHeight="1" x14ac:dyDescent="0.2">
      <c r="A58" s="19">
        <v>49</v>
      </c>
      <c r="B58" s="100"/>
      <c r="C58" s="227" t="s">
        <v>1760</v>
      </c>
      <c r="D58" s="228"/>
      <c r="E58" s="229"/>
      <c r="F58" s="217" t="s">
        <v>1759</v>
      </c>
      <c r="G58" s="218"/>
      <c r="H58" s="215">
        <v>5.2</v>
      </c>
      <c r="I58" s="216"/>
    </row>
    <row r="59" spans="1:9" ht="12.75" customHeight="1" x14ac:dyDescent="0.2">
      <c r="A59" s="19">
        <v>50</v>
      </c>
      <c r="B59" s="100"/>
      <c r="C59" s="227" t="s">
        <v>3430</v>
      </c>
      <c r="D59" s="228"/>
      <c r="E59" s="229"/>
      <c r="F59" s="217" t="s">
        <v>115</v>
      </c>
      <c r="G59" s="218"/>
      <c r="H59" s="215">
        <f>120.3-6.8-2.6-2.6-2.8-3.4-6.9-26.8-19.8</f>
        <v>48.600000000000009</v>
      </c>
      <c r="I59" s="216"/>
    </row>
    <row r="60" spans="1:9" ht="12.75" x14ac:dyDescent="0.2">
      <c r="A60" s="19">
        <v>51</v>
      </c>
      <c r="B60" s="100"/>
      <c r="C60" s="234" t="s">
        <v>2209</v>
      </c>
      <c r="D60" s="118"/>
      <c r="E60" s="235"/>
      <c r="F60" s="189" t="s">
        <v>388</v>
      </c>
      <c r="G60" s="122"/>
      <c r="H60" s="115">
        <f>150-4.9-5.1-3-4.5-8.3-4.2-5.2-20-2.6</f>
        <v>92.2</v>
      </c>
      <c r="I60" s="116"/>
    </row>
    <row r="61" spans="1:9" ht="12.75" customHeight="1" x14ac:dyDescent="0.2">
      <c r="A61" s="19">
        <v>52</v>
      </c>
      <c r="B61" s="100"/>
      <c r="C61" s="227" t="s">
        <v>1704</v>
      </c>
      <c r="D61" s="228"/>
      <c r="E61" s="229"/>
      <c r="F61" s="217" t="s">
        <v>115</v>
      </c>
      <c r="G61" s="218"/>
      <c r="H61" s="215">
        <f>115.6-3.6+3.2</f>
        <v>115.2</v>
      </c>
      <c r="I61" s="216"/>
    </row>
    <row r="62" spans="1:9" ht="12.75" customHeight="1" x14ac:dyDescent="0.2">
      <c r="A62" s="19">
        <v>53</v>
      </c>
      <c r="B62" s="100" t="s">
        <v>3601</v>
      </c>
      <c r="C62" s="227" t="s">
        <v>5220</v>
      </c>
      <c r="D62" s="228"/>
      <c r="E62" s="229"/>
      <c r="F62" s="217" t="s">
        <v>115</v>
      </c>
      <c r="G62" s="218"/>
      <c r="H62" s="215">
        <v>25.5</v>
      </c>
      <c r="I62" s="216"/>
    </row>
    <row r="63" spans="1:9" ht="12.75" customHeight="1" x14ac:dyDescent="0.2">
      <c r="A63" s="19">
        <v>54</v>
      </c>
      <c r="B63" s="100"/>
      <c r="C63" s="227" t="s">
        <v>5218</v>
      </c>
      <c r="D63" s="228"/>
      <c r="E63" s="229"/>
      <c r="F63" s="217" t="s">
        <v>70</v>
      </c>
      <c r="G63" s="218"/>
      <c r="H63" s="215">
        <f>14.1-4.8-6.4+0.1</f>
        <v>3.0000000000000004</v>
      </c>
      <c r="I63" s="216"/>
    </row>
    <row r="64" spans="1:9" ht="12.75" customHeight="1" x14ac:dyDescent="0.2">
      <c r="A64" s="19">
        <v>55</v>
      </c>
      <c r="B64" s="100" t="s">
        <v>741</v>
      </c>
      <c r="C64" s="227" t="s">
        <v>5217</v>
      </c>
      <c r="D64" s="228"/>
      <c r="E64" s="229"/>
      <c r="F64" s="217" t="s">
        <v>70</v>
      </c>
      <c r="G64" s="218"/>
      <c r="H64" s="215">
        <v>1.8</v>
      </c>
      <c r="I64" s="216"/>
    </row>
    <row r="65" spans="1:9" ht="12.75" customHeight="1" x14ac:dyDescent="0.2">
      <c r="A65" s="19">
        <v>56</v>
      </c>
      <c r="B65" s="100" t="s">
        <v>3601</v>
      </c>
      <c r="C65" s="227" t="s">
        <v>5219</v>
      </c>
      <c r="D65" s="228"/>
      <c r="E65" s="229"/>
      <c r="F65" s="218" t="s">
        <v>5138</v>
      </c>
      <c r="G65" s="238"/>
      <c r="H65" s="215">
        <v>34.5</v>
      </c>
      <c r="I65" s="216"/>
    </row>
    <row r="66" spans="1:9" ht="12.75" customHeight="1" x14ac:dyDescent="0.2">
      <c r="A66" s="19">
        <v>57</v>
      </c>
      <c r="B66" s="100"/>
      <c r="C66" s="227" t="s">
        <v>4549</v>
      </c>
      <c r="D66" s="228"/>
      <c r="E66" s="229"/>
      <c r="F66" s="217" t="s">
        <v>695</v>
      </c>
      <c r="G66" s="218"/>
      <c r="H66" s="215">
        <f>22.4-3.6-2.2</f>
        <v>16.599999999999998</v>
      </c>
      <c r="I66" s="216"/>
    </row>
    <row r="67" spans="1:9" ht="12.75" x14ac:dyDescent="0.2">
      <c r="A67" s="19">
        <v>58</v>
      </c>
      <c r="B67" s="100"/>
      <c r="C67" s="234" t="s">
        <v>1143</v>
      </c>
      <c r="D67" s="118"/>
      <c r="E67" s="235"/>
      <c r="F67" s="189" t="s">
        <v>388</v>
      </c>
      <c r="G67" s="122"/>
      <c r="H67" s="115">
        <f>83-6.3</f>
        <v>76.7</v>
      </c>
      <c r="I67" s="116"/>
    </row>
    <row r="68" spans="1:9" ht="12.75" customHeight="1" x14ac:dyDescent="0.2">
      <c r="A68" s="19">
        <v>59</v>
      </c>
      <c r="B68" s="100"/>
      <c r="C68" s="227" t="s">
        <v>1710</v>
      </c>
      <c r="D68" s="228"/>
      <c r="E68" s="229"/>
      <c r="F68" s="217" t="s">
        <v>70</v>
      </c>
      <c r="G68" s="218"/>
      <c r="H68" s="215">
        <f>69.9-0.1-0.4-0.5-19.4-0.9-4.8-10.3-27.7</f>
        <v>5.8000000000000149</v>
      </c>
      <c r="I68" s="216"/>
    </row>
    <row r="69" spans="1:9" ht="12.75" customHeight="1" x14ac:dyDescent="0.2">
      <c r="A69" s="19">
        <v>60</v>
      </c>
      <c r="B69" s="100"/>
      <c r="C69" s="227" t="s">
        <v>816</v>
      </c>
      <c r="D69" s="228"/>
      <c r="E69" s="229"/>
      <c r="F69" s="217" t="s">
        <v>70</v>
      </c>
      <c r="G69" s="218"/>
      <c r="H69" s="215">
        <f>33.7-1-0.3-0.3-20.1-0.15-0.95</f>
        <v>10.900000000000007</v>
      </c>
      <c r="I69" s="216"/>
    </row>
    <row r="70" spans="1:9" ht="12.75" customHeight="1" x14ac:dyDescent="0.2">
      <c r="A70" s="19">
        <v>61</v>
      </c>
      <c r="B70" s="100" t="s">
        <v>741</v>
      </c>
      <c r="C70" s="227" t="s">
        <v>3360</v>
      </c>
      <c r="D70" s="228"/>
      <c r="E70" s="229"/>
      <c r="F70" s="217" t="s">
        <v>70</v>
      </c>
      <c r="G70" s="218"/>
      <c r="H70" s="215">
        <v>5.9</v>
      </c>
      <c r="I70" s="216"/>
    </row>
    <row r="71" spans="1:9" ht="12.75" customHeight="1" x14ac:dyDescent="0.2">
      <c r="A71" s="19">
        <v>62</v>
      </c>
      <c r="B71" s="100"/>
      <c r="C71" s="227" t="s">
        <v>4566</v>
      </c>
      <c r="D71" s="228"/>
      <c r="E71" s="229"/>
      <c r="F71" s="217" t="s">
        <v>519</v>
      </c>
      <c r="G71" s="218"/>
      <c r="H71" s="215">
        <f>35.3-10.8+33-4.9-0.5-1.5</f>
        <v>50.6</v>
      </c>
      <c r="I71" s="216"/>
    </row>
    <row r="72" spans="1:9" ht="12.75" customHeight="1" x14ac:dyDescent="0.2">
      <c r="A72" s="19">
        <v>63</v>
      </c>
      <c r="B72" s="100"/>
      <c r="C72" s="227" t="s">
        <v>608</v>
      </c>
      <c r="D72" s="228"/>
      <c r="E72" s="229"/>
      <c r="F72" s="217" t="s">
        <v>124</v>
      </c>
      <c r="G72" s="218"/>
      <c r="H72" s="215">
        <v>260</v>
      </c>
      <c r="I72" s="216"/>
    </row>
    <row r="73" spans="1:9" ht="12.75" customHeight="1" x14ac:dyDescent="0.2">
      <c r="A73" s="19">
        <v>64</v>
      </c>
      <c r="B73" s="100"/>
      <c r="C73" s="227" t="s">
        <v>609</v>
      </c>
      <c r="D73" s="228"/>
      <c r="E73" s="229"/>
      <c r="F73" s="217" t="s">
        <v>124</v>
      </c>
      <c r="G73" s="218"/>
      <c r="H73" s="215">
        <v>111.5</v>
      </c>
      <c r="I73" s="216"/>
    </row>
    <row r="74" spans="1:9" ht="12.75" customHeight="1" x14ac:dyDescent="0.2">
      <c r="A74" s="19">
        <v>65</v>
      </c>
      <c r="B74" s="100"/>
      <c r="C74" s="227" t="s">
        <v>399</v>
      </c>
      <c r="D74" s="228"/>
      <c r="E74" s="229"/>
      <c r="F74" s="218" t="s">
        <v>400</v>
      </c>
      <c r="G74" s="238"/>
      <c r="H74" s="215">
        <v>4.0999999999999996</v>
      </c>
      <c r="I74" s="216"/>
    </row>
    <row r="75" spans="1:9" ht="12.75" customHeight="1" x14ac:dyDescent="0.2">
      <c r="A75" s="19">
        <v>66</v>
      </c>
      <c r="B75" s="100"/>
      <c r="C75" s="227" t="s">
        <v>5254</v>
      </c>
      <c r="D75" s="228"/>
      <c r="E75" s="229"/>
      <c r="F75" s="217" t="s">
        <v>695</v>
      </c>
      <c r="G75" s="218"/>
      <c r="H75" s="215">
        <f>14.1-5-2.9+0.1</f>
        <v>6.2999999999999989</v>
      </c>
      <c r="I75" s="216"/>
    </row>
    <row r="76" spans="1:9" ht="12.75" customHeight="1" x14ac:dyDescent="0.2">
      <c r="A76" s="19">
        <v>67</v>
      </c>
      <c r="B76" s="100"/>
      <c r="C76" s="227" t="s">
        <v>1792</v>
      </c>
      <c r="D76" s="228"/>
      <c r="E76" s="229"/>
      <c r="F76" s="217" t="s">
        <v>695</v>
      </c>
      <c r="G76" s="218"/>
      <c r="H76" s="215">
        <v>12.2</v>
      </c>
      <c r="I76" s="216"/>
    </row>
    <row r="77" spans="1:9" ht="12.75" x14ac:dyDescent="0.2">
      <c r="A77" s="19">
        <v>68</v>
      </c>
      <c r="B77" s="100"/>
      <c r="C77" s="234" t="s">
        <v>982</v>
      </c>
      <c r="D77" s="118"/>
      <c r="E77" s="235"/>
      <c r="F77" s="189" t="s">
        <v>388</v>
      </c>
      <c r="G77" s="122"/>
      <c r="H77" s="115">
        <f>461.5+740+13.8-8.6-18.3-47.8-17.1-17.7-12</f>
        <v>1093.8000000000002</v>
      </c>
      <c r="I77" s="116"/>
    </row>
    <row r="78" spans="1:9" ht="12.75" customHeight="1" x14ac:dyDescent="0.2">
      <c r="A78" s="19">
        <v>69</v>
      </c>
      <c r="B78" s="100" t="s">
        <v>3601</v>
      </c>
      <c r="C78" s="227" t="s">
        <v>5215</v>
      </c>
      <c r="D78" s="228"/>
      <c r="E78" s="229"/>
      <c r="F78" s="217" t="s">
        <v>685</v>
      </c>
      <c r="G78" s="218"/>
      <c r="H78" s="215">
        <v>10</v>
      </c>
      <c r="I78" s="216"/>
    </row>
    <row r="79" spans="1:9" ht="12.75" customHeight="1" x14ac:dyDescent="0.2">
      <c r="A79" s="19">
        <v>70</v>
      </c>
      <c r="B79" s="100"/>
      <c r="C79" s="227" t="s">
        <v>2741</v>
      </c>
      <c r="D79" s="228"/>
      <c r="E79" s="229"/>
      <c r="F79" s="217" t="s">
        <v>695</v>
      </c>
      <c r="G79" s="218"/>
      <c r="H79" s="215">
        <f>1.9+4.7</f>
        <v>6.6</v>
      </c>
      <c r="I79" s="216"/>
    </row>
    <row r="80" spans="1:9" ht="12.75" customHeight="1" x14ac:dyDescent="0.2">
      <c r="A80" s="19">
        <v>71</v>
      </c>
      <c r="B80" s="100"/>
      <c r="C80" s="227" t="s">
        <v>1422</v>
      </c>
      <c r="D80" s="228"/>
      <c r="E80" s="229"/>
      <c r="F80" s="217" t="s">
        <v>695</v>
      </c>
      <c r="G80" s="218"/>
      <c r="H80" s="215">
        <v>4.4000000000000004</v>
      </c>
      <c r="I80" s="216"/>
    </row>
    <row r="81" spans="1:9" ht="12.75" customHeight="1" x14ac:dyDescent="0.2">
      <c r="A81" s="19">
        <v>72</v>
      </c>
      <c r="B81" s="100"/>
      <c r="C81" s="227" t="s">
        <v>2546</v>
      </c>
      <c r="D81" s="228"/>
      <c r="E81" s="229"/>
      <c r="F81" s="218" t="s">
        <v>400</v>
      </c>
      <c r="G81" s="238"/>
      <c r="H81" s="215">
        <v>3.5</v>
      </c>
      <c r="I81" s="216"/>
    </row>
    <row r="82" spans="1:9" ht="12.75" customHeight="1" x14ac:dyDescent="0.2">
      <c r="A82" s="19">
        <v>73</v>
      </c>
      <c r="B82" s="100"/>
      <c r="C82" s="227" t="s">
        <v>292</v>
      </c>
      <c r="D82" s="228"/>
      <c r="E82" s="229"/>
      <c r="F82" s="217" t="s">
        <v>124</v>
      </c>
      <c r="G82" s="218"/>
      <c r="H82" s="215">
        <f>327-49</f>
        <v>278</v>
      </c>
      <c r="I82" s="216"/>
    </row>
    <row r="83" spans="1:9" ht="12.75" customHeight="1" x14ac:dyDescent="0.2">
      <c r="A83" s="19">
        <v>74</v>
      </c>
      <c r="B83" s="100"/>
      <c r="C83" s="227" t="s">
        <v>254</v>
      </c>
      <c r="D83" s="228"/>
      <c r="E83" s="229"/>
      <c r="F83" s="217" t="s">
        <v>124</v>
      </c>
      <c r="G83" s="218"/>
      <c r="H83" s="215">
        <v>24.5</v>
      </c>
      <c r="I83" s="216"/>
    </row>
    <row r="84" spans="1:9" ht="12.75" customHeight="1" x14ac:dyDescent="0.2">
      <c r="A84" s="19">
        <v>75</v>
      </c>
      <c r="B84" s="100"/>
      <c r="C84" s="227" t="s">
        <v>1901</v>
      </c>
      <c r="D84" s="228"/>
      <c r="E84" s="229"/>
      <c r="F84" s="217" t="s">
        <v>1900</v>
      </c>
      <c r="G84" s="218"/>
      <c r="H84" s="215">
        <v>15.2</v>
      </c>
      <c r="I84" s="216"/>
    </row>
    <row r="85" spans="1:9" ht="12.75" x14ac:dyDescent="0.2">
      <c r="A85" s="19">
        <v>76</v>
      </c>
      <c r="B85" s="100"/>
      <c r="C85" s="234" t="s">
        <v>4597</v>
      </c>
      <c r="D85" s="118"/>
      <c r="E85" s="235"/>
      <c r="F85" s="189" t="s">
        <v>388</v>
      </c>
      <c r="G85" s="122"/>
      <c r="H85" s="115">
        <f>826-117.7-12-1</f>
        <v>695.3</v>
      </c>
      <c r="I85" s="116"/>
    </row>
    <row r="86" spans="1:9" ht="24.75" customHeight="1" x14ac:dyDescent="0.2">
      <c r="A86" s="19">
        <v>77</v>
      </c>
      <c r="B86" s="100"/>
      <c r="C86" s="234" t="s">
        <v>3609</v>
      </c>
      <c r="D86" s="118"/>
      <c r="E86" s="235"/>
      <c r="F86" s="189" t="s">
        <v>70</v>
      </c>
      <c r="G86" s="122"/>
      <c r="H86" s="115">
        <f>53.4-4.9+20.6-5.6+7.5+19.4-7.5</f>
        <v>82.9</v>
      </c>
      <c r="I86" s="116"/>
    </row>
    <row r="87" spans="1:9" ht="12.75" customHeight="1" x14ac:dyDescent="0.2">
      <c r="A87" s="19">
        <v>78</v>
      </c>
      <c r="B87" s="100"/>
      <c r="C87" s="227" t="s">
        <v>620</v>
      </c>
      <c r="D87" s="228"/>
      <c r="E87" s="229"/>
      <c r="F87" s="217" t="s">
        <v>70</v>
      </c>
      <c r="G87" s="218"/>
      <c r="H87" s="215">
        <f>27.6-6.1</f>
        <v>21.5</v>
      </c>
      <c r="I87" s="216"/>
    </row>
    <row r="88" spans="1:9" ht="12.75" customHeight="1" x14ac:dyDescent="0.2">
      <c r="A88" s="19">
        <v>79</v>
      </c>
      <c r="B88" s="100" t="s">
        <v>3601</v>
      </c>
      <c r="C88" s="227" t="s">
        <v>5214</v>
      </c>
      <c r="D88" s="228"/>
      <c r="E88" s="229"/>
      <c r="F88" s="217" t="s">
        <v>115</v>
      </c>
      <c r="G88" s="218"/>
      <c r="H88" s="215">
        <v>11.4</v>
      </c>
      <c r="I88" s="216"/>
    </row>
    <row r="89" spans="1:9" ht="12.75" customHeight="1" x14ac:dyDescent="0.2">
      <c r="A89" s="19">
        <v>80</v>
      </c>
      <c r="B89" s="100"/>
      <c r="C89" s="227" t="s">
        <v>1899</v>
      </c>
      <c r="D89" s="228"/>
      <c r="E89" s="229"/>
      <c r="F89" s="217" t="s">
        <v>1898</v>
      </c>
      <c r="G89" s="218"/>
      <c r="H89" s="215">
        <v>43</v>
      </c>
      <c r="I89" s="216"/>
    </row>
    <row r="90" spans="1:9" ht="12.75" customHeight="1" x14ac:dyDescent="0.2">
      <c r="A90" s="19">
        <v>81</v>
      </c>
      <c r="B90" s="100"/>
      <c r="C90" s="227" t="s">
        <v>3610</v>
      </c>
      <c r="D90" s="228"/>
      <c r="E90" s="229"/>
      <c r="F90" s="217" t="s">
        <v>70</v>
      </c>
      <c r="G90" s="218"/>
      <c r="H90" s="215">
        <f>20.9-14</f>
        <v>6.8999999999999986</v>
      </c>
      <c r="I90" s="216"/>
    </row>
    <row r="91" spans="1:9" ht="12.75" customHeight="1" x14ac:dyDescent="0.2">
      <c r="A91" s="19">
        <v>82</v>
      </c>
      <c r="B91" s="100"/>
      <c r="C91" s="227" t="s">
        <v>3755</v>
      </c>
      <c r="D91" s="228"/>
      <c r="E91" s="229"/>
      <c r="F91" s="217" t="s">
        <v>685</v>
      </c>
      <c r="G91" s="218"/>
      <c r="H91" s="215">
        <f>151-7-1.5+47.5-55.5-35.9</f>
        <v>98.6</v>
      </c>
      <c r="I91" s="216"/>
    </row>
    <row r="92" spans="1:9" ht="12.75" customHeight="1" x14ac:dyDescent="0.2">
      <c r="A92" s="19">
        <v>83</v>
      </c>
      <c r="B92" s="100"/>
      <c r="C92" s="227" t="s">
        <v>1408</v>
      </c>
      <c r="D92" s="228"/>
      <c r="E92" s="229"/>
      <c r="F92" s="217" t="s">
        <v>519</v>
      </c>
      <c r="G92" s="218"/>
      <c r="H92" s="215">
        <v>5.4</v>
      </c>
      <c r="I92" s="216"/>
    </row>
    <row r="93" spans="1:9" ht="12.75" customHeight="1" x14ac:dyDescent="0.2">
      <c r="A93" s="19">
        <v>84</v>
      </c>
      <c r="B93" s="100"/>
      <c r="C93" s="227" t="s">
        <v>2009</v>
      </c>
      <c r="D93" s="228"/>
      <c r="E93" s="229"/>
      <c r="F93" s="217" t="s">
        <v>70</v>
      </c>
      <c r="G93" s="218"/>
      <c r="H93" s="215">
        <v>32</v>
      </c>
      <c r="I93" s="216"/>
    </row>
    <row r="94" spans="1:9" ht="12.75" customHeight="1" x14ac:dyDescent="0.2">
      <c r="A94" s="19">
        <v>85</v>
      </c>
      <c r="B94" s="100" t="s">
        <v>741</v>
      </c>
      <c r="C94" s="227" t="s">
        <v>2832</v>
      </c>
      <c r="D94" s="228"/>
      <c r="E94" s="229"/>
      <c r="F94" s="217" t="s">
        <v>70</v>
      </c>
      <c r="G94" s="218"/>
      <c r="H94" s="215">
        <v>14.6</v>
      </c>
      <c r="I94" s="216"/>
    </row>
    <row r="95" spans="1:9" ht="12.75" customHeight="1" x14ac:dyDescent="0.2">
      <c r="A95" s="19">
        <v>86</v>
      </c>
      <c r="B95" s="100"/>
      <c r="C95" s="227" t="s">
        <v>874</v>
      </c>
      <c r="D95" s="228"/>
      <c r="E95" s="229"/>
      <c r="F95" s="217" t="s">
        <v>685</v>
      </c>
      <c r="G95" s="218"/>
      <c r="H95" s="215">
        <f>39.7+45+45.5</f>
        <v>130.19999999999999</v>
      </c>
      <c r="I95" s="216"/>
    </row>
    <row r="96" spans="1:9" ht="12.75" customHeight="1" x14ac:dyDescent="0.2">
      <c r="A96" s="19">
        <v>87</v>
      </c>
      <c r="B96" s="100"/>
      <c r="C96" s="227" t="s">
        <v>2750</v>
      </c>
      <c r="D96" s="228"/>
      <c r="E96" s="229"/>
      <c r="F96" s="218" t="s">
        <v>677</v>
      </c>
      <c r="G96" s="238"/>
      <c r="H96" s="215">
        <f>10.2-2.2</f>
        <v>7.9999999999999991</v>
      </c>
      <c r="I96" s="216"/>
    </row>
    <row r="97" spans="1:9" ht="12.75" customHeight="1" x14ac:dyDescent="0.2">
      <c r="A97" s="19">
        <v>88</v>
      </c>
      <c r="B97" s="100"/>
      <c r="C97" s="227" t="s">
        <v>5139</v>
      </c>
      <c r="D97" s="228"/>
      <c r="E97" s="229"/>
      <c r="F97" s="218" t="s">
        <v>5138</v>
      </c>
      <c r="G97" s="238"/>
      <c r="H97" s="215">
        <v>44.8</v>
      </c>
      <c r="I97" s="216"/>
    </row>
    <row r="98" spans="1:9" ht="12.75" customHeight="1" x14ac:dyDescent="0.2">
      <c r="A98" s="19">
        <v>89</v>
      </c>
      <c r="B98" s="100"/>
      <c r="C98" s="227" t="s">
        <v>3448</v>
      </c>
      <c r="D98" s="228"/>
      <c r="E98" s="229"/>
      <c r="F98" s="217" t="s">
        <v>388</v>
      </c>
      <c r="G98" s="218"/>
      <c r="H98" s="215">
        <f>460-35.4-34.5-1.8-33.4-48.4+32.8-17-16.6-2.5-56.3-64-151.5+1.4+61-61</f>
        <v>32.80000000000004</v>
      </c>
      <c r="I98" s="216"/>
    </row>
    <row r="99" spans="1:9" ht="12.75" customHeight="1" x14ac:dyDescent="0.2">
      <c r="A99" s="19">
        <v>90</v>
      </c>
      <c r="B99" s="100"/>
      <c r="C99" s="227" t="s">
        <v>2595</v>
      </c>
      <c r="D99" s="228"/>
      <c r="E99" s="229"/>
      <c r="F99" s="218" t="s">
        <v>2596</v>
      </c>
      <c r="G99" s="238"/>
      <c r="H99" s="215">
        <v>81.8</v>
      </c>
      <c r="I99" s="216"/>
    </row>
    <row r="100" spans="1:9" ht="12.75" customHeight="1" x14ac:dyDescent="0.2">
      <c r="A100" s="19">
        <v>91</v>
      </c>
      <c r="B100" s="100"/>
      <c r="C100" s="227" t="s">
        <v>2931</v>
      </c>
      <c r="D100" s="228"/>
      <c r="E100" s="229"/>
      <c r="F100" s="218" t="s">
        <v>2932</v>
      </c>
      <c r="G100" s="238"/>
      <c r="H100" s="215">
        <v>63</v>
      </c>
      <c r="I100" s="216"/>
    </row>
    <row r="101" spans="1:9" ht="12.75" customHeight="1" x14ac:dyDescent="0.2">
      <c r="A101" s="19">
        <v>92</v>
      </c>
      <c r="B101" s="100"/>
      <c r="C101" s="227" t="s">
        <v>321</v>
      </c>
      <c r="D101" s="228"/>
      <c r="E101" s="229"/>
      <c r="F101" s="218" t="s">
        <v>70</v>
      </c>
      <c r="G101" s="238"/>
      <c r="H101" s="215">
        <v>21.2</v>
      </c>
      <c r="I101" s="216"/>
    </row>
    <row r="102" spans="1:9" ht="12.75" customHeight="1" x14ac:dyDescent="0.2">
      <c r="A102" s="19">
        <v>93</v>
      </c>
      <c r="B102" s="100"/>
      <c r="C102" s="227" t="s">
        <v>1907</v>
      </c>
      <c r="D102" s="228"/>
      <c r="E102" s="229"/>
      <c r="F102" s="217" t="s">
        <v>695</v>
      </c>
      <c r="G102" s="218"/>
      <c r="H102" s="215">
        <v>4.9000000000000004</v>
      </c>
      <c r="I102" s="216"/>
    </row>
    <row r="103" spans="1:9" ht="12.75" customHeight="1" x14ac:dyDescent="0.2">
      <c r="A103" s="19">
        <v>94</v>
      </c>
      <c r="B103" s="100"/>
      <c r="C103" s="227" t="s">
        <v>1905</v>
      </c>
      <c r="D103" s="228"/>
      <c r="E103" s="229"/>
      <c r="F103" s="217" t="s">
        <v>695</v>
      </c>
      <c r="G103" s="218"/>
      <c r="H103" s="215">
        <v>14.8</v>
      </c>
      <c r="I103" s="216"/>
    </row>
    <row r="104" spans="1:9" ht="12.75" customHeight="1" x14ac:dyDescent="0.2">
      <c r="A104" s="19">
        <v>95</v>
      </c>
      <c r="B104" s="100"/>
      <c r="C104" s="227" t="s">
        <v>1906</v>
      </c>
      <c r="D104" s="228"/>
      <c r="E104" s="229"/>
      <c r="F104" s="217" t="s">
        <v>695</v>
      </c>
      <c r="G104" s="218"/>
      <c r="H104" s="215">
        <v>3.5</v>
      </c>
      <c r="I104" s="216"/>
    </row>
    <row r="105" spans="1:9" ht="12.75" customHeight="1" x14ac:dyDescent="0.2">
      <c r="A105" s="19">
        <v>96</v>
      </c>
      <c r="B105" s="100"/>
      <c r="C105" s="227" t="s">
        <v>2752</v>
      </c>
      <c r="D105" s="228"/>
      <c r="E105" s="229"/>
      <c r="F105" s="217" t="s">
        <v>695</v>
      </c>
      <c r="G105" s="218"/>
      <c r="H105" s="215">
        <v>3</v>
      </c>
      <c r="I105" s="216"/>
    </row>
    <row r="106" spans="1:9" ht="12.75" customHeight="1" x14ac:dyDescent="0.2">
      <c r="A106" s="19">
        <v>97</v>
      </c>
      <c r="B106" s="100"/>
      <c r="C106" s="227" t="s">
        <v>2640</v>
      </c>
      <c r="D106" s="228"/>
      <c r="E106" s="229"/>
      <c r="F106" s="217" t="s">
        <v>70</v>
      </c>
      <c r="G106" s="218"/>
      <c r="H106" s="215">
        <f>24.6-1-2.8</f>
        <v>20.8</v>
      </c>
      <c r="I106" s="216"/>
    </row>
    <row r="107" spans="1:9" ht="12.75" customHeight="1" x14ac:dyDescent="0.2">
      <c r="A107" s="19">
        <v>98</v>
      </c>
      <c r="B107" s="100"/>
      <c r="C107" s="227" t="s">
        <v>1904</v>
      </c>
      <c r="D107" s="228"/>
      <c r="E107" s="229"/>
      <c r="F107" s="217" t="s">
        <v>695</v>
      </c>
      <c r="G107" s="218"/>
      <c r="H107" s="215">
        <v>12.7</v>
      </c>
      <c r="I107" s="216"/>
    </row>
    <row r="108" spans="1:9" ht="12.75" customHeight="1" x14ac:dyDescent="0.2">
      <c r="A108" s="19">
        <v>99</v>
      </c>
      <c r="B108" s="100" t="s">
        <v>4378</v>
      </c>
      <c r="C108" s="227" t="s">
        <v>4382</v>
      </c>
      <c r="D108" s="228"/>
      <c r="E108" s="229"/>
      <c r="F108" s="217" t="s">
        <v>70</v>
      </c>
      <c r="G108" s="218"/>
      <c r="H108" s="215">
        <f>0.3-0.2</f>
        <v>9.9999999999999978E-2</v>
      </c>
      <c r="I108" s="216"/>
    </row>
    <row r="109" spans="1:9" ht="12.75" customHeight="1" x14ac:dyDescent="0.2">
      <c r="A109" s="19">
        <v>100</v>
      </c>
      <c r="B109" s="100"/>
      <c r="C109" s="227" t="s">
        <v>1080</v>
      </c>
      <c r="D109" s="228"/>
      <c r="E109" s="229"/>
      <c r="F109" s="217" t="s">
        <v>70</v>
      </c>
      <c r="G109" s="218"/>
      <c r="H109" s="215">
        <f>31.7-3-0.5-14.4</f>
        <v>13.799999999999999</v>
      </c>
      <c r="I109" s="216"/>
    </row>
    <row r="110" spans="1:9" ht="12.75" customHeight="1" x14ac:dyDescent="0.2">
      <c r="A110" s="19">
        <v>101</v>
      </c>
      <c r="B110" s="100"/>
      <c r="C110" s="227" t="s">
        <v>2676</v>
      </c>
      <c r="D110" s="228"/>
      <c r="E110" s="229"/>
      <c r="F110" s="217" t="s">
        <v>70</v>
      </c>
      <c r="G110" s="218"/>
      <c r="H110" s="215">
        <v>78</v>
      </c>
      <c r="I110" s="216"/>
    </row>
    <row r="111" spans="1:9" ht="12.75" customHeight="1" x14ac:dyDescent="0.2">
      <c r="A111" s="19">
        <v>102</v>
      </c>
      <c r="B111" s="100"/>
      <c r="C111" s="227" t="s">
        <v>1505</v>
      </c>
      <c r="D111" s="228"/>
      <c r="E111" s="229"/>
      <c r="F111" s="217" t="s">
        <v>70</v>
      </c>
      <c r="G111" s="218"/>
      <c r="H111" s="215">
        <f>15.9-2-1.5</f>
        <v>12.4</v>
      </c>
      <c r="I111" s="216"/>
    </row>
    <row r="112" spans="1:9" ht="12.75" customHeight="1" x14ac:dyDescent="0.2">
      <c r="A112" s="19">
        <v>103</v>
      </c>
      <c r="B112" s="100"/>
      <c r="C112" s="227" t="s">
        <v>1843</v>
      </c>
      <c r="D112" s="228"/>
      <c r="E112" s="229"/>
      <c r="F112" s="217" t="s">
        <v>695</v>
      </c>
      <c r="G112" s="218"/>
      <c r="H112" s="215">
        <f>28.5-4-1.2-4-1-1-1</f>
        <v>16.3</v>
      </c>
      <c r="I112" s="216"/>
    </row>
    <row r="113" spans="1:9" ht="12.75" customHeight="1" x14ac:dyDescent="0.2">
      <c r="A113" s="19">
        <v>104</v>
      </c>
      <c r="B113" s="100"/>
      <c r="C113" s="227" t="s">
        <v>1311</v>
      </c>
      <c r="D113" s="228"/>
      <c r="E113" s="229"/>
      <c r="F113" s="217" t="s">
        <v>70</v>
      </c>
      <c r="G113" s="218"/>
      <c r="H113" s="215">
        <v>11.8</v>
      </c>
      <c r="I113" s="216"/>
    </row>
    <row r="114" spans="1:9" ht="12.75" customHeight="1" x14ac:dyDescent="0.2">
      <c r="A114" s="19">
        <v>105</v>
      </c>
      <c r="B114" s="100"/>
      <c r="C114" s="241" t="s">
        <v>794</v>
      </c>
      <c r="D114" s="242"/>
      <c r="E114" s="243"/>
      <c r="F114" s="217" t="s">
        <v>795</v>
      </c>
      <c r="G114" s="218"/>
      <c r="H114" s="215">
        <v>1</v>
      </c>
      <c r="I114" s="216"/>
    </row>
    <row r="115" spans="1:9" ht="12.75" customHeight="1" thickBot="1" x14ac:dyDescent="0.25">
      <c r="A115" s="19">
        <v>106</v>
      </c>
      <c r="B115" s="100"/>
      <c r="C115" s="239" t="s">
        <v>1312</v>
      </c>
      <c r="D115" s="240"/>
      <c r="E115" s="240"/>
      <c r="F115" s="244" t="s">
        <v>70</v>
      </c>
      <c r="G115" s="245"/>
      <c r="H115" s="236">
        <v>20.399999999999999</v>
      </c>
      <c r="I115" s="237"/>
    </row>
    <row r="116" spans="1:9" ht="15.75" x14ac:dyDescent="0.25">
      <c r="A116" s="19"/>
      <c r="B116" s="43"/>
      <c r="C116" s="44"/>
      <c r="D116" s="44"/>
      <c r="E116" s="45"/>
      <c r="F116" s="43"/>
      <c r="G116" s="43"/>
      <c r="H116" s="26"/>
      <c r="I116" s="26"/>
    </row>
    <row r="117" spans="1:9" ht="13.5" customHeight="1" x14ac:dyDescent="0.2">
      <c r="A117" s="46"/>
      <c r="B117" s="47"/>
      <c r="C117" s="46"/>
      <c r="D117" s="75"/>
      <c r="E117" s="163"/>
      <c r="F117" s="163"/>
      <c r="G117" s="163"/>
      <c r="H117" s="75"/>
      <c r="I117" s="46"/>
    </row>
    <row r="118" spans="1:9" ht="13.5" customHeight="1" x14ac:dyDescent="0.2">
      <c r="A118" s="46"/>
      <c r="B118" s="47"/>
      <c r="C118" s="46"/>
      <c r="D118" s="46"/>
      <c r="E118" s="48"/>
      <c r="F118" s="46"/>
      <c r="G118" s="46"/>
      <c r="I118" s="46"/>
    </row>
    <row r="119" spans="1:9" ht="31.5" customHeight="1" x14ac:dyDescent="0.2">
      <c r="A119" s="46"/>
      <c r="B119" s="47"/>
      <c r="C119" s="46"/>
      <c r="D119" s="46"/>
      <c r="E119" s="51"/>
      <c r="F119" s="46"/>
      <c r="G119" s="46"/>
      <c r="H119" s="46"/>
      <c r="I119" s="46"/>
    </row>
    <row r="120" spans="1:9" ht="12.75" x14ac:dyDescent="0.2">
      <c r="A120" s="46"/>
      <c r="B120" s="47"/>
      <c r="C120" s="46"/>
      <c r="D120" s="46"/>
      <c r="E120" s="48"/>
      <c r="F120" s="46"/>
      <c r="G120" s="46"/>
      <c r="H120" s="46"/>
      <c r="I120" s="46"/>
    </row>
    <row r="121" spans="1:9" ht="20.25" customHeight="1" x14ac:dyDescent="0.2">
      <c r="A121" s="46"/>
      <c r="B121" s="47"/>
      <c r="C121" s="46"/>
      <c r="D121" s="46"/>
      <c r="E121" s="51"/>
      <c r="F121" s="46"/>
      <c r="G121" s="46"/>
      <c r="H121" s="46"/>
      <c r="I121" s="46"/>
    </row>
    <row r="122" spans="1:9" ht="19.5" customHeight="1" x14ac:dyDescent="0.2">
      <c r="A122" s="46"/>
      <c r="B122" s="47"/>
      <c r="C122" s="46"/>
      <c r="D122" s="46"/>
      <c r="E122" s="48"/>
      <c r="F122" s="46"/>
      <c r="G122" s="46"/>
      <c r="H122" s="46"/>
      <c r="I122" s="46"/>
    </row>
    <row r="123" spans="1:9" ht="13.5" customHeight="1" x14ac:dyDescent="0.2">
      <c r="A123" s="46"/>
      <c r="B123" s="47"/>
      <c r="C123" s="163"/>
      <c r="D123" s="163"/>
      <c r="E123" s="163"/>
      <c r="F123" s="163"/>
      <c r="G123" s="163"/>
      <c r="H123" s="163"/>
      <c r="I123" s="163"/>
    </row>
    <row r="124" spans="1:9" ht="13.5" customHeight="1" x14ac:dyDescent="0.2">
      <c r="A124" s="46"/>
      <c r="B124" s="47"/>
      <c r="C124" s="75"/>
      <c r="D124" s="75"/>
      <c r="E124" s="48"/>
      <c r="F124" s="75"/>
      <c r="G124" s="75"/>
      <c r="H124" s="75"/>
      <c r="I124" s="75"/>
    </row>
    <row r="125" spans="1:9" x14ac:dyDescent="0.2">
      <c r="H125" s="17"/>
    </row>
    <row r="126" spans="1:9" x14ac:dyDescent="0.2">
      <c r="H126" s="17"/>
    </row>
    <row r="127" spans="1:9" x14ac:dyDescent="0.2">
      <c r="H127" s="17"/>
    </row>
    <row r="128" spans="1:9" x14ac:dyDescent="0.2">
      <c r="H128" s="17"/>
    </row>
    <row r="129" spans="8:8" x14ac:dyDescent="0.2">
      <c r="H129" s="17"/>
    </row>
    <row r="130" spans="8:8" x14ac:dyDescent="0.2">
      <c r="H130" s="17"/>
    </row>
    <row r="131" spans="8:8" x14ac:dyDescent="0.2">
      <c r="H131" s="17"/>
    </row>
    <row r="132" spans="8:8" x14ac:dyDescent="0.2">
      <c r="H132" s="17"/>
    </row>
    <row r="133" spans="8:8" x14ac:dyDescent="0.2">
      <c r="H133" s="17"/>
    </row>
    <row r="134" spans="8:8" x14ac:dyDescent="0.2">
      <c r="H134" s="17"/>
    </row>
    <row r="135" spans="8:8" x14ac:dyDescent="0.2">
      <c r="H135" s="17"/>
    </row>
    <row r="136" spans="8:8" x14ac:dyDescent="0.2">
      <c r="H136" s="17"/>
    </row>
    <row r="137" spans="8:8" x14ac:dyDescent="0.2">
      <c r="H137" s="17"/>
    </row>
    <row r="138" spans="8:8" x14ac:dyDescent="0.2">
      <c r="H138" s="17"/>
    </row>
    <row r="139" spans="8:8" x14ac:dyDescent="0.2">
      <c r="H139" s="17"/>
    </row>
    <row r="140" spans="8:8" x14ac:dyDescent="0.2">
      <c r="H140" s="17"/>
    </row>
    <row r="141" spans="8:8" x14ac:dyDescent="0.2">
      <c r="H141" s="17"/>
    </row>
    <row r="142" spans="8:8" x14ac:dyDescent="0.2">
      <c r="H142" s="17"/>
    </row>
    <row r="143" spans="8:8" x14ac:dyDescent="0.2">
      <c r="H143" s="17"/>
    </row>
    <row r="144" spans="8:8" x14ac:dyDescent="0.2">
      <c r="H144" s="17"/>
    </row>
    <row r="145" spans="8:8" x14ac:dyDescent="0.2">
      <c r="H145" s="17"/>
    </row>
    <row r="146" spans="8:8" x14ac:dyDescent="0.2">
      <c r="H146" s="17"/>
    </row>
    <row r="147" spans="8:8" x14ac:dyDescent="0.2">
      <c r="H147" s="17"/>
    </row>
    <row r="148" spans="8:8" x14ac:dyDescent="0.2">
      <c r="H148" s="17"/>
    </row>
    <row r="149" spans="8:8" x14ac:dyDescent="0.2">
      <c r="H149" s="17"/>
    </row>
    <row r="150" spans="8:8" x14ac:dyDescent="0.2">
      <c r="H150" s="17"/>
    </row>
    <row r="151" spans="8:8" x14ac:dyDescent="0.2">
      <c r="H151" s="17"/>
    </row>
    <row r="152" spans="8:8" x14ac:dyDescent="0.2">
      <c r="H152" s="17"/>
    </row>
    <row r="153" spans="8:8" x14ac:dyDescent="0.2">
      <c r="H153" s="17"/>
    </row>
    <row r="154" spans="8:8" x14ac:dyDescent="0.2">
      <c r="H154" s="17"/>
    </row>
    <row r="155" spans="8:8" x14ac:dyDescent="0.2">
      <c r="H155" s="17"/>
    </row>
    <row r="156" spans="8:8" x14ac:dyDescent="0.2">
      <c r="H156" s="17"/>
    </row>
    <row r="157" spans="8:8" x14ac:dyDescent="0.2">
      <c r="H157" s="17"/>
    </row>
    <row r="158" spans="8:8" x14ac:dyDescent="0.2">
      <c r="H158" s="17"/>
    </row>
    <row r="159" spans="8:8" x14ac:dyDescent="0.2">
      <c r="H159" s="17"/>
    </row>
    <row r="160" spans="8:8" x14ac:dyDescent="0.2">
      <c r="H160" s="17"/>
    </row>
    <row r="161" spans="8:8" x14ac:dyDescent="0.2">
      <c r="H161" s="17"/>
    </row>
    <row r="162" spans="8:8" x14ac:dyDescent="0.2">
      <c r="H162" s="17"/>
    </row>
    <row r="163" spans="8:8" x14ac:dyDescent="0.2">
      <c r="H163" s="17"/>
    </row>
    <row r="164" spans="8:8" x14ac:dyDescent="0.2">
      <c r="H164" s="17"/>
    </row>
    <row r="165" spans="8:8" x14ac:dyDescent="0.2">
      <c r="H165" s="17"/>
    </row>
    <row r="166" spans="8:8" x14ac:dyDescent="0.2">
      <c r="H166" s="17"/>
    </row>
    <row r="167" spans="8:8" x14ac:dyDescent="0.2">
      <c r="H167" s="17"/>
    </row>
    <row r="168" spans="8:8" x14ac:dyDescent="0.2">
      <c r="H168" s="17"/>
    </row>
    <row r="169" spans="8:8" x14ac:dyDescent="0.2">
      <c r="H169" s="17"/>
    </row>
    <row r="170" spans="8:8" x14ac:dyDescent="0.2">
      <c r="H170" s="17"/>
    </row>
    <row r="171" spans="8:8" x14ac:dyDescent="0.2">
      <c r="H171" s="17"/>
    </row>
    <row r="172" spans="8:8" x14ac:dyDescent="0.2">
      <c r="H172" s="17"/>
    </row>
    <row r="173" spans="8:8" x14ac:dyDescent="0.2">
      <c r="H173" s="17"/>
    </row>
    <row r="174" spans="8:8" x14ac:dyDescent="0.2">
      <c r="H174" s="17"/>
    </row>
    <row r="175" spans="8:8" x14ac:dyDescent="0.2">
      <c r="H175" s="17"/>
    </row>
    <row r="176" spans="8:8" x14ac:dyDescent="0.2">
      <c r="H176" s="17"/>
    </row>
    <row r="177" spans="8:8" x14ac:dyDescent="0.2">
      <c r="H177" s="17"/>
    </row>
    <row r="178" spans="8:8" x14ac:dyDescent="0.2">
      <c r="H178" s="17"/>
    </row>
    <row r="179" spans="8:8" x14ac:dyDescent="0.2">
      <c r="H179" s="17"/>
    </row>
    <row r="180" spans="8:8" x14ac:dyDescent="0.2">
      <c r="H180" s="17"/>
    </row>
    <row r="181" spans="8:8" x14ac:dyDescent="0.2">
      <c r="H181" s="17"/>
    </row>
    <row r="182" spans="8:8" x14ac:dyDescent="0.2">
      <c r="H182" s="17"/>
    </row>
    <row r="183" spans="8:8" x14ac:dyDescent="0.2">
      <c r="H183" s="17"/>
    </row>
    <row r="184" spans="8:8" x14ac:dyDescent="0.2">
      <c r="H184" s="17"/>
    </row>
    <row r="185" spans="8:8" x14ac:dyDescent="0.2">
      <c r="H185" s="17"/>
    </row>
    <row r="186" spans="8:8" x14ac:dyDescent="0.2">
      <c r="H186" s="17"/>
    </row>
    <row r="187" spans="8:8" x14ac:dyDescent="0.2">
      <c r="H187" s="17"/>
    </row>
    <row r="188" spans="8:8" x14ac:dyDescent="0.2">
      <c r="H188" s="17"/>
    </row>
    <row r="189" spans="8:8" x14ac:dyDescent="0.2">
      <c r="H189" s="17"/>
    </row>
    <row r="190" spans="8:8" x14ac:dyDescent="0.2">
      <c r="H190" s="17"/>
    </row>
    <row r="191" spans="8:8" x14ac:dyDescent="0.2">
      <c r="H191" s="17"/>
    </row>
    <row r="192" spans="8:8" x14ac:dyDescent="0.2">
      <c r="H192" s="17"/>
    </row>
    <row r="193" spans="8:8" x14ac:dyDescent="0.2">
      <c r="H193" s="17"/>
    </row>
    <row r="194" spans="8:8" x14ac:dyDescent="0.2">
      <c r="H194" s="17"/>
    </row>
    <row r="195" spans="8:8" x14ac:dyDescent="0.2">
      <c r="H195" s="17"/>
    </row>
    <row r="196" spans="8:8" x14ac:dyDescent="0.2">
      <c r="H196" s="17"/>
    </row>
    <row r="197" spans="8:8" x14ac:dyDescent="0.2">
      <c r="H197" s="17"/>
    </row>
    <row r="198" spans="8:8" x14ac:dyDescent="0.2">
      <c r="H198" s="17"/>
    </row>
    <row r="199" spans="8:8" x14ac:dyDescent="0.2">
      <c r="H199" s="17"/>
    </row>
    <row r="200" spans="8:8" x14ac:dyDescent="0.2">
      <c r="H200" s="17"/>
    </row>
    <row r="201" spans="8:8" x14ac:dyDescent="0.2">
      <c r="H201" s="17"/>
    </row>
    <row r="202" spans="8:8" x14ac:dyDescent="0.2">
      <c r="H202" s="17"/>
    </row>
    <row r="203" spans="8:8" x14ac:dyDescent="0.2">
      <c r="H203" s="17"/>
    </row>
    <row r="204" spans="8:8" x14ac:dyDescent="0.2">
      <c r="H204" s="17"/>
    </row>
    <row r="205" spans="8:8" x14ac:dyDescent="0.2">
      <c r="H205" s="17"/>
    </row>
    <row r="206" spans="8:8" x14ac:dyDescent="0.2">
      <c r="H206" s="17"/>
    </row>
    <row r="207" spans="8:8" x14ac:dyDescent="0.2">
      <c r="H207" s="17"/>
    </row>
    <row r="208" spans="8:8" x14ac:dyDescent="0.2">
      <c r="H208" s="17"/>
    </row>
    <row r="209" spans="8:8" x14ac:dyDescent="0.2">
      <c r="H209" s="17"/>
    </row>
    <row r="210" spans="8:8" x14ac:dyDescent="0.2">
      <c r="H210" s="17"/>
    </row>
    <row r="211" spans="8:8" x14ac:dyDescent="0.2">
      <c r="H211" s="17"/>
    </row>
    <row r="212" spans="8:8" x14ac:dyDescent="0.2">
      <c r="H212" s="17"/>
    </row>
    <row r="213" spans="8:8" x14ac:dyDescent="0.2">
      <c r="H213" s="17"/>
    </row>
    <row r="214" spans="8:8" x14ac:dyDescent="0.2">
      <c r="H214" s="17"/>
    </row>
    <row r="215" spans="8:8" x14ac:dyDescent="0.2">
      <c r="H215" s="17"/>
    </row>
    <row r="216" spans="8:8" x14ac:dyDescent="0.2">
      <c r="H216" s="17"/>
    </row>
    <row r="217" spans="8:8" x14ac:dyDescent="0.2">
      <c r="H217" s="17"/>
    </row>
    <row r="218" spans="8:8" x14ac:dyDescent="0.2">
      <c r="H218" s="17"/>
    </row>
    <row r="219" spans="8:8" x14ac:dyDescent="0.2">
      <c r="H219" s="17"/>
    </row>
    <row r="220" spans="8:8" x14ac:dyDescent="0.2">
      <c r="H220" s="17"/>
    </row>
    <row r="221" spans="8:8" x14ac:dyDescent="0.2">
      <c r="H221" s="17"/>
    </row>
    <row r="222" spans="8:8" x14ac:dyDescent="0.2">
      <c r="H222" s="17"/>
    </row>
    <row r="223" spans="8:8" x14ac:dyDescent="0.2">
      <c r="H223" s="17"/>
    </row>
    <row r="224" spans="8:8" x14ac:dyDescent="0.2">
      <c r="H224" s="17"/>
    </row>
    <row r="225" spans="8:8" x14ac:dyDescent="0.2">
      <c r="H225" s="17"/>
    </row>
    <row r="226" spans="8:8" x14ac:dyDescent="0.2">
      <c r="H226" s="17"/>
    </row>
    <row r="227" spans="8:8" x14ac:dyDescent="0.2">
      <c r="H227" s="17"/>
    </row>
    <row r="228" spans="8:8" x14ac:dyDescent="0.2">
      <c r="H228" s="17"/>
    </row>
    <row r="229" spans="8:8" x14ac:dyDescent="0.2">
      <c r="H229" s="17"/>
    </row>
    <row r="230" spans="8:8" x14ac:dyDescent="0.2">
      <c r="H230" s="17"/>
    </row>
  </sheetData>
  <autoFilter ref="A9:I124" xr:uid="{00000000-0009-0000-0000-000002000000}">
    <filterColumn colId="2" showButton="0"/>
    <filterColumn colId="3" showButton="0"/>
    <filterColumn colId="5" showButton="0"/>
    <filterColumn colId="7" showButton="0"/>
  </autoFilter>
  <mergeCells count="329">
    <mergeCell ref="C1:H1"/>
    <mergeCell ref="C2:H2"/>
    <mergeCell ref="D3:H3"/>
    <mergeCell ref="D4:H4"/>
    <mergeCell ref="D5:H5"/>
    <mergeCell ref="D7:H7"/>
    <mergeCell ref="H52:I52"/>
    <mergeCell ref="F45:G45"/>
    <mergeCell ref="F44:G44"/>
    <mergeCell ref="F65:G65"/>
    <mergeCell ref="H65:I65"/>
    <mergeCell ref="C62:E62"/>
    <mergeCell ref="F62:G62"/>
    <mergeCell ref="H62:I62"/>
    <mergeCell ref="C78:E78"/>
    <mergeCell ref="F78:G78"/>
    <mergeCell ref="H51:I51"/>
    <mergeCell ref="H45:I45"/>
    <mergeCell ref="F52:G52"/>
    <mergeCell ref="F51:G51"/>
    <mergeCell ref="C28:E28"/>
    <mergeCell ref="F28:G28"/>
    <mergeCell ref="H28:I28"/>
    <mergeCell ref="H44:I44"/>
    <mergeCell ref="F47:G47"/>
    <mergeCell ref="F50:G50"/>
    <mergeCell ref="F46:G46"/>
    <mergeCell ref="H50:I50"/>
    <mergeCell ref="C29:E29"/>
    <mergeCell ref="H41:I41"/>
    <mergeCell ref="F35:G35"/>
    <mergeCell ref="F39:G39"/>
    <mergeCell ref="F32:G32"/>
    <mergeCell ref="F41:G41"/>
    <mergeCell ref="H29:I29"/>
    <mergeCell ref="H32:I32"/>
    <mergeCell ref="H31:I31"/>
    <mergeCell ref="F31:G31"/>
    <mergeCell ref="H39:I39"/>
    <mergeCell ref="F37:G37"/>
    <mergeCell ref="H37:I37"/>
    <mergeCell ref="H34:I34"/>
    <mergeCell ref="F43:G43"/>
    <mergeCell ref="C35:E35"/>
    <mergeCell ref="C27:E27"/>
    <mergeCell ref="C26:E26"/>
    <mergeCell ref="H24:I24"/>
    <mergeCell ref="F21:G21"/>
    <mergeCell ref="F24:G24"/>
    <mergeCell ref="F26:G26"/>
    <mergeCell ref="H19:I19"/>
    <mergeCell ref="F15:G15"/>
    <mergeCell ref="F20:G20"/>
    <mergeCell ref="C18:E18"/>
    <mergeCell ref="C19:E19"/>
    <mergeCell ref="F16:G16"/>
    <mergeCell ref="F19:G19"/>
    <mergeCell ref="H17:I17"/>
    <mergeCell ref="C20:E20"/>
    <mergeCell ref="F17:G17"/>
    <mergeCell ref="C25:E25"/>
    <mergeCell ref="F22:G22"/>
    <mergeCell ref="H26:I26"/>
    <mergeCell ref="H22:I22"/>
    <mergeCell ref="H27:I27"/>
    <mergeCell ref="C64:E64"/>
    <mergeCell ref="C70:E70"/>
    <mergeCell ref="C69:E69"/>
    <mergeCell ref="C66:E66"/>
    <mergeCell ref="C67:E67"/>
    <mergeCell ref="F87:G87"/>
    <mergeCell ref="C58:E58"/>
    <mergeCell ref="C95:E95"/>
    <mergeCell ref="F91:G91"/>
    <mergeCell ref="F77:G77"/>
    <mergeCell ref="F75:G75"/>
    <mergeCell ref="C86:E86"/>
    <mergeCell ref="C76:E76"/>
    <mergeCell ref="F76:G76"/>
    <mergeCell ref="C87:E87"/>
    <mergeCell ref="F84:G84"/>
    <mergeCell ref="F86:G86"/>
    <mergeCell ref="C84:E84"/>
    <mergeCell ref="C94:E94"/>
    <mergeCell ref="C82:E82"/>
    <mergeCell ref="F85:G85"/>
    <mergeCell ref="C88:E88"/>
    <mergeCell ref="F88:G88"/>
    <mergeCell ref="C93:E93"/>
    <mergeCell ref="C92:E92"/>
    <mergeCell ref="F89:G89"/>
    <mergeCell ref="C75:E75"/>
    <mergeCell ref="C72:E72"/>
    <mergeCell ref="C80:E80"/>
    <mergeCell ref="F69:G69"/>
    <mergeCell ref="C89:E89"/>
    <mergeCell ref="C91:E91"/>
    <mergeCell ref="C90:E90"/>
    <mergeCell ref="C71:E71"/>
    <mergeCell ref="C77:E77"/>
    <mergeCell ref="F81:G81"/>
    <mergeCell ref="C74:E74"/>
    <mergeCell ref="F82:G82"/>
    <mergeCell ref="C81:E81"/>
    <mergeCell ref="C85:E85"/>
    <mergeCell ref="C79:E79"/>
    <mergeCell ref="C83:E83"/>
    <mergeCell ref="C30:E30"/>
    <mergeCell ref="C36:E36"/>
    <mergeCell ref="F42:G42"/>
    <mergeCell ref="F48:G48"/>
    <mergeCell ref="F30:G30"/>
    <mergeCell ref="C31:E31"/>
    <mergeCell ref="C61:E61"/>
    <mergeCell ref="F59:G59"/>
    <mergeCell ref="C56:E56"/>
    <mergeCell ref="F58:G58"/>
    <mergeCell ref="C24:E24"/>
    <mergeCell ref="C16:E16"/>
    <mergeCell ref="C12:E12"/>
    <mergeCell ref="F12:G12"/>
    <mergeCell ref="C15:E15"/>
    <mergeCell ref="C14:E14"/>
    <mergeCell ref="F14:G14"/>
    <mergeCell ref="C13:E13"/>
    <mergeCell ref="C9:E9"/>
    <mergeCell ref="C23:E23"/>
    <mergeCell ref="F9:G9"/>
    <mergeCell ref="C11:E11"/>
    <mergeCell ref="C17:E17"/>
    <mergeCell ref="F11:G11"/>
    <mergeCell ref="C10:E10"/>
    <mergeCell ref="F10:G10"/>
    <mergeCell ref="C21:E21"/>
    <mergeCell ref="F23:G23"/>
    <mergeCell ref="C22:E22"/>
    <mergeCell ref="F90:G90"/>
    <mergeCell ref="F93:G93"/>
    <mergeCell ref="F98:G98"/>
    <mergeCell ref="H84:I84"/>
    <mergeCell ref="H79:I79"/>
    <mergeCell ref="H81:I81"/>
    <mergeCell ref="F29:G29"/>
    <mergeCell ref="H9:I9"/>
    <mergeCell ref="H23:I23"/>
    <mergeCell ref="H13:I13"/>
    <mergeCell ref="H11:I11"/>
    <mergeCell ref="H16:I16"/>
    <mergeCell ref="F13:G13"/>
    <mergeCell ref="H10:I10"/>
    <mergeCell ref="F18:G18"/>
    <mergeCell ref="H12:I12"/>
    <mergeCell ref="H21:I21"/>
    <mergeCell ref="H14:I14"/>
    <mergeCell ref="F25:G25"/>
    <mergeCell ref="H25:I25"/>
    <mergeCell ref="H15:I15"/>
    <mergeCell ref="H18:I18"/>
    <mergeCell ref="H33:I33"/>
    <mergeCell ref="H30:I30"/>
    <mergeCell ref="C100:E100"/>
    <mergeCell ref="C96:E96"/>
    <mergeCell ref="F96:G96"/>
    <mergeCell ref="F112:G112"/>
    <mergeCell ref="C97:E97"/>
    <mergeCell ref="F97:G97"/>
    <mergeCell ref="F105:G105"/>
    <mergeCell ref="F64:G64"/>
    <mergeCell ref="H67:I67"/>
    <mergeCell ref="H64:I64"/>
    <mergeCell ref="F66:G66"/>
    <mergeCell ref="F92:G92"/>
    <mergeCell ref="F80:G80"/>
    <mergeCell ref="F110:G110"/>
    <mergeCell ref="F73:G73"/>
    <mergeCell ref="F74:G74"/>
    <mergeCell ref="F71:G71"/>
    <mergeCell ref="F94:G94"/>
    <mergeCell ref="F79:G79"/>
    <mergeCell ref="F72:G72"/>
    <mergeCell ref="F70:G70"/>
    <mergeCell ref="F100:G100"/>
    <mergeCell ref="F99:G99"/>
    <mergeCell ref="H88:I88"/>
    <mergeCell ref="C107:E107"/>
    <mergeCell ref="F111:G111"/>
    <mergeCell ref="C112:E112"/>
    <mergeCell ref="C113:E113"/>
    <mergeCell ref="C115:E115"/>
    <mergeCell ref="F114:G114"/>
    <mergeCell ref="C114:E114"/>
    <mergeCell ref="F115:G115"/>
    <mergeCell ref="F113:G113"/>
    <mergeCell ref="C73:E73"/>
    <mergeCell ref="H72:I72"/>
    <mergeCell ref="F83:G83"/>
    <mergeCell ref="C102:E102"/>
    <mergeCell ref="F102:G102"/>
    <mergeCell ref="C99:E99"/>
    <mergeCell ref="C108:E108"/>
    <mergeCell ref="H115:I115"/>
    <mergeCell ref="C109:E109"/>
    <mergeCell ref="F107:G107"/>
    <mergeCell ref="C104:E104"/>
    <mergeCell ref="C106:E106"/>
    <mergeCell ref="C105:E105"/>
    <mergeCell ref="H105:I105"/>
    <mergeCell ref="H113:I113"/>
    <mergeCell ref="H109:I109"/>
    <mergeCell ref="F106:G106"/>
    <mergeCell ref="F104:G104"/>
    <mergeCell ref="H104:I104"/>
    <mergeCell ref="H110:I110"/>
    <mergeCell ref="H108:I108"/>
    <mergeCell ref="H114:I114"/>
    <mergeCell ref="H111:I111"/>
    <mergeCell ref="H103:I103"/>
    <mergeCell ref="H100:I100"/>
    <mergeCell ref="H96:I96"/>
    <mergeCell ref="H91:I91"/>
    <mergeCell ref="H92:I92"/>
    <mergeCell ref="H87:I87"/>
    <mergeCell ref="H90:I90"/>
    <mergeCell ref="H93:I93"/>
    <mergeCell ref="C123:I123"/>
    <mergeCell ref="H106:I106"/>
    <mergeCell ref="H102:I102"/>
    <mergeCell ref="H107:I107"/>
    <mergeCell ref="C110:E110"/>
    <mergeCell ref="F103:G103"/>
    <mergeCell ref="C103:E103"/>
    <mergeCell ref="C101:E101"/>
    <mergeCell ref="H112:I112"/>
    <mergeCell ref="H101:I101"/>
    <mergeCell ref="F101:G101"/>
    <mergeCell ref="C98:E98"/>
    <mergeCell ref="F95:G95"/>
    <mergeCell ref="E117:G117"/>
    <mergeCell ref="F109:G109"/>
    <mergeCell ref="F108:G108"/>
    <mergeCell ref="C111:E111"/>
    <mergeCell ref="H80:I80"/>
    <mergeCell ref="H66:I66"/>
    <mergeCell ref="H63:I63"/>
    <mergeCell ref="H61:I61"/>
    <mergeCell ref="H70:I70"/>
    <mergeCell ref="H99:I99"/>
    <mergeCell ref="H71:I71"/>
    <mergeCell ref="H85:I85"/>
    <mergeCell ref="H77:I77"/>
    <mergeCell ref="H95:I95"/>
    <mergeCell ref="H76:I76"/>
    <mergeCell ref="H97:I97"/>
    <mergeCell ref="H86:I86"/>
    <mergeCell ref="H98:I98"/>
    <mergeCell ref="H89:I89"/>
    <mergeCell ref="H94:I94"/>
    <mergeCell ref="H83:I83"/>
    <mergeCell ref="H82:I82"/>
    <mergeCell ref="H78:I78"/>
    <mergeCell ref="C57:E57"/>
    <mergeCell ref="F54:G54"/>
    <mergeCell ref="C54:E54"/>
    <mergeCell ref="F55:G55"/>
    <mergeCell ref="C55:E55"/>
    <mergeCell ref="H75:I75"/>
    <mergeCell ref="H57:I57"/>
    <mergeCell ref="H58:I58"/>
    <mergeCell ref="H73:I73"/>
    <mergeCell ref="H74:I74"/>
    <mergeCell ref="F67:G67"/>
    <mergeCell ref="C59:E59"/>
    <mergeCell ref="F63:G63"/>
    <mergeCell ref="C68:E68"/>
    <mergeCell ref="C65:E65"/>
    <mergeCell ref="C60:E60"/>
    <mergeCell ref="F60:G60"/>
    <mergeCell ref="C63:E63"/>
    <mergeCell ref="F57:G57"/>
    <mergeCell ref="H69:I69"/>
    <mergeCell ref="F61:G61"/>
    <mergeCell ref="H68:I68"/>
    <mergeCell ref="H60:I60"/>
    <mergeCell ref="F68:G68"/>
    <mergeCell ref="C34:E34"/>
    <mergeCell ref="H35:I35"/>
    <mergeCell ref="F33:G33"/>
    <mergeCell ref="C45:E45"/>
    <mergeCell ref="C50:E50"/>
    <mergeCell ref="C43:E43"/>
    <mergeCell ref="H46:I46"/>
    <mergeCell ref="C44:E44"/>
    <mergeCell ref="F49:G49"/>
    <mergeCell ref="C47:E47"/>
    <mergeCell ref="C49:E49"/>
    <mergeCell ref="H49:I49"/>
    <mergeCell ref="F40:G40"/>
    <mergeCell ref="C37:E37"/>
    <mergeCell ref="C48:E48"/>
    <mergeCell ref="C46:E46"/>
    <mergeCell ref="C41:E41"/>
    <mergeCell ref="C39:E39"/>
    <mergeCell ref="C42:E42"/>
    <mergeCell ref="H40:I40"/>
    <mergeCell ref="H42:I42"/>
    <mergeCell ref="H59:I59"/>
    <mergeCell ref="F56:G56"/>
    <mergeCell ref="H56:I56"/>
    <mergeCell ref="H54:I54"/>
    <mergeCell ref="C33:E33"/>
    <mergeCell ref="F27:G27"/>
    <mergeCell ref="H20:I20"/>
    <mergeCell ref="H43:I43"/>
    <mergeCell ref="C52:E52"/>
    <mergeCell ref="F53:G53"/>
    <mergeCell ref="C53:E53"/>
    <mergeCell ref="C51:E51"/>
    <mergeCell ref="H53:I53"/>
    <mergeCell ref="H36:I36"/>
    <mergeCell ref="H48:I48"/>
    <mergeCell ref="H55:I55"/>
    <mergeCell ref="H47:I47"/>
    <mergeCell ref="C32:E32"/>
    <mergeCell ref="C38:E38"/>
    <mergeCell ref="H38:I38"/>
    <mergeCell ref="F38:G38"/>
    <mergeCell ref="F36:G36"/>
    <mergeCell ref="C40:E40"/>
    <mergeCell ref="F34:G34"/>
  </mergeCells>
  <hyperlinks>
    <hyperlink ref="D5" r:id="rId1" xr:uid="{00000000-0004-0000-0200-000000000000}"/>
    <hyperlink ref="D7" r:id="rId2" display="Наш сайт: https://usm.dp.ua/ua/" xr:uid="{00000000-0004-0000-0200-000001000000}"/>
  </hyperlinks>
  <pageMargins left="0.39370078740157483" right="0.19685039370078741" top="0" bottom="0" header="0" footer="0"/>
  <pageSetup paperSize="9" orientation="portrait" verticalDpi="360" r:id="rId3"/>
  <headerFooter alignWithMargins="0"/>
  <drawing r:id="rId4"/>
  <legacy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0"/>
  <sheetViews>
    <sheetView zoomScale="120" zoomScaleNormal="120" workbookViewId="0">
      <pane ySplit="1" topLeftCell="A2" activePane="bottomLeft" state="frozen"/>
      <selection pane="bottomLeft" activeCell="D3" sqref="D3:H3"/>
    </sheetView>
  </sheetViews>
  <sheetFormatPr defaultColWidth="9.140625" defaultRowHeight="12.75" x14ac:dyDescent="0.2"/>
  <cols>
    <col min="1" max="1" width="6" style="22" customWidth="1"/>
    <col min="2" max="2" width="2.5703125" style="102" customWidth="1"/>
    <col min="3" max="3" width="9.140625" style="22"/>
    <col min="4" max="4" width="8.28515625" style="22" customWidth="1"/>
    <col min="5" max="5" width="48" style="22" customWidth="1"/>
    <col min="6" max="6" width="9.140625" style="22"/>
    <col min="7" max="7" width="9.7109375" style="22" customWidth="1"/>
    <col min="8" max="8" width="9.140625" style="22"/>
    <col min="9" max="9" width="2.140625" style="22" customWidth="1"/>
    <col min="10" max="16384" width="9.140625" style="22"/>
  </cols>
  <sheetData>
    <row r="1" spans="1:9" ht="20.100000000000001" customHeight="1" x14ac:dyDescent="0.2">
      <c r="A1" s="336"/>
      <c r="B1" s="337"/>
      <c r="C1" s="181" t="s">
        <v>5410</v>
      </c>
      <c r="D1" s="273"/>
      <c r="E1" s="273"/>
      <c r="F1" s="273"/>
      <c r="G1" s="273"/>
      <c r="H1" s="273"/>
    </row>
    <row r="2" spans="1:9" ht="24" customHeight="1" x14ac:dyDescent="0.2">
      <c r="A2" s="336"/>
      <c r="B2" s="337"/>
      <c r="C2" s="184" t="s">
        <v>5411</v>
      </c>
      <c r="D2" s="273"/>
      <c r="E2" s="273"/>
      <c r="F2" s="273"/>
      <c r="G2" s="273"/>
      <c r="H2" s="273"/>
    </row>
    <row r="3" spans="1:9" ht="23.1" customHeight="1" x14ac:dyDescent="0.2">
      <c r="A3" s="336"/>
      <c r="B3" s="337"/>
      <c r="D3" s="185"/>
      <c r="E3" s="273"/>
      <c r="F3" s="273"/>
      <c r="G3" s="273"/>
      <c r="H3" s="273"/>
    </row>
    <row r="4" spans="1:9" ht="21.95" customHeight="1" x14ac:dyDescent="0.2">
      <c r="A4" s="336"/>
      <c r="B4" s="337"/>
      <c r="D4" s="185" t="s">
        <v>5412</v>
      </c>
      <c r="E4" s="273"/>
      <c r="F4" s="273"/>
      <c r="G4" s="273"/>
      <c r="H4" s="273"/>
    </row>
    <row r="5" spans="1:9" ht="23.1" customHeight="1" x14ac:dyDescent="0.2">
      <c r="A5" s="336"/>
      <c r="B5" s="337"/>
      <c r="D5" s="186" t="s">
        <v>5413</v>
      </c>
      <c r="E5" s="273"/>
      <c r="F5" s="273"/>
      <c r="G5" s="273"/>
      <c r="H5" s="273"/>
    </row>
    <row r="6" spans="1:9" ht="14.1" customHeight="1" x14ac:dyDescent="0.2">
      <c r="A6" s="336"/>
      <c r="B6" s="337"/>
    </row>
    <row r="7" spans="1:9" ht="21.95" customHeight="1" x14ac:dyDescent="0.2">
      <c r="A7" s="336"/>
      <c r="B7" s="337"/>
      <c r="D7" s="186" t="s">
        <v>5418</v>
      </c>
      <c r="E7" s="273"/>
      <c r="F7" s="273"/>
      <c r="G7" s="273"/>
      <c r="H7" s="273"/>
    </row>
    <row r="8" spans="1:9" ht="12.95" customHeight="1" thickBot="1" x14ac:dyDescent="0.25">
      <c r="A8" s="336"/>
      <c r="B8" s="337"/>
    </row>
    <row r="9" spans="1:9" ht="18.75" thickBot="1" x14ac:dyDescent="0.3">
      <c r="A9" s="334" t="s">
        <v>78</v>
      </c>
      <c r="B9" s="335"/>
      <c r="C9" s="205" t="s">
        <v>5414</v>
      </c>
      <c r="D9" s="206"/>
      <c r="E9" s="206"/>
      <c r="F9" s="207" t="s">
        <v>77</v>
      </c>
      <c r="G9" s="269"/>
      <c r="H9" s="267" t="s">
        <v>79</v>
      </c>
      <c r="I9" s="268"/>
    </row>
    <row r="10" spans="1:9" x14ac:dyDescent="0.2">
      <c r="A10" s="20">
        <v>1</v>
      </c>
      <c r="C10" s="262" t="s">
        <v>2979</v>
      </c>
      <c r="D10" s="262"/>
      <c r="E10" s="262"/>
      <c r="F10" s="238" t="s">
        <v>1417</v>
      </c>
      <c r="G10" s="238"/>
      <c r="H10" s="215">
        <f>22.2+46</f>
        <v>68.2</v>
      </c>
      <c r="I10" s="260"/>
    </row>
    <row r="11" spans="1:9" x14ac:dyDescent="0.2">
      <c r="A11" s="20">
        <v>2</v>
      </c>
      <c r="C11" s="262" t="s">
        <v>1496</v>
      </c>
      <c r="D11" s="262"/>
      <c r="E11" s="262"/>
      <c r="F11" s="238" t="s">
        <v>1495</v>
      </c>
      <c r="G11" s="238"/>
      <c r="H11" s="215">
        <v>17.2</v>
      </c>
      <c r="I11" s="260"/>
    </row>
    <row r="12" spans="1:9" x14ac:dyDescent="0.2">
      <c r="A12" s="20">
        <v>3</v>
      </c>
      <c r="C12" s="262" t="s">
        <v>2381</v>
      </c>
      <c r="D12" s="262"/>
      <c r="E12" s="262"/>
      <c r="F12" s="238" t="s">
        <v>3064</v>
      </c>
      <c r="G12" s="238"/>
      <c r="H12" s="265">
        <f>25+35</f>
        <v>60</v>
      </c>
      <c r="I12" s="266"/>
    </row>
    <row r="13" spans="1:9" x14ac:dyDescent="0.2">
      <c r="A13" s="20">
        <v>4</v>
      </c>
      <c r="B13" s="102" t="s">
        <v>3540</v>
      </c>
      <c r="C13" s="262" t="s">
        <v>4846</v>
      </c>
      <c r="D13" s="262"/>
      <c r="E13" s="262"/>
      <c r="F13" s="238" t="s">
        <v>3064</v>
      </c>
      <c r="G13" s="238"/>
      <c r="H13" s="265">
        <v>15.1</v>
      </c>
      <c r="I13" s="266"/>
    </row>
    <row r="14" spans="1:9" x14ac:dyDescent="0.2">
      <c r="A14" s="20">
        <v>5</v>
      </c>
      <c r="C14" s="262" t="s">
        <v>3779</v>
      </c>
      <c r="D14" s="262"/>
      <c r="E14" s="262"/>
      <c r="F14" s="238" t="s">
        <v>3063</v>
      </c>
      <c r="G14" s="238"/>
      <c r="H14" s="215">
        <v>13.9</v>
      </c>
      <c r="I14" s="260"/>
    </row>
    <row r="15" spans="1:9" x14ac:dyDescent="0.2">
      <c r="A15" s="20">
        <v>6</v>
      </c>
      <c r="C15" s="262" t="s">
        <v>3062</v>
      </c>
      <c r="D15" s="262"/>
      <c r="E15" s="262"/>
      <c r="F15" s="238" t="s">
        <v>3063</v>
      </c>
      <c r="G15" s="238"/>
      <c r="H15" s="215">
        <v>2.9</v>
      </c>
      <c r="I15" s="260"/>
    </row>
    <row r="16" spans="1:9" x14ac:dyDescent="0.2">
      <c r="A16" s="20">
        <v>7</v>
      </c>
      <c r="C16" s="262" t="s">
        <v>2701</v>
      </c>
      <c r="D16" s="262"/>
      <c r="E16" s="262"/>
      <c r="F16" s="238" t="s">
        <v>373</v>
      </c>
      <c r="G16" s="238"/>
      <c r="H16" s="265">
        <v>0.35</v>
      </c>
      <c r="I16" s="266"/>
    </row>
    <row r="17" spans="1:9" x14ac:dyDescent="0.2">
      <c r="A17" s="20">
        <v>8</v>
      </c>
      <c r="C17" s="262" t="s">
        <v>5227</v>
      </c>
      <c r="D17" s="262"/>
      <c r="E17" s="262"/>
      <c r="F17" s="238" t="s">
        <v>373</v>
      </c>
      <c r="G17" s="238"/>
      <c r="H17" s="215">
        <f>9.6-0.5-1.6-1.1-1.3-0.45-2.9</f>
        <v>1.7500000000000004</v>
      </c>
      <c r="I17" s="260"/>
    </row>
    <row r="18" spans="1:9" x14ac:dyDescent="0.2">
      <c r="A18" s="20">
        <v>9</v>
      </c>
      <c r="C18" s="262" t="s">
        <v>3316</v>
      </c>
      <c r="D18" s="262"/>
      <c r="E18" s="262"/>
      <c r="F18" s="238" t="s">
        <v>2134</v>
      </c>
      <c r="G18" s="238"/>
      <c r="H18" s="215">
        <f>10.4-0.4</f>
        <v>10</v>
      </c>
      <c r="I18" s="260"/>
    </row>
    <row r="19" spans="1:9" x14ac:dyDescent="0.2">
      <c r="A19" s="20">
        <v>10</v>
      </c>
      <c r="C19" s="262" t="s">
        <v>3259</v>
      </c>
      <c r="D19" s="262"/>
      <c r="E19" s="262"/>
      <c r="F19" s="238" t="s">
        <v>2134</v>
      </c>
      <c r="G19" s="238"/>
      <c r="H19" s="215">
        <v>7.8</v>
      </c>
      <c r="I19" s="260"/>
    </row>
    <row r="20" spans="1:9" x14ac:dyDescent="0.2">
      <c r="A20" s="20">
        <v>11</v>
      </c>
      <c r="C20" s="262" t="s">
        <v>3258</v>
      </c>
      <c r="D20" s="262"/>
      <c r="E20" s="262"/>
      <c r="F20" s="238" t="s">
        <v>2134</v>
      </c>
      <c r="G20" s="238"/>
      <c r="H20" s="215">
        <v>8.6</v>
      </c>
      <c r="I20" s="260"/>
    </row>
    <row r="21" spans="1:9" x14ac:dyDescent="0.2">
      <c r="A21" s="20">
        <v>12</v>
      </c>
      <c r="C21" s="262" t="s">
        <v>5351</v>
      </c>
      <c r="D21" s="262"/>
      <c r="E21" s="262"/>
      <c r="F21" s="238" t="s">
        <v>2134</v>
      </c>
      <c r="G21" s="238"/>
      <c r="H21" s="215">
        <f>11.9-3.8</f>
        <v>8.1000000000000014</v>
      </c>
      <c r="I21" s="260"/>
    </row>
    <row r="22" spans="1:9" x14ac:dyDescent="0.2">
      <c r="A22" s="20">
        <v>13</v>
      </c>
      <c r="C22" s="262" t="s">
        <v>380</v>
      </c>
      <c r="D22" s="262"/>
      <c r="E22" s="262"/>
      <c r="F22" s="261" t="s">
        <v>94</v>
      </c>
      <c r="G22" s="218"/>
      <c r="H22" s="263"/>
      <c r="I22" s="215"/>
    </row>
    <row r="23" spans="1:9" x14ac:dyDescent="0.2">
      <c r="A23" s="20">
        <v>14</v>
      </c>
      <c r="C23" s="262" t="s">
        <v>288</v>
      </c>
      <c r="D23" s="262"/>
      <c r="E23" s="262"/>
      <c r="F23" s="261" t="s">
        <v>214</v>
      </c>
      <c r="G23" s="218"/>
      <c r="H23" s="263">
        <v>4.2</v>
      </c>
      <c r="I23" s="215"/>
    </row>
    <row r="24" spans="1:9" x14ac:dyDescent="0.2">
      <c r="A24" s="20">
        <v>15</v>
      </c>
      <c r="C24" s="262" t="s">
        <v>217</v>
      </c>
      <c r="D24" s="262"/>
      <c r="E24" s="262"/>
      <c r="F24" s="261" t="s">
        <v>216</v>
      </c>
      <c r="G24" s="218"/>
      <c r="H24" s="263"/>
      <c r="I24" s="215"/>
    </row>
    <row r="25" spans="1:9" x14ac:dyDescent="0.2">
      <c r="A25" s="20">
        <v>16</v>
      </c>
      <c r="C25" s="262" t="s">
        <v>697</v>
      </c>
      <c r="D25" s="262"/>
      <c r="E25" s="262"/>
      <c r="F25" s="270">
        <v>0.998</v>
      </c>
      <c r="G25" s="218"/>
      <c r="H25" s="263">
        <v>1.4</v>
      </c>
      <c r="I25" s="215"/>
    </row>
    <row r="26" spans="1:9" x14ac:dyDescent="0.2">
      <c r="A26" s="20">
        <v>17</v>
      </c>
      <c r="C26" s="262" t="s">
        <v>407</v>
      </c>
      <c r="D26" s="262"/>
      <c r="E26" s="262"/>
      <c r="F26" s="261" t="s">
        <v>182</v>
      </c>
      <c r="G26" s="218"/>
      <c r="H26" s="263"/>
      <c r="I26" s="215"/>
    </row>
    <row r="27" spans="1:9" s="17" customFormat="1" ht="12.75" customHeight="1" x14ac:dyDescent="0.2">
      <c r="A27" s="20">
        <v>18</v>
      </c>
      <c r="B27" s="102"/>
      <c r="C27" s="220" t="s">
        <v>101</v>
      </c>
      <c r="D27" s="220"/>
      <c r="E27" s="220"/>
      <c r="F27" s="222" t="s">
        <v>86</v>
      </c>
      <c r="G27" s="223"/>
      <c r="H27" s="224">
        <v>92</v>
      </c>
      <c r="I27" s="264"/>
    </row>
    <row r="28" spans="1:9" s="17" customFormat="1" ht="12.75" customHeight="1" x14ac:dyDescent="0.2">
      <c r="A28" s="20">
        <v>19</v>
      </c>
      <c r="B28" s="102"/>
      <c r="C28" s="220" t="s">
        <v>11</v>
      </c>
      <c r="D28" s="220"/>
      <c r="E28" s="220"/>
      <c r="F28" s="222" t="s">
        <v>86</v>
      </c>
      <c r="G28" s="223"/>
      <c r="H28" s="230">
        <v>8.9</v>
      </c>
      <c r="I28" s="225"/>
    </row>
    <row r="29" spans="1:9" s="17" customFormat="1" ht="12.75" customHeight="1" x14ac:dyDescent="0.2">
      <c r="A29" s="20">
        <v>20</v>
      </c>
      <c r="B29" s="102"/>
      <c r="C29" s="220" t="s">
        <v>710</v>
      </c>
      <c r="D29" s="220"/>
      <c r="E29" s="220"/>
      <c r="F29" s="222" t="s">
        <v>494</v>
      </c>
      <c r="G29" s="223"/>
      <c r="H29" s="230">
        <v>100</v>
      </c>
      <c r="I29" s="225"/>
    </row>
    <row r="30" spans="1:9" s="17" customFormat="1" ht="12.75" customHeight="1" x14ac:dyDescent="0.2">
      <c r="A30" s="20">
        <v>21</v>
      </c>
      <c r="B30" s="102"/>
      <c r="C30" s="220" t="s">
        <v>1518</v>
      </c>
      <c r="D30" s="220"/>
      <c r="E30" s="220"/>
      <c r="F30" s="222" t="s">
        <v>10</v>
      </c>
      <c r="G30" s="223"/>
      <c r="H30" s="230">
        <f>21.5-1-1</f>
        <v>19.5</v>
      </c>
      <c r="I30" s="225"/>
    </row>
    <row r="31" spans="1:9" s="17" customFormat="1" ht="12.75" customHeight="1" x14ac:dyDescent="0.2">
      <c r="A31" s="20">
        <v>22</v>
      </c>
      <c r="B31" s="102"/>
      <c r="C31" s="220" t="s">
        <v>1742</v>
      </c>
      <c r="D31" s="220"/>
      <c r="E31" s="220"/>
      <c r="F31" s="222" t="s">
        <v>10</v>
      </c>
      <c r="G31" s="223"/>
      <c r="H31" s="230">
        <f>6.8-1.9</f>
        <v>4.9000000000000004</v>
      </c>
      <c r="I31" s="225"/>
    </row>
    <row r="32" spans="1:9" s="17" customFormat="1" ht="12.75" customHeight="1" x14ac:dyDescent="0.2">
      <c r="A32" s="20">
        <v>23</v>
      </c>
      <c r="B32" s="102"/>
      <c r="C32" s="220" t="s">
        <v>1277</v>
      </c>
      <c r="D32" s="220"/>
      <c r="E32" s="220"/>
      <c r="F32" s="222" t="s">
        <v>10</v>
      </c>
      <c r="G32" s="223"/>
      <c r="H32" s="230">
        <f>12.7-3-0.7-0.4</f>
        <v>8.6</v>
      </c>
      <c r="I32" s="225"/>
    </row>
    <row r="33" spans="1:9" s="17" customFormat="1" ht="12.75" customHeight="1" x14ac:dyDescent="0.2">
      <c r="A33" s="20">
        <v>24</v>
      </c>
      <c r="B33" s="102" t="s">
        <v>741</v>
      </c>
      <c r="C33" s="220" t="s">
        <v>3748</v>
      </c>
      <c r="D33" s="220"/>
      <c r="E33" s="220"/>
      <c r="F33" s="222" t="s">
        <v>10</v>
      </c>
      <c r="G33" s="223"/>
      <c r="H33" s="230">
        <f>54.3-10.4</f>
        <v>43.9</v>
      </c>
      <c r="I33" s="225"/>
    </row>
    <row r="34" spans="1:9" s="17" customFormat="1" ht="12.75" customHeight="1" x14ac:dyDescent="0.2">
      <c r="A34" s="20">
        <v>25</v>
      </c>
      <c r="B34" s="102"/>
      <c r="C34" s="220" t="s">
        <v>5225</v>
      </c>
      <c r="D34" s="220"/>
      <c r="E34" s="220"/>
      <c r="F34" s="222" t="s">
        <v>10</v>
      </c>
      <c r="G34" s="223"/>
      <c r="H34" s="230">
        <f>5.3-0.7-1.8-0.7-0.4</f>
        <v>1.6999999999999997</v>
      </c>
      <c r="I34" s="225"/>
    </row>
    <row r="35" spans="1:9" s="17" customFormat="1" x14ac:dyDescent="0.2">
      <c r="A35" s="20">
        <v>26</v>
      </c>
      <c r="B35" s="102"/>
      <c r="C35" s="120" t="s">
        <v>3551</v>
      </c>
      <c r="D35" s="120"/>
      <c r="E35" s="120"/>
      <c r="F35" s="222" t="s">
        <v>10</v>
      </c>
      <c r="G35" s="223"/>
      <c r="H35" s="137">
        <f>5.2-0.4-2-0.7</f>
        <v>2.0999999999999996</v>
      </c>
      <c r="I35" s="140"/>
    </row>
    <row r="36" spans="1:9" s="17" customFormat="1" ht="12.75" customHeight="1" x14ac:dyDescent="0.2">
      <c r="A36" s="20">
        <v>27</v>
      </c>
      <c r="B36" s="102"/>
      <c r="C36" s="220" t="s">
        <v>2847</v>
      </c>
      <c r="D36" s="220"/>
      <c r="E36" s="220"/>
      <c r="F36" s="222" t="s">
        <v>10</v>
      </c>
      <c r="G36" s="223"/>
      <c r="H36" s="230">
        <v>7.6</v>
      </c>
      <c r="I36" s="225"/>
    </row>
    <row r="37" spans="1:9" s="17" customFormat="1" ht="12.75" customHeight="1" x14ac:dyDescent="0.2">
      <c r="A37" s="20">
        <v>28</v>
      </c>
      <c r="B37" s="102"/>
      <c r="C37" s="220" t="s">
        <v>2360</v>
      </c>
      <c r="D37" s="220"/>
      <c r="E37" s="220"/>
      <c r="F37" s="222" t="s">
        <v>104</v>
      </c>
      <c r="G37" s="223"/>
      <c r="H37" s="230">
        <v>21.5</v>
      </c>
      <c r="I37" s="225"/>
    </row>
    <row r="38" spans="1:9" s="17" customFormat="1" ht="12.75" customHeight="1" x14ac:dyDescent="0.2">
      <c r="A38" s="20">
        <v>29</v>
      </c>
      <c r="B38" s="102"/>
      <c r="C38" s="220" t="s">
        <v>366</v>
      </c>
      <c r="D38" s="220"/>
      <c r="E38" s="220"/>
      <c r="F38" s="222" t="s">
        <v>104</v>
      </c>
      <c r="G38" s="223"/>
      <c r="H38" s="230">
        <v>7.3</v>
      </c>
      <c r="I38" s="225"/>
    </row>
    <row r="39" spans="1:9" s="17" customFormat="1" ht="12.75" customHeight="1" x14ac:dyDescent="0.2">
      <c r="A39" s="20">
        <v>30</v>
      </c>
      <c r="B39" s="102"/>
      <c r="C39" s="220" t="s">
        <v>2333</v>
      </c>
      <c r="D39" s="220"/>
      <c r="E39" s="220"/>
      <c r="F39" s="222" t="s">
        <v>104</v>
      </c>
      <c r="G39" s="223"/>
      <c r="H39" s="230">
        <v>167</v>
      </c>
      <c r="I39" s="225"/>
    </row>
    <row r="40" spans="1:9" s="17" customFormat="1" ht="12.75" customHeight="1" x14ac:dyDescent="0.2">
      <c r="A40" s="20">
        <v>31</v>
      </c>
      <c r="B40" s="102"/>
      <c r="C40" s="220" t="s">
        <v>2757</v>
      </c>
      <c r="D40" s="220"/>
      <c r="E40" s="220"/>
      <c r="F40" s="222" t="s">
        <v>104</v>
      </c>
      <c r="G40" s="223"/>
      <c r="H40" s="230">
        <f>52.5-17.5</f>
        <v>35</v>
      </c>
      <c r="I40" s="225"/>
    </row>
    <row r="41" spans="1:9" s="17" customFormat="1" ht="12.75" customHeight="1" x14ac:dyDescent="0.2">
      <c r="A41" s="20">
        <v>32</v>
      </c>
      <c r="B41" s="102"/>
      <c r="C41" s="220" t="s">
        <v>3053</v>
      </c>
      <c r="D41" s="220"/>
      <c r="E41" s="220"/>
      <c r="F41" s="222" t="s">
        <v>104</v>
      </c>
      <c r="G41" s="223"/>
      <c r="H41" s="230">
        <v>15.4</v>
      </c>
      <c r="I41" s="225"/>
    </row>
    <row r="42" spans="1:9" s="17" customFormat="1" ht="12.75" customHeight="1" x14ac:dyDescent="0.2">
      <c r="A42" s="20">
        <v>33</v>
      </c>
      <c r="B42" s="102"/>
      <c r="C42" s="220" t="s">
        <v>2334</v>
      </c>
      <c r="D42" s="220"/>
      <c r="E42" s="220"/>
      <c r="F42" s="222" t="s">
        <v>104</v>
      </c>
      <c r="G42" s="223"/>
      <c r="H42" s="230">
        <v>17.7</v>
      </c>
      <c r="I42" s="225"/>
    </row>
    <row r="43" spans="1:9" s="17" customFormat="1" ht="12.75" customHeight="1" x14ac:dyDescent="0.2">
      <c r="A43" s="20">
        <v>34</v>
      </c>
      <c r="B43" s="102"/>
      <c r="C43" s="220" t="s">
        <v>4874</v>
      </c>
      <c r="D43" s="220"/>
      <c r="E43" s="220"/>
      <c r="F43" s="222" t="s">
        <v>104</v>
      </c>
      <c r="G43" s="223"/>
      <c r="H43" s="230">
        <v>18.2</v>
      </c>
      <c r="I43" s="225"/>
    </row>
    <row r="44" spans="1:9" s="17" customFormat="1" ht="12.75" customHeight="1" x14ac:dyDescent="0.2">
      <c r="A44" s="20">
        <v>35</v>
      </c>
      <c r="B44" s="102"/>
      <c r="C44" s="220" t="s">
        <v>2190</v>
      </c>
      <c r="D44" s="220"/>
      <c r="E44" s="220"/>
      <c r="F44" s="222" t="s">
        <v>104</v>
      </c>
      <c r="G44" s="223"/>
      <c r="H44" s="230">
        <v>21.3</v>
      </c>
      <c r="I44" s="225"/>
    </row>
    <row r="45" spans="1:9" s="17" customFormat="1" ht="12.75" customHeight="1" x14ac:dyDescent="0.2">
      <c r="A45" s="20">
        <v>36</v>
      </c>
      <c r="B45" s="102"/>
      <c r="C45" s="220" t="s">
        <v>1502</v>
      </c>
      <c r="D45" s="220"/>
      <c r="E45" s="220"/>
      <c r="F45" s="222" t="s">
        <v>104</v>
      </c>
      <c r="G45" s="223"/>
      <c r="H45" s="230">
        <f>43.9-15.3-15.4</f>
        <v>13.199999999999998</v>
      </c>
      <c r="I45" s="225"/>
    </row>
    <row r="46" spans="1:9" s="17" customFormat="1" ht="12.75" customHeight="1" x14ac:dyDescent="0.2">
      <c r="A46" s="20">
        <v>37</v>
      </c>
      <c r="B46" s="102"/>
      <c r="C46" s="220" t="s">
        <v>549</v>
      </c>
      <c r="D46" s="220"/>
      <c r="E46" s="220"/>
      <c r="F46" s="222" t="s">
        <v>104</v>
      </c>
      <c r="G46" s="223"/>
      <c r="H46" s="230">
        <f>10.1+19.1-10.1</f>
        <v>19.100000000000001</v>
      </c>
      <c r="I46" s="225"/>
    </row>
    <row r="47" spans="1:9" s="17" customFormat="1" ht="12.75" customHeight="1" x14ac:dyDescent="0.2">
      <c r="A47" s="20">
        <v>38</v>
      </c>
      <c r="B47" s="102"/>
      <c r="C47" s="220" t="s">
        <v>1022</v>
      </c>
      <c r="D47" s="220"/>
      <c r="E47" s="220"/>
      <c r="F47" s="222" t="s">
        <v>10</v>
      </c>
      <c r="G47" s="223"/>
      <c r="H47" s="224">
        <v>4.5</v>
      </c>
      <c r="I47" s="264"/>
    </row>
    <row r="48" spans="1:9" s="17" customFormat="1" ht="12.75" customHeight="1" x14ac:dyDescent="0.2">
      <c r="A48" s="20">
        <v>39</v>
      </c>
      <c r="B48" s="102" t="s">
        <v>741</v>
      </c>
      <c r="C48" s="220" t="s">
        <v>1962</v>
      </c>
      <c r="D48" s="220"/>
      <c r="E48" s="220"/>
      <c r="F48" s="222" t="s">
        <v>10</v>
      </c>
      <c r="G48" s="223"/>
      <c r="H48" s="224">
        <v>92.6</v>
      </c>
      <c r="I48" s="264"/>
    </row>
    <row r="49" spans="1:9" s="17" customFormat="1" ht="12.75" customHeight="1" x14ac:dyDescent="0.2">
      <c r="A49" s="20">
        <v>40</v>
      </c>
      <c r="B49" s="102"/>
      <c r="C49" s="220" t="s">
        <v>1717</v>
      </c>
      <c r="D49" s="220"/>
      <c r="E49" s="220"/>
      <c r="F49" s="222" t="s">
        <v>114</v>
      </c>
      <c r="G49" s="223"/>
      <c r="H49" s="230">
        <v>1</v>
      </c>
      <c r="I49" s="225"/>
    </row>
    <row r="50" spans="1:9" s="17" customFormat="1" ht="12.75" customHeight="1" x14ac:dyDescent="0.2">
      <c r="A50" s="20">
        <v>41</v>
      </c>
      <c r="B50" s="102"/>
      <c r="C50" s="220" t="s">
        <v>1074</v>
      </c>
      <c r="D50" s="220"/>
      <c r="E50" s="220"/>
      <c r="F50" s="222" t="s">
        <v>114</v>
      </c>
      <c r="G50" s="223"/>
      <c r="H50" s="230">
        <v>7</v>
      </c>
      <c r="I50" s="225"/>
    </row>
    <row r="51" spans="1:9" s="17" customFormat="1" ht="12.75" customHeight="1" x14ac:dyDescent="0.2">
      <c r="A51" s="20">
        <v>42</v>
      </c>
      <c r="B51" s="102"/>
      <c r="C51" s="220" t="s">
        <v>577</v>
      </c>
      <c r="D51" s="220"/>
      <c r="E51" s="220"/>
      <c r="F51" s="222" t="s">
        <v>114</v>
      </c>
      <c r="G51" s="223"/>
      <c r="H51" s="230">
        <v>3.3</v>
      </c>
      <c r="I51" s="225"/>
    </row>
    <row r="52" spans="1:9" s="17" customFormat="1" ht="12.75" customHeight="1" x14ac:dyDescent="0.2">
      <c r="A52" s="20">
        <v>43</v>
      </c>
      <c r="B52" s="102"/>
      <c r="C52" s="220" t="s">
        <v>461</v>
      </c>
      <c r="D52" s="220"/>
      <c r="E52" s="220"/>
      <c r="F52" s="222" t="s">
        <v>114</v>
      </c>
      <c r="G52" s="223"/>
      <c r="H52" s="230">
        <v>4.7</v>
      </c>
      <c r="I52" s="225"/>
    </row>
    <row r="53" spans="1:9" s="17" customFormat="1" ht="12.75" customHeight="1" x14ac:dyDescent="0.2">
      <c r="A53" s="20">
        <v>44</v>
      </c>
      <c r="B53" s="102"/>
      <c r="C53" s="117" t="s">
        <v>3211</v>
      </c>
      <c r="D53" s="118"/>
      <c r="E53" s="119"/>
      <c r="F53" s="121" t="s">
        <v>1919</v>
      </c>
      <c r="G53" s="122"/>
      <c r="H53" s="230">
        <f>74.1-50.7</f>
        <v>23.399999999999991</v>
      </c>
      <c r="I53" s="225"/>
    </row>
    <row r="54" spans="1:9" s="17" customFormat="1" ht="12.75" customHeight="1" x14ac:dyDescent="0.2">
      <c r="A54" s="20">
        <v>45</v>
      </c>
      <c r="B54" s="102"/>
      <c r="C54" s="220" t="s">
        <v>675</v>
      </c>
      <c r="D54" s="220"/>
      <c r="E54" s="220"/>
      <c r="F54" s="222" t="s">
        <v>114</v>
      </c>
      <c r="G54" s="223"/>
      <c r="H54" s="230">
        <f>22.5+18.1+29+2-1</f>
        <v>70.599999999999994</v>
      </c>
      <c r="I54" s="225"/>
    </row>
    <row r="55" spans="1:9" s="17" customFormat="1" ht="12.75" customHeight="1" x14ac:dyDescent="0.2">
      <c r="A55" s="20">
        <v>46</v>
      </c>
      <c r="B55" s="102"/>
      <c r="C55" s="220" t="s">
        <v>894</v>
      </c>
      <c r="D55" s="220"/>
      <c r="E55" s="220"/>
      <c r="F55" s="222" t="s">
        <v>114</v>
      </c>
      <c r="G55" s="223"/>
      <c r="H55" s="230">
        <v>9.1</v>
      </c>
      <c r="I55" s="225"/>
    </row>
    <row r="56" spans="1:9" x14ac:dyDescent="0.2">
      <c r="A56" s="20">
        <v>47</v>
      </c>
      <c r="C56" s="262" t="s">
        <v>2184</v>
      </c>
      <c r="D56" s="262"/>
      <c r="E56" s="262"/>
      <c r="F56" s="238" t="s">
        <v>315</v>
      </c>
      <c r="G56" s="238"/>
      <c r="H56" s="263">
        <f>33.2-2.7-0.7-2.7-2-2.6-2-2-0.4-0.5</f>
        <v>17.600000000000005</v>
      </c>
      <c r="I56" s="215"/>
    </row>
    <row r="57" spans="1:9" x14ac:dyDescent="0.2">
      <c r="A57" s="20">
        <v>48</v>
      </c>
      <c r="C57" s="262" t="s">
        <v>3067</v>
      </c>
      <c r="D57" s="262"/>
      <c r="E57" s="262"/>
      <c r="F57" s="238" t="s">
        <v>216</v>
      </c>
      <c r="G57" s="238"/>
      <c r="H57" s="215">
        <v>1.1000000000000001</v>
      </c>
      <c r="I57" s="260"/>
    </row>
    <row r="58" spans="1:9" x14ac:dyDescent="0.2">
      <c r="A58" s="20">
        <v>49</v>
      </c>
      <c r="C58" s="262" t="s">
        <v>4860</v>
      </c>
      <c r="D58" s="228"/>
      <c r="E58" s="272"/>
      <c r="F58" s="238" t="s">
        <v>4859</v>
      </c>
      <c r="G58" s="218"/>
      <c r="H58" s="215">
        <v>8.8000000000000007</v>
      </c>
      <c r="I58" s="216"/>
    </row>
    <row r="59" spans="1:9" x14ac:dyDescent="0.2">
      <c r="A59" s="20">
        <v>50</v>
      </c>
      <c r="B59" s="102" t="s">
        <v>3540</v>
      </c>
      <c r="C59" s="220" t="s">
        <v>4844</v>
      </c>
      <c r="D59" s="220"/>
      <c r="E59" s="220"/>
      <c r="F59" s="238" t="s">
        <v>4843</v>
      </c>
      <c r="G59" s="238"/>
      <c r="H59" s="271">
        <v>15.8</v>
      </c>
      <c r="I59" s="265"/>
    </row>
    <row r="60" spans="1:9" x14ac:dyDescent="0.2">
      <c r="A60" s="20">
        <v>51</v>
      </c>
      <c r="B60" s="102" t="s">
        <v>3540</v>
      </c>
      <c r="C60" s="220" t="s">
        <v>4845</v>
      </c>
      <c r="D60" s="220"/>
      <c r="E60" s="220"/>
      <c r="F60" s="238" t="s">
        <v>4843</v>
      </c>
      <c r="G60" s="238"/>
      <c r="H60" s="271">
        <v>1</v>
      </c>
      <c r="I60" s="265"/>
    </row>
    <row r="61" spans="1:9" x14ac:dyDescent="0.2">
      <c r="A61" s="20"/>
      <c r="C61" s="103"/>
      <c r="D61" s="103"/>
      <c r="E61" s="103"/>
      <c r="F61" s="43"/>
      <c r="G61" s="43"/>
      <c r="H61" s="104"/>
      <c r="I61" s="104"/>
    </row>
    <row r="62" spans="1:9" s="17" customFormat="1" ht="15.75" x14ac:dyDescent="0.25">
      <c r="A62" s="42"/>
      <c r="B62" s="105"/>
      <c r="C62" s="44"/>
      <c r="D62" s="44"/>
      <c r="E62" s="45"/>
      <c r="F62" s="43"/>
      <c r="G62" s="43"/>
      <c r="H62" s="26"/>
      <c r="I62" s="26"/>
    </row>
    <row r="63" spans="1:9" s="17" customFormat="1" ht="13.5" customHeight="1" x14ac:dyDescent="0.2">
      <c r="A63" s="46"/>
      <c r="B63" s="106"/>
      <c r="C63" s="46"/>
      <c r="D63" s="75"/>
      <c r="E63" s="163"/>
      <c r="F63" s="163"/>
      <c r="G63" s="163"/>
      <c r="H63" s="75"/>
      <c r="I63" s="46"/>
    </row>
    <row r="64" spans="1:9" s="17" customFormat="1" ht="13.5" customHeight="1" x14ac:dyDescent="0.2">
      <c r="A64" s="46"/>
      <c r="B64" s="106"/>
      <c r="C64" s="46"/>
      <c r="D64" s="46"/>
      <c r="E64" s="48"/>
      <c r="F64" s="46"/>
      <c r="G64" s="46"/>
      <c r="H64" s="18"/>
      <c r="I64" s="46"/>
    </row>
    <row r="65" spans="1:9" s="17" customFormat="1" ht="15.75" x14ac:dyDescent="0.2">
      <c r="A65" s="46"/>
      <c r="B65" s="106"/>
      <c r="C65" s="46"/>
      <c r="D65" s="46"/>
      <c r="E65" s="51"/>
      <c r="F65" s="46"/>
      <c r="G65" s="46"/>
      <c r="H65" s="46"/>
      <c r="I65" s="46"/>
    </row>
    <row r="66" spans="1:9" s="17" customFormat="1" x14ac:dyDescent="0.2">
      <c r="A66" s="46"/>
      <c r="B66" s="106"/>
      <c r="C66" s="46"/>
      <c r="D66" s="46"/>
      <c r="E66" s="48"/>
      <c r="F66" s="46"/>
      <c r="G66" s="46"/>
      <c r="H66" s="46"/>
      <c r="I66" s="46"/>
    </row>
    <row r="67" spans="1:9" s="17" customFormat="1" ht="15.75" x14ac:dyDescent="0.2">
      <c r="A67" s="46"/>
      <c r="B67" s="106"/>
      <c r="C67" s="46"/>
      <c r="D67" s="46"/>
      <c r="E67" s="51"/>
      <c r="F67" s="46"/>
      <c r="G67" s="46"/>
      <c r="H67" s="46"/>
      <c r="I67" s="46"/>
    </row>
    <row r="68" spans="1:9" s="17" customFormat="1" x14ac:dyDescent="0.2">
      <c r="A68" s="46"/>
      <c r="B68" s="106"/>
      <c r="C68" s="46"/>
      <c r="D68" s="46"/>
      <c r="E68" s="48"/>
      <c r="F68" s="46"/>
      <c r="G68" s="46"/>
      <c r="H68" s="46"/>
      <c r="I68" s="46"/>
    </row>
    <row r="69" spans="1:9" s="17" customFormat="1" ht="13.5" customHeight="1" x14ac:dyDescent="0.2">
      <c r="A69" s="46"/>
      <c r="B69" s="106"/>
      <c r="C69" s="163"/>
      <c r="D69" s="163"/>
      <c r="E69" s="163"/>
      <c r="F69" s="163"/>
      <c r="G69" s="163"/>
      <c r="H69" s="163"/>
      <c r="I69" s="163"/>
    </row>
    <row r="70" spans="1:9" s="17" customFormat="1" ht="13.5" customHeight="1" x14ac:dyDescent="0.2">
      <c r="A70" s="46"/>
      <c r="B70" s="106"/>
      <c r="C70" s="75"/>
      <c r="D70" s="75"/>
      <c r="E70" s="48"/>
      <c r="F70" s="75"/>
      <c r="G70" s="75"/>
      <c r="H70" s="75"/>
      <c r="I70" s="75"/>
    </row>
  </sheetData>
  <autoFilter ref="A9:I64" xr:uid="{00000000-0009-0000-0000-000003000000}">
    <filterColumn colId="2" showButton="0"/>
    <filterColumn colId="3" showButton="0"/>
    <filterColumn colId="5" showButton="0"/>
    <filterColumn colId="7" showButton="0"/>
  </autoFilter>
  <mergeCells count="164">
    <mergeCell ref="H35:I35"/>
    <mergeCell ref="C39:E39"/>
    <mergeCell ref="C1:H1"/>
    <mergeCell ref="C2:H2"/>
    <mergeCell ref="D3:H3"/>
    <mergeCell ref="D4:H4"/>
    <mergeCell ref="D5:H5"/>
    <mergeCell ref="D7:H7"/>
    <mergeCell ref="H39:I39"/>
    <mergeCell ref="H46:I46"/>
    <mergeCell ref="H42:I42"/>
    <mergeCell ref="C42:E42"/>
    <mergeCell ref="F46:G46"/>
    <mergeCell ref="C60:E60"/>
    <mergeCell ref="F60:G60"/>
    <mergeCell ref="H60:I60"/>
    <mergeCell ref="C13:E13"/>
    <mergeCell ref="F13:G13"/>
    <mergeCell ref="H13:I13"/>
    <mergeCell ref="C58:E58"/>
    <mergeCell ref="F58:G58"/>
    <mergeCell ref="H58:I58"/>
    <mergeCell ref="C43:E43"/>
    <mergeCell ref="C59:E59"/>
    <mergeCell ref="F59:G59"/>
    <mergeCell ref="H59:I59"/>
    <mergeCell ref="F43:G43"/>
    <mergeCell ref="H43:I43"/>
    <mergeCell ref="C55:E55"/>
    <mergeCell ref="F47:G47"/>
    <mergeCell ref="H45:I45"/>
    <mergeCell ref="H50:I50"/>
    <mergeCell ref="C10:E10"/>
    <mergeCell ref="H30:I30"/>
    <mergeCell ref="C26:E26"/>
    <mergeCell ref="C32:E32"/>
    <mergeCell ref="H29:I29"/>
    <mergeCell ref="C29:E29"/>
    <mergeCell ref="C35:E35"/>
    <mergeCell ref="F36:G36"/>
    <mergeCell ref="H37:I37"/>
    <mergeCell ref="F35:G35"/>
    <mergeCell ref="C22:E22"/>
    <mergeCell ref="F26:G26"/>
    <mergeCell ref="C27:E27"/>
    <mergeCell ref="F28:G28"/>
    <mergeCell ref="H32:I32"/>
    <mergeCell ref="H33:I33"/>
    <mergeCell ref="F37:G37"/>
    <mergeCell ref="H36:I36"/>
    <mergeCell ref="C36:E36"/>
    <mergeCell ref="C11:E11"/>
    <mergeCell ref="H15:I15"/>
    <mergeCell ref="C15:E15"/>
    <mergeCell ref="C14:E14"/>
    <mergeCell ref="F11:G11"/>
    <mergeCell ref="C25:E25"/>
    <mergeCell ref="F32:G32"/>
    <mergeCell ref="C28:E28"/>
    <mergeCell ref="C30:E30"/>
    <mergeCell ref="C24:E24"/>
    <mergeCell ref="C16:E16"/>
    <mergeCell ref="F56:G56"/>
    <mergeCell ref="F54:G54"/>
    <mergeCell ref="F53:G53"/>
    <mergeCell ref="C54:E54"/>
    <mergeCell ref="C48:E48"/>
    <mergeCell ref="C17:E17"/>
    <mergeCell ref="F41:G41"/>
    <mergeCell ref="C49:E49"/>
    <mergeCell ref="C51:E51"/>
    <mergeCell ref="C45:E45"/>
    <mergeCell ref="F45:G45"/>
    <mergeCell ref="C46:E46"/>
    <mergeCell ref="C41:E41"/>
    <mergeCell ref="C40:E40"/>
    <mergeCell ref="F39:G39"/>
    <mergeCell ref="C44:E44"/>
    <mergeCell ref="C38:E38"/>
    <mergeCell ref="C37:E37"/>
    <mergeCell ref="H9:I9"/>
    <mergeCell ref="C21:E21"/>
    <mergeCell ref="C9:E9"/>
    <mergeCell ref="F9:G9"/>
    <mergeCell ref="H11:I11"/>
    <mergeCell ref="F17:G17"/>
    <mergeCell ref="C12:E12"/>
    <mergeCell ref="C33:E33"/>
    <mergeCell ref="F33:G33"/>
    <mergeCell ref="F10:G10"/>
    <mergeCell ref="H10:I10"/>
    <mergeCell ref="F12:G12"/>
    <mergeCell ref="H12:I12"/>
    <mergeCell ref="H20:I20"/>
    <mergeCell ref="F19:G19"/>
    <mergeCell ref="F15:G15"/>
    <mergeCell ref="F18:G18"/>
    <mergeCell ref="F14:G14"/>
    <mergeCell ref="F25:G25"/>
    <mergeCell ref="H24:I24"/>
    <mergeCell ref="H23:I23"/>
    <mergeCell ref="F20:G20"/>
    <mergeCell ref="H26:I26"/>
    <mergeCell ref="F23:G23"/>
    <mergeCell ref="H34:I34"/>
    <mergeCell ref="C31:E31"/>
    <mergeCell ref="H14:I14"/>
    <mergeCell ref="H28:I28"/>
    <mergeCell ref="H31:I31"/>
    <mergeCell ref="C20:E20"/>
    <mergeCell ref="C19:E19"/>
    <mergeCell ref="C18:E18"/>
    <mergeCell ref="C23:E23"/>
    <mergeCell ref="F34:G34"/>
    <mergeCell ref="F22:G22"/>
    <mergeCell ref="C34:E34"/>
    <mergeCell ref="F31:G31"/>
    <mergeCell ref="F30:G30"/>
    <mergeCell ref="F29:G29"/>
    <mergeCell ref="F27:G27"/>
    <mergeCell ref="H27:I27"/>
    <mergeCell ref="H17:I17"/>
    <mergeCell ref="H25:I25"/>
    <mergeCell ref="F16:G16"/>
    <mergeCell ref="H16:I16"/>
    <mergeCell ref="H18:I18"/>
    <mergeCell ref="H22:I22"/>
    <mergeCell ref="H19:I19"/>
    <mergeCell ref="H47:I47"/>
    <mergeCell ref="H49:I49"/>
    <mergeCell ref="C69:I69"/>
    <mergeCell ref="E63:G63"/>
    <mergeCell ref="H51:I51"/>
    <mergeCell ref="F57:G57"/>
    <mergeCell ref="C53:E53"/>
    <mergeCell ref="F40:G40"/>
    <mergeCell ref="F42:G42"/>
    <mergeCell ref="F44:G44"/>
    <mergeCell ref="H40:I40"/>
    <mergeCell ref="H44:I44"/>
    <mergeCell ref="H21:I21"/>
    <mergeCell ref="F24:G24"/>
    <mergeCell ref="F21:G21"/>
    <mergeCell ref="H38:I38"/>
    <mergeCell ref="H41:I41"/>
    <mergeCell ref="C47:E47"/>
    <mergeCell ref="C50:E50"/>
    <mergeCell ref="H57:I57"/>
    <mergeCell ref="F55:G55"/>
    <mergeCell ref="H54:I54"/>
    <mergeCell ref="F49:G49"/>
    <mergeCell ref="F50:G50"/>
    <mergeCell ref="H55:I55"/>
    <mergeCell ref="H52:I52"/>
    <mergeCell ref="F51:G51"/>
    <mergeCell ref="H53:I53"/>
    <mergeCell ref="C57:E57"/>
    <mergeCell ref="C56:E56"/>
    <mergeCell ref="H56:I56"/>
    <mergeCell ref="C52:E52"/>
    <mergeCell ref="F52:G52"/>
    <mergeCell ref="F38:G38"/>
    <mergeCell ref="F48:G48"/>
    <mergeCell ref="H48:I48"/>
  </mergeCells>
  <phoneticPr fontId="15" type="noConversion"/>
  <hyperlinks>
    <hyperlink ref="D5" r:id="rId1" xr:uid="{00000000-0004-0000-0300-000000000000}"/>
    <hyperlink ref="D7" r:id="rId2" display="Наш сайт: https://usm.dp.ua/ua/" xr:uid="{00000000-0004-0000-0300-000001000000}"/>
  </hyperlinks>
  <pageMargins left="0" right="0" top="0" bottom="0" header="0.51181102362204722" footer="0.51181102362204722"/>
  <pageSetup paperSize="9" orientation="portrait" r:id="rId3"/>
  <headerFooter alignWithMargins="0"/>
  <drawing r:id="rId4"/>
  <legacy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96"/>
  <sheetViews>
    <sheetView zoomScale="110" zoomScaleNormal="110" workbookViewId="0">
      <pane ySplit="1" topLeftCell="A2" activePane="bottomLeft" state="frozen"/>
      <selection pane="bottomLeft" activeCell="D3" sqref="D3:H3"/>
    </sheetView>
  </sheetViews>
  <sheetFormatPr defaultColWidth="9.140625" defaultRowHeight="12.75" x14ac:dyDescent="0.2"/>
  <cols>
    <col min="1" max="1" width="4" style="16" customWidth="1"/>
    <col min="2" max="2" width="3.28515625" style="111" customWidth="1"/>
    <col min="3" max="4" width="9.140625" style="16"/>
    <col min="5" max="5" width="57.5703125" style="16" customWidth="1"/>
    <col min="6" max="6" width="9.140625" style="16"/>
    <col min="7" max="7" width="3.140625" style="16" customWidth="1"/>
    <col min="8" max="8" width="9.140625" style="16"/>
    <col min="9" max="9" width="1.140625" style="16" customWidth="1"/>
    <col min="10" max="16384" width="9.140625" style="16"/>
  </cols>
  <sheetData>
    <row r="1" spans="1:9" ht="20.100000000000001" customHeight="1" x14ac:dyDescent="0.2">
      <c r="C1" s="181" t="s">
        <v>5410</v>
      </c>
      <c r="D1" s="214"/>
      <c r="E1" s="214"/>
      <c r="F1" s="214"/>
      <c r="G1" s="214"/>
      <c r="H1" s="214"/>
    </row>
    <row r="2" spans="1:9" ht="24" customHeight="1" x14ac:dyDescent="0.2">
      <c r="C2" s="184" t="s">
        <v>5411</v>
      </c>
      <c r="D2" s="214"/>
      <c r="E2" s="214"/>
      <c r="F2" s="214"/>
      <c r="G2" s="214"/>
      <c r="H2" s="214"/>
    </row>
    <row r="3" spans="1:9" ht="23.1" customHeight="1" x14ac:dyDescent="0.2">
      <c r="D3" s="185"/>
      <c r="E3" s="214"/>
      <c r="F3" s="214"/>
      <c r="G3" s="214"/>
      <c r="H3" s="214"/>
    </row>
    <row r="4" spans="1:9" ht="21.95" customHeight="1" x14ac:dyDescent="0.2">
      <c r="D4" s="185" t="s">
        <v>5412</v>
      </c>
      <c r="E4" s="214"/>
      <c r="F4" s="214"/>
      <c r="G4" s="214"/>
      <c r="H4" s="214"/>
    </row>
    <row r="5" spans="1:9" ht="23.1" customHeight="1" x14ac:dyDescent="0.2">
      <c r="D5" s="186" t="s">
        <v>5413</v>
      </c>
      <c r="E5" s="214"/>
      <c r="F5" s="214"/>
      <c r="G5" s="214"/>
      <c r="H5" s="214"/>
    </row>
    <row r="6" spans="1:9" ht="14.1" customHeight="1" x14ac:dyDescent="0.2"/>
    <row r="7" spans="1:9" ht="21.95" customHeight="1" x14ac:dyDescent="0.2">
      <c r="D7" s="186" t="s">
        <v>5418</v>
      </c>
      <c r="E7" s="214"/>
      <c r="F7" s="214"/>
      <c r="G7" s="214"/>
      <c r="H7" s="214"/>
    </row>
    <row r="8" spans="1:9" ht="12.95" customHeight="1" x14ac:dyDescent="0.2"/>
    <row r="9" spans="1:9" ht="18.75" thickBot="1" x14ac:dyDescent="0.3">
      <c r="A9" s="107" t="s">
        <v>78</v>
      </c>
      <c r="B9" s="108"/>
      <c r="C9" s="205" t="s">
        <v>5414</v>
      </c>
      <c r="D9" s="206"/>
      <c r="E9" s="206"/>
      <c r="F9" s="207" t="s">
        <v>77</v>
      </c>
      <c r="G9" s="269"/>
      <c r="H9" s="267" t="s">
        <v>79</v>
      </c>
      <c r="I9" s="268"/>
    </row>
    <row r="10" spans="1:9" ht="12.75" customHeight="1" x14ac:dyDescent="0.2">
      <c r="A10" s="56">
        <v>1</v>
      </c>
      <c r="B10" s="64"/>
      <c r="C10" s="288" t="s">
        <v>760</v>
      </c>
      <c r="D10" s="289"/>
      <c r="E10" s="290"/>
      <c r="F10" s="291" t="s">
        <v>8</v>
      </c>
      <c r="G10" s="292"/>
      <c r="H10" s="286">
        <f>19.2-0.2-0.3-0.3-0.3-8.3-0.3-0.3-0.3-0.3-0.3-0.3-0.3-0.9-0.3-0.3</f>
        <v>6.199999999999994</v>
      </c>
      <c r="I10" s="287"/>
    </row>
    <row r="11" spans="1:9" ht="12.75" customHeight="1" x14ac:dyDescent="0.2">
      <c r="A11" s="56">
        <v>2</v>
      </c>
      <c r="B11" s="64"/>
      <c r="C11" s="274" t="s">
        <v>4152</v>
      </c>
      <c r="D11" s="228"/>
      <c r="E11" s="272"/>
      <c r="F11" s="261" t="s">
        <v>37</v>
      </c>
      <c r="G11" s="218"/>
      <c r="H11" s="215">
        <v>1.8</v>
      </c>
      <c r="I11" s="260"/>
    </row>
    <row r="12" spans="1:9" ht="12.75" customHeight="1" x14ac:dyDescent="0.2">
      <c r="A12" s="56">
        <v>3</v>
      </c>
      <c r="B12" s="64"/>
      <c r="C12" s="274" t="s">
        <v>4198</v>
      </c>
      <c r="D12" s="228"/>
      <c r="E12" s="272"/>
      <c r="F12" s="261" t="s">
        <v>8</v>
      </c>
      <c r="G12" s="218"/>
      <c r="H12" s="215">
        <v>1.1000000000000001</v>
      </c>
      <c r="I12" s="260"/>
    </row>
    <row r="13" spans="1:9" ht="12.75" customHeight="1" x14ac:dyDescent="0.2">
      <c r="A13" s="56">
        <v>4</v>
      </c>
      <c r="B13" s="64"/>
      <c r="C13" s="274" t="s">
        <v>1380</v>
      </c>
      <c r="D13" s="228"/>
      <c r="E13" s="272"/>
      <c r="F13" s="261" t="s">
        <v>8</v>
      </c>
      <c r="G13" s="218"/>
      <c r="H13" s="215">
        <f>1.7-0.1</f>
        <v>1.5999999999999999</v>
      </c>
      <c r="I13" s="260"/>
    </row>
    <row r="14" spans="1:9" ht="12.75" customHeight="1" x14ac:dyDescent="0.2">
      <c r="A14" s="56">
        <v>5</v>
      </c>
      <c r="B14" s="64"/>
      <c r="C14" s="274" t="s">
        <v>4342</v>
      </c>
      <c r="D14" s="228"/>
      <c r="E14" s="272"/>
      <c r="F14" s="261" t="s">
        <v>8</v>
      </c>
      <c r="G14" s="218"/>
      <c r="H14" s="215">
        <f>2.7+22.9</f>
        <v>25.599999999999998</v>
      </c>
      <c r="I14" s="260"/>
    </row>
    <row r="15" spans="1:9" ht="12.75" customHeight="1" x14ac:dyDescent="0.2">
      <c r="A15" s="56">
        <v>6</v>
      </c>
      <c r="B15" s="64"/>
      <c r="C15" s="274" t="s">
        <v>1316</v>
      </c>
      <c r="D15" s="228"/>
      <c r="E15" s="272"/>
      <c r="F15" s="261" t="s">
        <v>8</v>
      </c>
      <c r="G15" s="218"/>
      <c r="H15" s="215">
        <v>1.4</v>
      </c>
      <c r="I15" s="260"/>
    </row>
    <row r="16" spans="1:9" ht="12.75" customHeight="1" x14ac:dyDescent="0.2">
      <c r="A16" s="56">
        <v>7</v>
      </c>
      <c r="B16" s="64" t="s">
        <v>2241</v>
      </c>
      <c r="C16" s="274" t="s">
        <v>4784</v>
      </c>
      <c r="D16" s="228"/>
      <c r="E16" s="272"/>
      <c r="F16" s="261" t="s">
        <v>67</v>
      </c>
      <c r="G16" s="218"/>
      <c r="H16" s="215">
        <f>15-4.4</f>
        <v>10.6</v>
      </c>
      <c r="I16" s="216"/>
    </row>
    <row r="17" spans="1:9" ht="12.75" customHeight="1" x14ac:dyDescent="0.2">
      <c r="A17" s="56">
        <v>8</v>
      </c>
      <c r="B17" s="64"/>
      <c r="C17" s="274" t="s">
        <v>3325</v>
      </c>
      <c r="D17" s="228"/>
      <c r="E17" s="272"/>
      <c r="F17" s="261" t="s">
        <v>8</v>
      </c>
      <c r="G17" s="218"/>
      <c r="H17" s="215">
        <v>13.6</v>
      </c>
      <c r="I17" s="260"/>
    </row>
    <row r="18" spans="1:9" ht="12.75" customHeight="1" x14ac:dyDescent="0.2">
      <c r="A18" s="56">
        <v>9</v>
      </c>
      <c r="B18" s="64"/>
      <c r="C18" s="274" t="s">
        <v>3326</v>
      </c>
      <c r="D18" s="228"/>
      <c r="E18" s="272"/>
      <c r="F18" s="261" t="s">
        <v>8</v>
      </c>
      <c r="G18" s="218"/>
      <c r="H18" s="215">
        <v>2.4</v>
      </c>
      <c r="I18" s="260"/>
    </row>
    <row r="19" spans="1:9" ht="12.75" customHeight="1" x14ac:dyDescent="0.2">
      <c r="A19" s="56">
        <v>10</v>
      </c>
      <c r="B19" s="64"/>
      <c r="C19" s="274" t="s">
        <v>1317</v>
      </c>
      <c r="D19" s="228"/>
      <c r="E19" s="272"/>
      <c r="F19" s="261" t="s">
        <v>8</v>
      </c>
      <c r="G19" s="218"/>
      <c r="H19" s="215">
        <v>0.6</v>
      </c>
      <c r="I19" s="260"/>
    </row>
    <row r="20" spans="1:9" ht="12.75" customHeight="1" x14ac:dyDescent="0.2">
      <c r="A20" s="56">
        <v>11</v>
      </c>
      <c r="B20" s="64"/>
      <c r="C20" s="274" t="s">
        <v>4197</v>
      </c>
      <c r="D20" s="228"/>
      <c r="E20" s="272"/>
      <c r="F20" s="261" t="s">
        <v>8</v>
      </c>
      <c r="G20" s="218"/>
      <c r="H20" s="215">
        <v>0.8</v>
      </c>
      <c r="I20" s="260"/>
    </row>
    <row r="21" spans="1:9" ht="12.75" customHeight="1" x14ac:dyDescent="0.2">
      <c r="A21" s="56">
        <v>12</v>
      </c>
      <c r="B21" s="64"/>
      <c r="C21" s="274" t="s">
        <v>1516</v>
      </c>
      <c r="D21" s="228"/>
      <c r="E21" s="272"/>
      <c r="F21" s="261" t="s">
        <v>67</v>
      </c>
      <c r="G21" s="218"/>
      <c r="H21" s="215">
        <f>5.3-0.5-0.7-0.4-0.6-0.7</f>
        <v>2.3999999999999995</v>
      </c>
      <c r="I21" s="260"/>
    </row>
    <row r="22" spans="1:9" ht="12.75" customHeight="1" x14ac:dyDescent="0.2">
      <c r="A22" s="56">
        <v>13</v>
      </c>
      <c r="B22" s="64" t="s">
        <v>2241</v>
      </c>
      <c r="C22" s="274" t="s">
        <v>3289</v>
      </c>
      <c r="D22" s="228"/>
      <c r="E22" s="272"/>
      <c r="F22" s="261" t="s">
        <v>8</v>
      </c>
      <c r="G22" s="218"/>
      <c r="H22" s="215">
        <v>13.1</v>
      </c>
      <c r="I22" s="260"/>
    </row>
    <row r="23" spans="1:9" ht="12.75" customHeight="1" x14ac:dyDescent="0.2">
      <c r="A23" s="56">
        <v>14</v>
      </c>
      <c r="B23" s="64" t="s">
        <v>2241</v>
      </c>
      <c r="C23" s="274" t="s">
        <v>4005</v>
      </c>
      <c r="D23" s="228"/>
      <c r="E23" s="272"/>
      <c r="F23" s="261" t="s">
        <v>8</v>
      </c>
      <c r="G23" s="218"/>
      <c r="H23" s="215">
        <v>2.8</v>
      </c>
      <c r="I23" s="260"/>
    </row>
    <row r="24" spans="1:9" ht="12.75" customHeight="1" x14ac:dyDescent="0.2">
      <c r="A24" s="56">
        <v>15</v>
      </c>
      <c r="B24" s="64"/>
      <c r="C24" s="274" t="s">
        <v>4323</v>
      </c>
      <c r="D24" s="228"/>
      <c r="E24" s="272"/>
      <c r="F24" s="261" t="s">
        <v>67</v>
      </c>
      <c r="G24" s="218"/>
      <c r="H24" s="215">
        <v>1.4</v>
      </c>
      <c r="I24" s="260"/>
    </row>
    <row r="25" spans="1:9" ht="12.75" customHeight="1" x14ac:dyDescent="0.2">
      <c r="A25" s="56">
        <v>16</v>
      </c>
      <c r="B25" s="64"/>
      <c r="C25" s="274" t="s">
        <v>5050</v>
      </c>
      <c r="D25" s="228"/>
      <c r="E25" s="272"/>
      <c r="F25" s="261" t="s">
        <v>67</v>
      </c>
      <c r="G25" s="218"/>
      <c r="H25" s="215">
        <f>45.6-3.2-4.3-2.2</f>
        <v>35.9</v>
      </c>
      <c r="I25" s="260"/>
    </row>
    <row r="26" spans="1:9" ht="12.75" customHeight="1" x14ac:dyDescent="0.2">
      <c r="A26" s="56">
        <v>17</v>
      </c>
      <c r="B26" s="64"/>
      <c r="C26" s="274" t="s">
        <v>3972</v>
      </c>
      <c r="D26" s="228"/>
      <c r="E26" s="272"/>
      <c r="F26" s="261" t="s">
        <v>8</v>
      </c>
      <c r="G26" s="218"/>
      <c r="H26" s="215">
        <v>0.8</v>
      </c>
      <c r="I26" s="260"/>
    </row>
    <row r="27" spans="1:9" ht="12.75" customHeight="1" x14ac:dyDescent="0.2">
      <c r="A27" s="56">
        <v>18</v>
      </c>
      <c r="B27" s="64"/>
      <c r="C27" s="274" t="s">
        <v>936</v>
      </c>
      <c r="D27" s="228"/>
      <c r="E27" s="272"/>
      <c r="F27" s="261" t="s">
        <v>8</v>
      </c>
      <c r="G27" s="218"/>
      <c r="H27" s="215">
        <f>49.7-6.8-1.1-4.5-0.5</f>
        <v>36.800000000000004</v>
      </c>
      <c r="I27" s="260"/>
    </row>
    <row r="28" spans="1:9" ht="12.75" customHeight="1" x14ac:dyDescent="0.2">
      <c r="A28" s="56">
        <v>19</v>
      </c>
      <c r="B28" s="64" t="s">
        <v>3666</v>
      </c>
      <c r="C28" s="274" t="s">
        <v>4394</v>
      </c>
      <c r="D28" s="228"/>
      <c r="E28" s="272"/>
      <c r="F28" s="261" t="s">
        <v>67</v>
      </c>
      <c r="G28" s="218"/>
      <c r="H28" s="215">
        <f>10.6-1.9</f>
        <v>8.6999999999999993</v>
      </c>
      <c r="I28" s="260"/>
    </row>
    <row r="29" spans="1:9" ht="12.75" customHeight="1" x14ac:dyDescent="0.2">
      <c r="A29" s="56">
        <v>20</v>
      </c>
      <c r="B29" s="64"/>
      <c r="C29" s="274" t="s">
        <v>3971</v>
      </c>
      <c r="D29" s="228"/>
      <c r="E29" s="272"/>
      <c r="F29" s="261" t="s">
        <v>8</v>
      </c>
      <c r="G29" s="218"/>
      <c r="H29" s="215">
        <v>2.4</v>
      </c>
      <c r="I29" s="260"/>
    </row>
    <row r="30" spans="1:9" ht="12.75" customHeight="1" x14ac:dyDescent="0.2">
      <c r="A30" s="56">
        <v>21</v>
      </c>
      <c r="B30" s="64" t="s">
        <v>2241</v>
      </c>
      <c r="C30" s="274" t="s">
        <v>3324</v>
      </c>
      <c r="D30" s="228"/>
      <c r="E30" s="272"/>
      <c r="F30" s="261" t="s">
        <v>8</v>
      </c>
      <c r="G30" s="218"/>
      <c r="H30" s="215">
        <v>31.3</v>
      </c>
      <c r="I30" s="260"/>
    </row>
    <row r="31" spans="1:9" ht="12.75" customHeight="1" x14ac:dyDescent="0.2">
      <c r="A31" s="56">
        <v>22</v>
      </c>
      <c r="B31" s="64"/>
      <c r="C31" s="274" t="s">
        <v>3285</v>
      </c>
      <c r="D31" s="228"/>
      <c r="E31" s="272"/>
      <c r="F31" s="261" t="s">
        <v>8</v>
      </c>
      <c r="G31" s="218"/>
      <c r="H31" s="215">
        <v>1.7</v>
      </c>
      <c r="I31" s="260"/>
    </row>
    <row r="32" spans="1:9" ht="12.75" customHeight="1" x14ac:dyDescent="0.2">
      <c r="A32" s="56">
        <v>23</v>
      </c>
      <c r="B32" s="64"/>
      <c r="C32" s="274" t="s">
        <v>4910</v>
      </c>
      <c r="D32" s="228"/>
      <c r="E32" s="272"/>
      <c r="F32" s="261" t="s">
        <v>8</v>
      </c>
      <c r="G32" s="218"/>
      <c r="H32" s="215">
        <f>1.8-0.9</f>
        <v>0.9</v>
      </c>
      <c r="I32" s="260"/>
    </row>
    <row r="33" spans="1:9" ht="12.75" customHeight="1" x14ac:dyDescent="0.2">
      <c r="A33" s="56">
        <v>24</v>
      </c>
      <c r="B33" s="64"/>
      <c r="C33" s="274" t="s">
        <v>3708</v>
      </c>
      <c r="D33" s="228"/>
      <c r="E33" s="272"/>
      <c r="F33" s="261" t="s">
        <v>8</v>
      </c>
      <c r="G33" s="218"/>
      <c r="H33" s="215">
        <v>7.4</v>
      </c>
      <c r="I33" s="260"/>
    </row>
    <row r="34" spans="1:9" ht="12.75" customHeight="1" x14ac:dyDescent="0.2">
      <c r="A34" s="56">
        <v>25</v>
      </c>
      <c r="B34" s="64"/>
      <c r="C34" s="274" t="s">
        <v>2020</v>
      </c>
      <c r="D34" s="228"/>
      <c r="E34" s="272"/>
      <c r="F34" s="261" t="s">
        <v>67</v>
      </c>
      <c r="G34" s="218"/>
      <c r="H34" s="215">
        <v>0.6</v>
      </c>
      <c r="I34" s="260"/>
    </row>
    <row r="35" spans="1:9" ht="12.75" customHeight="1" x14ac:dyDescent="0.2">
      <c r="A35" s="56">
        <v>26</v>
      </c>
      <c r="B35" s="64"/>
      <c r="C35" s="274" t="s">
        <v>1915</v>
      </c>
      <c r="D35" s="228"/>
      <c r="E35" s="272"/>
      <c r="F35" s="261" t="s">
        <v>8</v>
      </c>
      <c r="G35" s="218"/>
      <c r="H35" s="215">
        <f>2.3-1.3</f>
        <v>0.99999999999999978</v>
      </c>
      <c r="I35" s="260"/>
    </row>
    <row r="36" spans="1:9" ht="12.75" customHeight="1" x14ac:dyDescent="0.2">
      <c r="A36" s="56">
        <v>27</v>
      </c>
      <c r="B36" s="64"/>
      <c r="C36" s="274" t="s">
        <v>937</v>
      </c>
      <c r="D36" s="228"/>
      <c r="E36" s="272"/>
      <c r="F36" s="261" t="s">
        <v>99</v>
      </c>
      <c r="G36" s="218"/>
      <c r="H36" s="215">
        <f>22.5-14.8-4</f>
        <v>3.6999999999999993</v>
      </c>
      <c r="I36" s="260"/>
    </row>
    <row r="37" spans="1:9" ht="12.75" customHeight="1" x14ac:dyDescent="0.2">
      <c r="A37" s="56">
        <v>28</v>
      </c>
      <c r="B37" s="64"/>
      <c r="C37" s="274" t="s">
        <v>5257</v>
      </c>
      <c r="D37" s="228"/>
      <c r="E37" s="272"/>
      <c r="F37" s="261" t="s">
        <v>8</v>
      </c>
      <c r="G37" s="218"/>
      <c r="H37" s="215">
        <f>3.5-1.8+2.5-1.2-1.3</f>
        <v>1.7</v>
      </c>
      <c r="I37" s="260"/>
    </row>
    <row r="38" spans="1:9" ht="12.75" customHeight="1" x14ac:dyDescent="0.2">
      <c r="A38" s="56">
        <v>29</v>
      </c>
      <c r="B38" s="64"/>
      <c r="C38" s="274" t="s">
        <v>3684</v>
      </c>
      <c r="D38" s="228"/>
      <c r="E38" s="272"/>
      <c r="F38" s="261" t="s">
        <v>8</v>
      </c>
      <c r="G38" s="218"/>
      <c r="H38" s="215">
        <f>4+3.7-0.7+0.7-0.2-0.7-0.9</f>
        <v>5.8999999999999995</v>
      </c>
      <c r="I38" s="260"/>
    </row>
    <row r="39" spans="1:9" ht="12.75" customHeight="1" x14ac:dyDescent="0.2">
      <c r="A39" s="56">
        <v>30</v>
      </c>
      <c r="B39" s="64"/>
      <c r="C39" s="274" t="s">
        <v>3707</v>
      </c>
      <c r="D39" s="228"/>
      <c r="E39" s="272"/>
      <c r="F39" s="261" t="s">
        <v>8</v>
      </c>
      <c r="G39" s="218"/>
      <c r="H39" s="215">
        <v>1.1000000000000001</v>
      </c>
      <c r="I39" s="260"/>
    </row>
    <row r="40" spans="1:9" ht="12.75" customHeight="1" x14ac:dyDescent="0.2">
      <c r="A40" s="56">
        <v>31</v>
      </c>
      <c r="B40" s="64" t="s">
        <v>2241</v>
      </c>
      <c r="C40" s="274" t="s">
        <v>3284</v>
      </c>
      <c r="D40" s="228"/>
      <c r="E40" s="272"/>
      <c r="F40" s="261" t="s">
        <v>8</v>
      </c>
      <c r="G40" s="218"/>
      <c r="H40" s="215">
        <v>7.8</v>
      </c>
      <c r="I40" s="260"/>
    </row>
    <row r="41" spans="1:9" ht="12.75" customHeight="1" x14ac:dyDescent="0.2">
      <c r="A41" s="56">
        <v>32</v>
      </c>
      <c r="B41" s="64"/>
      <c r="C41" s="274" t="s">
        <v>3283</v>
      </c>
      <c r="D41" s="228"/>
      <c r="E41" s="272"/>
      <c r="F41" s="261" t="s">
        <v>8</v>
      </c>
      <c r="G41" s="218"/>
      <c r="H41" s="215">
        <v>2.7</v>
      </c>
      <c r="I41" s="260"/>
    </row>
    <row r="42" spans="1:9" ht="12.75" customHeight="1" x14ac:dyDescent="0.2">
      <c r="A42" s="56">
        <v>33</v>
      </c>
      <c r="B42" s="64"/>
      <c r="C42" s="274" t="s">
        <v>1821</v>
      </c>
      <c r="D42" s="228"/>
      <c r="E42" s="272"/>
      <c r="F42" s="261" t="s">
        <v>67</v>
      </c>
      <c r="G42" s="218"/>
      <c r="H42" s="215">
        <v>3</v>
      </c>
      <c r="I42" s="260"/>
    </row>
    <row r="43" spans="1:9" ht="12.75" customHeight="1" x14ac:dyDescent="0.2">
      <c r="A43" s="56">
        <v>34</v>
      </c>
      <c r="B43" s="64"/>
      <c r="C43" s="274" t="s">
        <v>1062</v>
      </c>
      <c r="D43" s="228"/>
      <c r="E43" s="272"/>
      <c r="F43" s="261" t="s">
        <v>67</v>
      </c>
      <c r="G43" s="218"/>
      <c r="H43" s="215">
        <f>8.4-1-0.8-3.2</f>
        <v>3.4000000000000004</v>
      </c>
      <c r="I43" s="260"/>
    </row>
    <row r="44" spans="1:9" ht="12.75" customHeight="1" x14ac:dyDescent="0.2">
      <c r="A44" s="56">
        <v>35</v>
      </c>
      <c r="B44" s="64"/>
      <c r="C44" s="274" t="s">
        <v>1061</v>
      </c>
      <c r="D44" s="228"/>
      <c r="E44" s="272"/>
      <c r="F44" s="261" t="s">
        <v>37</v>
      </c>
      <c r="G44" s="218"/>
      <c r="H44" s="215">
        <f>5.4-1-1.1</f>
        <v>3.3000000000000003</v>
      </c>
      <c r="I44" s="260"/>
    </row>
    <row r="45" spans="1:9" ht="12.75" customHeight="1" x14ac:dyDescent="0.2">
      <c r="A45" s="56">
        <v>36</v>
      </c>
      <c r="B45" s="64"/>
      <c r="C45" s="274" t="s">
        <v>4151</v>
      </c>
      <c r="D45" s="228"/>
      <c r="E45" s="272"/>
      <c r="F45" s="261" t="s">
        <v>37</v>
      </c>
      <c r="G45" s="218"/>
      <c r="H45" s="215">
        <f>10-0.6</f>
        <v>9.4</v>
      </c>
      <c r="I45" s="260"/>
    </row>
    <row r="46" spans="1:9" ht="12.75" customHeight="1" x14ac:dyDescent="0.2">
      <c r="A46" s="56">
        <v>37</v>
      </c>
      <c r="B46" s="64" t="s">
        <v>2241</v>
      </c>
      <c r="C46" s="274" t="s">
        <v>3282</v>
      </c>
      <c r="D46" s="228"/>
      <c r="E46" s="272"/>
      <c r="F46" s="261" t="s">
        <v>8</v>
      </c>
      <c r="G46" s="218"/>
      <c r="H46" s="215">
        <v>10.3</v>
      </c>
      <c r="I46" s="260"/>
    </row>
    <row r="47" spans="1:9" ht="12.75" customHeight="1" x14ac:dyDescent="0.2">
      <c r="A47" s="56">
        <v>38</v>
      </c>
      <c r="B47" s="64"/>
      <c r="C47" s="274" t="s">
        <v>3281</v>
      </c>
      <c r="D47" s="228"/>
      <c r="E47" s="272"/>
      <c r="F47" s="261" t="s">
        <v>8</v>
      </c>
      <c r="G47" s="218"/>
      <c r="H47" s="215">
        <v>2.4</v>
      </c>
      <c r="I47" s="260"/>
    </row>
    <row r="48" spans="1:9" ht="12.75" customHeight="1" x14ac:dyDescent="0.2">
      <c r="A48" s="56">
        <v>39</v>
      </c>
      <c r="B48" s="64"/>
      <c r="C48" s="274" t="s">
        <v>3280</v>
      </c>
      <c r="D48" s="228"/>
      <c r="E48" s="272"/>
      <c r="F48" s="261" t="s">
        <v>8</v>
      </c>
      <c r="G48" s="218"/>
      <c r="H48" s="215">
        <v>1.6</v>
      </c>
      <c r="I48" s="260"/>
    </row>
    <row r="49" spans="1:9" ht="12.75" customHeight="1" x14ac:dyDescent="0.2">
      <c r="A49" s="56">
        <v>40</v>
      </c>
      <c r="B49" s="64"/>
      <c r="C49" s="274" t="s">
        <v>2364</v>
      </c>
      <c r="D49" s="228"/>
      <c r="E49" s="272"/>
      <c r="F49" s="261" t="s">
        <v>8</v>
      </c>
      <c r="G49" s="218"/>
      <c r="H49" s="215">
        <f>6.4-1.1-0.4-4+0.1</f>
        <v>1.0000000000000004</v>
      </c>
      <c r="I49" s="260"/>
    </row>
    <row r="50" spans="1:9" ht="12.75" customHeight="1" x14ac:dyDescent="0.2">
      <c r="A50" s="56">
        <v>41</v>
      </c>
      <c r="B50" s="64" t="s">
        <v>2241</v>
      </c>
      <c r="C50" s="274" t="s">
        <v>4891</v>
      </c>
      <c r="D50" s="228"/>
      <c r="E50" s="272"/>
      <c r="F50" s="261" t="s">
        <v>8</v>
      </c>
      <c r="G50" s="218"/>
      <c r="H50" s="215">
        <f>21.2-8.3-7.7+0.2</f>
        <v>5.3999999999999986</v>
      </c>
      <c r="I50" s="260"/>
    </row>
    <row r="51" spans="1:9" ht="12.75" customHeight="1" x14ac:dyDescent="0.2">
      <c r="A51" s="56">
        <v>42</v>
      </c>
      <c r="B51" s="64"/>
      <c r="C51" s="274" t="s">
        <v>2920</v>
      </c>
      <c r="D51" s="228"/>
      <c r="E51" s="272"/>
      <c r="F51" s="261" t="s">
        <v>8</v>
      </c>
      <c r="G51" s="218"/>
      <c r="H51" s="215">
        <f>2-1</f>
        <v>1</v>
      </c>
      <c r="I51" s="260"/>
    </row>
    <row r="52" spans="1:9" ht="12.75" customHeight="1" x14ac:dyDescent="0.2">
      <c r="A52" s="56">
        <v>43</v>
      </c>
      <c r="B52" s="64" t="s">
        <v>2934</v>
      </c>
      <c r="C52" s="274" t="s">
        <v>4780</v>
      </c>
      <c r="D52" s="228"/>
      <c r="E52" s="272"/>
      <c r="F52" s="261" t="s">
        <v>67</v>
      </c>
      <c r="G52" s="218"/>
      <c r="H52" s="215">
        <v>32.799999999999997</v>
      </c>
      <c r="I52" s="216"/>
    </row>
    <row r="53" spans="1:9" ht="12.75" customHeight="1" x14ac:dyDescent="0.2">
      <c r="A53" s="56">
        <v>44</v>
      </c>
      <c r="B53" s="64" t="s">
        <v>3666</v>
      </c>
      <c r="C53" s="274" t="s">
        <v>4783</v>
      </c>
      <c r="D53" s="228"/>
      <c r="E53" s="272"/>
      <c r="F53" s="261" t="s">
        <v>67</v>
      </c>
      <c r="G53" s="218"/>
      <c r="H53" s="215">
        <v>43</v>
      </c>
      <c r="I53" s="216"/>
    </row>
    <row r="54" spans="1:9" ht="12.75" customHeight="1" x14ac:dyDescent="0.2">
      <c r="A54" s="56">
        <v>45</v>
      </c>
      <c r="B54" s="64"/>
      <c r="C54" s="274" t="s">
        <v>5071</v>
      </c>
      <c r="D54" s="228"/>
      <c r="E54" s="272"/>
      <c r="F54" s="261" t="s">
        <v>67</v>
      </c>
      <c r="G54" s="218"/>
      <c r="H54" s="215">
        <f>14.4-0.8-7.1</f>
        <v>6.5</v>
      </c>
      <c r="I54" s="260"/>
    </row>
    <row r="55" spans="1:9" ht="12.75" customHeight="1" x14ac:dyDescent="0.2">
      <c r="A55" s="56">
        <v>46</v>
      </c>
      <c r="B55" s="64"/>
      <c r="C55" s="274" t="s">
        <v>2812</v>
      </c>
      <c r="D55" s="228"/>
      <c r="E55" s="272"/>
      <c r="F55" s="261" t="s">
        <v>37</v>
      </c>
      <c r="G55" s="218"/>
      <c r="H55" s="215">
        <f>10.8-1.8-1.8-1.9-1.9</f>
        <v>3.4000000000000008</v>
      </c>
      <c r="I55" s="260"/>
    </row>
    <row r="56" spans="1:9" ht="12.75" customHeight="1" x14ac:dyDescent="0.2">
      <c r="A56" s="56">
        <v>47</v>
      </c>
      <c r="B56" s="64"/>
      <c r="C56" s="274" t="s">
        <v>1820</v>
      </c>
      <c r="D56" s="228"/>
      <c r="E56" s="272"/>
      <c r="F56" s="261" t="s">
        <v>8</v>
      </c>
      <c r="G56" s="218"/>
      <c r="H56" s="215">
        <v>0.3</v>
      </c>
      <c r="I56" s="260"/>
    </row>
    <row r="57" spans="1:9" ht="12.75" customHeight="1" x14ac:dyDescent="0.2">
      <c r="A57" s="56">
        <v>48</v>
      </c>
      <c r="B57" s="64"/>
      <c r="C57" s="274" t="s">
        <v>4632</v>
      </c>
      <c r="D57" s="228"/>
      <c r="E57" s="272"/>
      <c r="F57" s="261" t="s">
        <v>8</v>
      </c>
      <c r="G57" s="218"/>
      <c r="H57" s="215">
        <v>1.8</v>
      </c>
      <c r="I57" s="260"/>
    </row>
    <row r="58" spans="1:9" ht="12.75" customHeight="1" x14ac:dyDescent="0.2">
      <c r="A58" s="56">
        <v>49</v>
      </c>
      <c r="B58" s="64"/>
      <c r="C58" s="274" t="s">
        <v>4633</v>
      </c>
      <c r="D58" s="228"/>
      <c r="E58" s="272"/>
      <c r="F58" s="261" t="s">
        <v>67</v>
      </c>
      <c r="G58" s="218"/>
      <c r="H58" s="215">
        <v>2.4</v>
      </c>
      <c r="I58" s="260"/>
    </row>
    <row r="59" spans="1:9" ht="12.75" customHeight="1" x14ac:dyDescent="0.2">
      <c r="A59" s="56">
        <v>50</v>
      </c>
      <c r="B59" s="64" t="s">
        <v>3559</v>
      </c>
      <c r="C59" s="274" t="s">
        <v>4128</v>
      </c>
      <c r="D59" s="228"/>
      <c r="E59" s="272"/>
      <c r="F59" s="261" t="s">
        <v>67</v>
      </c>
      <c r="G59" s="218"/>
      <c r="H59" s="215">
        <v>2.7</v>
      </c>
      <c r="I59" s="260"/>
    </row>
    <row r="60" spans="1:9" ht="12.75" customHeight="1" x14ac:dyDescent="0.2">
      <c r="A60" s="56">
        <v>51</v>
      </c>
      <c r="B60" s="64"/>
      <c r="C60" s="274" t="s">
        <v>3664</v>
      </c>
      <c r="D60" s="228"/>
      <c r="E60" s="272"/>
      <c r="F60" s="261" t="s">
        <v>67</v>
      </c>
      <c r="G60" s="218"/>
      <c r="H60" s="215">
        <f>9.8-1.3-5.7-1.5</f>
        <v>1.2999999999999998</v>
      </c>
      <c r="I60" s="260"/>
    </row>
    <row r="61" spans="1:9" ht="12.75" customHeight="1" x14ac:dyDescent="0.2">
      <c r="A61" s="56">
        <v>52</v>
      </c>
      <c r="B61" s="64"/>
      <c r="C61" s="274" t="s">
        <v>4272</v>
      </c>
      <c r="D61" s="228"/>
      <c r="E61" s="272"/>
      <c r="F61" s="261" t="s">
        <v>67</v>
      </c>
      <c r="G61" s="218"/>
      <c r="H61" s="215">
        <f>4.3+1.9</f>
        <v>6.1999999999999993</v>
      </c>
      <c r="I61" s="260"/>
    </row>
    <row r="62" spans="1:9" ht="12.75" customHeight="1" x14ac:dyDescent="0.2">
      <c r="A62" s="56">
        <v>53</v>
      </c>
      <c r="B62" s="64"/>
      <c r="C62" s="274" t="s">
        <v>4630</v>
      </c>
      <c r="D62" s="228"/>
      <c r="E62" s="272"/>
      <c r="F62" s="261" t="s">
        <v>8</v>
      </c>
      <c r="G62" s="218"/>
      <c r="H62" s="215">
        <f>2.3+46-5.1-40.9+6.1</f>
        <v>8.3999999999999968</v>
      </c>
      <c r="I62" s="260"/>
    </row>
    <row r="63" spans="1:9" ht="12.75" customHeight="1" x14ac:dyDescent="0.2">
      <c r="A63" s="56">
        <v>54</v>
      </c>
      <c r="B63" s="64"/>
      <c r="C63" s="274" t="s">
        <v>1819</v>
      </c>
      <c r="D63" s="228"/>
      <c r="E63" s="272"/>
      <c r="F63" s="261" t="s">
        <v>8</v>
      </c>
      <c r="G63" s="218"/>
      <c r="H63" s="215">
        <v>1.2</v>
      </c>
      <c r="I63" s="260"/>
    </row>
    <row r="64" spans="1:9" ht="12.75" customHeight="1" x14ac:dyDescent="0.2">
      <c r="A64" s="56">
        <v>55</v>
      </c>
      <c r="B64" s="64"/>
      <c r="C64" s="274" t="s">
        <v>1556</v>
      </c>
      <c r="D64" s="228"/>
      <c r="E64" s="272"/>
      <c r="F64" s="261" t="s">
        <v>95</v>
      </c>
      <c r="G64" s="218"/>
      <c r="H64" s="215">
        <v>2.2000000000000002</v>
      </c>
      <c r="I64" s="260"/>
    </row>
    <row r="65" spans="1:9" ht="12.75" customHeight="1" x14ac:dyDescent="0.2">
      <c r="A65" s="56">
        <v>56</v>
      </c>
      <c r="B65" s="64"/>
      <c r="C65" s="274" t="s">
        <v>4053</v>
      </c>
      <c r="D65" s="228"/>
      <c r="E65" s="272"/>
      <c r="F65" s="261" t="s">
        <v>8</v>
      </c>
      <c r="G65" s="218"/>
      <c r="H65" s="215">
        <f>5-2.6+0.1</f>
        <v>2.5</v>
      </c>
      <c r="I65" s="260"/>
    </row>
    <row r="66" spans="1:9" ht="12.75" customHeight="1" x14ac:dyDescent="0.2">
      <c r="A66" s="56">
        <v>57</v>
      </c>
      <c r="B66" s="64" t="s">
        <v>3557</v>
      </c>
      <c r="C66" s="274" t="s">
        <v>4150</v>
      </c>
      <c r="D66" s="228"/>
      <c r="E66" s="272"/>
      <c r="F66" s="261" t="s">
        <v>8</v>
      </c>
      <c r="G66" s="218"/>
      <c r="H66" s="215">
        <v>2.1</v>
      </c>
      <c r="I66" s="260"/>
    </row>
    <row r="67" spans="1:9" ht="12.75" customHeight="1" x14ac:dyDescent="0.2">
      <c r="A67" s="56">
        <v>58</v>
      </c>
      <c r="B67" s="64"/>
      <c r="C67" s="274" t="s">
        <v>1384</v>
      </c>
      <c r="D67" s="228"/>
      <c r="E67" s="272"/>
      <c r="F67" s="261" t="s">
        <v>8</v>
      </c>
      <c r="G67" s="218"/>
      <c r="H67" s="215">
        <v>7.8</v>
      </c>
      <c r="I67" s="260"/>
    </row>
    <row r="68" spans="1:9" ht="12.75" customHeight="1" x14ac:dyDescent="0.2">
      <c r="A68" s="56">
        <v>59</v>
      </c>
      <c r="B68" s="64"/>
      <c r="C68" s="274" t="s">
        <v>2137</v>
      </c>
      <c r="D68" s="228"/>
      <c r="E68" s="272"/>
      <c r="F68" s="261" t="s">
        <v>8</v>
      </c>
      <c r="G68" s="218"/>
      <c r="H68" s="215">
        <v>2</v>
      </c>
      <c r="I68" s="260"/>
    </row>
    <row r="69" spans="1:9" ht="12.75" customHeight="1" x14ac:dyDescent="0.2">
      <c r="A69" s="56">
        <v>60</v>
      </c>
      <c r="B69" s="64"/>
      <c r="C69" s="274" t="s">
        <v>1003</v>
      </c>
      <c r="D69" s="228"/>
      <c r="E69" s="272"/>
      <c r="F69" s="261" t="s">
        <v>67</v>
      </c>
      <c r="G69" s="218"/>
      <c r="H69" s="215">
        <f>17.6-1.8-1.7-1.9-1.9</f>
        <v>10.3</v>
      </c>
      <c r="I69" s="260"/>
    </row>
    <row r="70" spans="1:9" ht="12.75" customHeight="1" x14ac:dyDescent="0.2">
      <c r="A70" s="56">
        <v>61</v>
      </c>
      <c r="B70" s="64"/>
      <c r="C70" s="274" t="s">
        <v>4678</v>
      </c>
      <c r="D70" s="228"/>
      <c r="E70" s="272"/>
      <c r="F70" s="261" t="s">
        <v>8</v>
      </c>
      <c r="G70" s="218"/>
      <c r="H70" s="215">
        <f>9.6-0.7-0.6-0.7</f>
        <v>7.6000000000000005</v>
      </c>
      <c r="I70" s="260"/>
    </row>
    <row r="71" spans="1:9" ht="12.75" customHeight="1" x14ac:dyDescent="0.2">
      <c r="A71" s="56">
        <v>62</v>
      </c>
      <c r="B71" s="64"/>
      <c r="C71" s="274" t="s">
        <v>4631</v>
      </c>
      <c r="D71" s="228"/>
      <c r="E71" s="272"/>
      <c r="F71" s="261" t="s">
        <v>67</v>
      </c>
      <c r="G71" s="218"/>
      <c r="H71" s="215">
        <v>2.6</v>
      </c>
      <c r="I71" s="260"/>
    </row>
    <row r="72" spans="1:9" ht="12.75" customHeight="1" x14ac:dyDescent="0.2">
      <c r="A72" s="56">
        <v>63</v>
      </c>
      <c r="B72" s="64" t="s">
        <v>2934</v>
      </c>
      <c r="C72" s="274" t="s">
        <v>4779</v>
      </c>
      <c r="D72" s="228"/>
      <c r="E72" s="272"/>
      <c r="F72" s="261" t="s">
        <v>67</v>
      </c>
      <c r="G72" s="218"/>
      <c r="H72" s="215">
        <v>29.5</v>
      </c>
      <c r="I72" s="216"/>
    </row>
    <row r="73" spans="1:9" ht="12.75" customHeight="1" x14ac:dyDescent="0.2">
      <c r="A73" s="56">
        <v>64</v>
      </c>
      <c r="B73" s="64" t="s">
        <v>2934</v>
      </c>
      <c r="C73" s="274" t="s">
        <v>4786</v>
      </c>
      <c r="D73" s="228"/>
      <c r="E73" s="272"/>
      <c r="F73" s="261" t="s">
        <v>67</v>
      </c>
      <c r="G73" s="218"/>
      <c r="H73" s="215">
        <f>44.1-6.1</f>
        <v>38</v>
      </c>
      <c r="I73" s="216"/>
    </row>
    <row r="74" spans="1:9" ht="12.75" customHeight="1" x14ac:dyDescent="0.2">
      <c r="A74" s="56">
        <v>65</v>
      </c>
      <c r="B74" s="64"/>
      <c r="C74" s="274" t="s">
        <v>1799</v>
      </c>
      <c r="D74" s="228"/>
      <c r="E74" s="272"/>
      <c r="F74" s="261" t="s">
        <v>67</v>
      </c>
      <c r="G74" s="218"/>
      <c r="H74" s="215">
        <v>172</v>
      </c>
      <c r="I74" s="260"/>
    </row>
    <row r="75" spans="1:9" ht="12.75" customHeight="1" x14ac:dyDescent="0.2">
      <c r="A75" s="56">
        <v>66</v>
      </c>
      <c r="B75" s="64"/>
      <c r="C75" s="274" t="s">
        <v>5106</v>
      </c>
      <c r="D75" s="228"/>
      <c r="E75" s="272"/>
      <c r="F75" s="261" t="s">
        <v>67</v>
      </c>
      <c r="G75" s="218"/>
      <c r="H75" s="215">
        <v>7.4</v>
      </c>
      <c r="I75" s="260"/>
    </row>
    <row r="76" spans="1:9" ht="12.75" customHeight="1" x14ac:dyDescent="0.2">
      <c r="A76" s="56">
        <v>67</v>
      </c>
      <c r="B76" s="64" t="s">
        <v>2934</v>
      </c>
      <c r="C76" s="274" t="s">
        <v>4778</v>
      </c>
      <c r="D76" s="228"/>
      <c r="E76" s="272"/>
      <c r="F76" s="261" t="s">
        <v>8</v>
      </c>
      <c r="G76" s="218"/>
      <c r="H76" s="215">
        <f>108.5-4.7</f>
        <v>103.8</v>
      </c>
      <c r="I76" s="216"/>
    </row>
    <row r="77" spans="1:9" ht="12.75" customHeight="1" x14ac:dyDescent="0.2">
      <c r="A77" s="56">
        <v>68</v>
      </c>
      <c r="B77" s="64"/>
      <c r="C77" s="274" t="s">
        <v>3885</v>
      </c>
      <c r="D77" s="228"/>
      <c r="E77" s="272"/>
      <c r="F77" s="261" t="s">
        <v>67</v>
      </c>
      <c r="G77" s="218"/>
      <c r="H77" s="215">
        <f>6.6+2.8</f>
        <v>9.3999999999999986</v>
      </c>
      <c r="I77" s="260"/>
    </row>
    <row r="78" spans="1:9" ht="12.75" customHeight="1" x14ac:dyDescent="0.2">
      <c r="A78" s="56">
        <v>69</v>
      </c>
      <c r="B78" s="64" t="s">
        <v>3559</v>
      </c>
      <c r="C78" s="274" t="s">
        <v>4126</v>
      </c>
      <c r="D78" s="228"/>
      <c r="E78" s="272"/>
      <c r="F78" s="261" t="s">
        <v>67</v>
      </c>
      <c r="G78" s="218"/>
      <c r="H78" s="215">
        <v>5.5</v>
      </c>
      <c r="I78" s="260"/>
    </row>
    <row r="79" spans="1:9" ht="12.75" customHeight="1" x14ac:dyDescent="0.2">
      <c r="A79" s="56">
        <v>70</v>
      </c>
      <c r="B79" s="64"/>
      <c r="C79" s="274" t="s">
        <v>714</v>
      </c>
      <c r="D79" s="228"/>
      <c r="E79" s="272"/>
      <c r="F79" s="261" t="s">
        <v>67</v>
      </c>
      <c r="G79" s="218"/>
      <c r="H79" s="215">
        <v>10.7</v>
      </c>
      <c r="I79" s="260"/>
    </row>
    <row r="80" spans="1:9" ht="12.75" customHeight="1" x14ac:dyDescent="0.2">
      <c r="A80" s="56">
        <v>71</v>
      </c>
      <c r="B80" s="64"/>
      <c r="C80" s="274" t="s">
        <v>1438</v>
      </c>
      <c r="D80" s="228"/>
      <c r="E80" s="272"/>
      <c r="F80" s="261" t="s">
        <v>67</v>
      </c>
      <c r="G80" s="218"/>
      <c r="H80" s="215">
        <f>60.7-30.5-6.5-5.9</f>
        <v>17.800000000000004</v>
      </c>
      <c r="I80" s="260"/>
    </row>
    <row r="81" spans="1:9" ht="12.75" customHeight="1" x14ac:dyDescent="0.2">
      <c r="A81" s="56">
        <v>72</v>
      </c>
      <c r="B81" s="64" t="s">
        <v>2225</v>
      </c>
      <c r="C81" s="274" t="s">
        <v>4042</v>
      </c>
      <c r="D81" s="228"/>
      <c r="E81" s="272"/>
      <c r="F81" s="261" t="s">
        <v>67</v>
      </c>
      <c r="G81" s="218"/>
      <c r="H81" s="215">
        <v>10.199999999999999</v>
      </c>
      <c r="I81" s="216"/>
    </row>
    <row r="82" spans="1:9" ht="12.75" customHeight="1" x14ac:dyDescent="0.2">
      <c r="A82" s="56">
        <v>73</v>
      </c>
      <c r="B82" s="64"/>
      <c r="C82" s="274" t="s">
        <v>1242</v>
      </c>
      <c r="D82" s="228"/>
      <c r="E82" s="272"/>
      <c r="F82" s="261" t="s">
        <v>67</v>
      </c>
      <c r="G82" s="218"/>
      <c r="H82" s="215">
        <f>6.8+11-16</f>
        <v>1.8000000000000007</v>
      </c>
      <c r="I82" s="260"/>
    </row>
    <row r="83" spans="1:9" ht="12.75" customHeight="1" x14ac:dyDescent="0.2">
      <c r="A83" s="56">
        <v>74</v>
      </c>
      <c r="B83" s="64"/>
      <c r="C83" s="274" t="s">
        <v>2775</v>
      </c>
      <c r="D83" s="228"/>
      <c r="E83" s="272"/>
      <c r="F83" s="261" t="s">
        <v>67</v>
      </c>
      <c r="G83" s="218"/>
      <c r="H83" s="215">
        <f>10.8-5.1+10.3-2.1-5.7-4</f>
        <v>4.1999999999999993</v>
      </c>
      <c r="I83" s="260"/>
    </row>
    <row r="84" spans="1:9" ht="12.75" customHeight="1" x14ac:dyDescent="0.2">
      <c r="A84" s="56">
        <v>75</v>
      </c>
      <c r="B84" s="64" t="s">
        <v>3666</v>
      </c>
      <c r="C84" s="274" t="s">
        <v>4781</v>
      </c>
      <c r="D84" s="228"/>
      <c r="E84" s="272"/>
      <c r="F84" s="261" t="s">
        <v>8</v>
      </c>
      <c r="G84" s="218"/>
      <c r="H84" s="215">
        <v>80.599999999999994</v>
      </c>
      <c r="I84" s="216"/>
    </row>
    <row r="85" spans="1:9" ht="12.75" customHeight="1" x14ac:dyDescent="0.2">
      <c r="A85" s="56">
        <v>76</v>
      </c>
      <c r="B85" s="64" t="s">
        <v>3666</v>
      </c>
      <c r="C85" s="274" t="s">
        <v>4782</v>
      </c>
      <c r="D85" s="228"/>
      <c r="E85" s="272"/>
      <c r="F85" s="261" t="s">
        <v>8</v>
      </c>
      <c r="G85" s="218"/>
      <c r="H85" s="215">
        <v>23.8</v>
      </c>
      <c r="I85" s="216"/>
    </row>
    <row r="86" spans="1:9" ht="12.75" customHeight="1" x14ac:dyDescent="0.2">
      <c r="A86" s="56">
        <v>77</v>
      </c>
      <c r="B86" s="64"/>
      <c r="C86" s="274" t="s">
        <v>4007</v>
      </c>
      <c r="D86" s="228"/>
      <c r="E86" s="272"/>
      <c r="F86" s="261" t="s">
        <v>67</v>
      </c>
      <c r="G86" s="218"/>
      <c r="H86" s="215">
        <v>2.9</v>
      </c>
      <c r="I86" s="260"/>
    </row>
    <row r="87" spans="1:9" ht="12.75" customHeight="1" x14ac:dyDescent="0.2">
      <c r="A87" s="56">
        <v>78</v>
      </c>
      <c r="B87" s="64" t="s">
        <v>2934</v>
      </c>
      <c r="C87" s="274" t="s">
        <v>4785</v>
      </c>
      <c r="D87" s="228"/>
      <c r="E87" s="272"/>
      <c r="F87" s="261" t="s">
        <v>99</v>
      </c>
      <c r="G87" s="218"/>
      <c r="H87" s="215">
        <v>35.6</v>
      </c>
      <c r="I87" s="216"/>
    </row>
    <row r="88" spans="1:9" ht="12.75" customHeight="1" x14ac:dyDescent="0.2">
      <c r="A88" s="56">
        <v>79</v>
      </c>
      <c r="B88" s="64"/>
      <c r="C88" s="274" t="s">
        <v>4169</v>
      </c>
      <c r="D88" s="228"/>
      <c r="E88" s="272"/>
      <c r="F88" s="261" t="s">
        <v>67</v>
      </c>
      <c r="G88" s="218"/>
      <c r="H88" s="215">
        <v>4.4000000000000004</v>
      </c>
      <c r="I88" s="260"/>
    </row>
    <row r="89" spans="1:9" ht="12.75" customHeight="1" x14ac:dyDescent="0.2">
      <c r="A89" s="56">
        <v>80</v>
      </c>
      <c r="B89" s="64"/>
      <c r="C89" s="274" t="s">
        <v>2617</v>
      </c>
      <c r="D89" s="228"/>
      <c r="E89" s="272"/>
      <c r="F89" s="261" t="s">
        <v>8</v>
      </c>
      <c r="G89" s="218"/>
      <c r="H89" s="215">
        <v>8.4</v>
      </c>
      <c r="I89" s="260"/>
    </row>
    <row r="90" spans="1:9" ht="12.75" customHeight="1" x14ac:dyDescent="0.2">
      <c r="A90" s="56">
        <v>81</v>
      </c>
      <c r="B90" s="64"/>
      <c r="C90" s="274" t="s">
        <v>145</v>
      </c>
      <c r="D90" s="228"/>
      <c r="E90" s="272"/>
      <c r="F90" s="261" t="s">
        <v>19</v>
      </c>
      <c r="G90" s="218"/>
      <c r="H90" s="215"/>
      <c r="I90" s="260"/>
    </row>
    <row r="91" spans="1:9" ht="12.75" customHeight="1" x14ac:dyDescent="0.2">
      <c r="A91" s="56">
        <v>82</v>
      </c>
      <c r="B91" s="64" t="s">
        <v>2225</v>
      </c>
      <c r="C91" s="274" t="s">
        <v>4041</v>
      </c>
      <c r="D91" s="228"/>
      <c r="E91" s="272"/>
      <c r="F91" s="261" t="s">
        <v>67</v>
      </c>
      <c r="G91" s="218"/>
      <c r="H91" s="215">
        <v>42.1</v>
      </c>
      <c r="I91" s="260"/>
    </row>
    <row r="92" spans="1:9" ht="12.75" customHeight="1" x14ac:dyDescent="0.2">
      <c r="A92" s="56">
        <v>83</v>
      </c>
      <c r="B92" s="64"/>
      <c r="C92" s="274" t="s">
        <v>2249</v>
      </c>
      <c r="D92" s="228"/>
      <c r="E92" s="272"/>
      <c r="F92" s="261" t="s">
        <v>8</v>
      </c>
      <c r="G92" s="218"/>
      <c r="H92" s="215">
        <v>12.5</v>
      </c>
      <c r="I92" s="260"/>
    </row>
    <row r="93" spans="1:9" ht="12.75" customHeight="1" x14ac:dyDescent="0.2">
      <c r="A93" s="56">
        <v>84</v>
      </c>
      <c r="B93" s="64"/>
      <c r="C93" s="274" t="s">
        <v>3698</v>
      </c>
      <c r="D93" s="228"/>
      <c r="E93" s="272"/>
      <c r="F93" s="261" t="s">
        <v>8</v>
      </c>
      <c r="G93" s="218"/>
      <c r="H93" s="215">
        <v>36</v>
      </c>
      <c r="I93" s="260"/>
    </row>
    <row r="94" spans="1:9" ht="12.75" customHeight="1" x14ac:dyDescent="0.2">
      <c r="A94" s="56">
        <v>85</v>
      </c>
      <c r="B94" s="64"/>
      <c r="C94" s="274" t="s">
        <v>744</v>
      </c>
      <c r="D94" s="228"/>
      <c r="E94" s="272"/>
      <c r="F94" s="261" t="s">
        <v>8</v>
      </c>
      <c r="G94" s="218"/>
      <c r="H94" s="215">
        <v>16.8</v>
      </c>
      <c r="I94" s="260"/>
    </row>
    <row r="95" spans="1:9" ht="12.75" customHeight="1" x14ac:dyDescent="0.2">
      <c r="A95" s="56">
        <v>86</v>
      </c>
      <c r="B95" s="64"/>
      <c r="C95" s="274" t="s">
        <v>3057</v>
      </c>
      <c r="D95" s="228"/>
      <c r="E95" s="272"/>
      <c r="F95" s="261" t="s">
        <v>67</v>
      </c>
      <c r="G95" s="218"/>
      <c r="H95" s="215">
        <v>5</v>
      </c>
      <c r="I95" s="260"/>
    </row>
    <row r="96" spans="1:9" ht="12.75" customHeight="1" x14ac:dyDescent="0.2">
      <c r="A96" s="56">
        <v>87</v>
      </c>
      <c r="B96" s="64" t="s">
        <v>3557</v>
      </c>
      <c r="C96" s="274" t="s">
        <v>4149</v>
      </c>
      <c r="D96" s="228"/>
      <c r="E96" s="272"/>
      <c r="F96" s="261" t="s">
        <v>67</v>
      </c>
      <c r="G96" s="218"/>
      <c r="H96" s="215">
        <v>2</v>
      </c>
      <c r="I96" s="260"/>
    </row>
    <row r="97" spans="1:9" ht="12.75" customHeight="1" x14ac:dyDescent="0.2">
      <c r="A97" s="56">
        <v>88</v>
      </c>
      <c r="B97" s="64"/>
      <c r="C97" s="274" t="s">
        <v>496</v>
      </c>
      <c r="D97" s="228"/>
      <c r="E97" s="272"/>
      <c r="F97" s="261" t="s">
        <v>67</v>
      </c>
      <c r="G97" s="218"/>
      <c r="H97" s="215">
        <v>8.6999999999999993</v>
      </c>
      <c r="I97" s="260"/>
    </row>
    <row r="98" spans="1:9" ht="12.75" customHeight="1" x14ac:dyDescent="0.2">
      <c r="A98" s="56">
        <v>89</v>
      </c>
      <c r="B98" s="64"/>
      <c r="C98" s="274" t="s">
        <v>4006</v>
      </c>
      <c r="D98" s="228"/>
      <c r="E98" s="272"/>
      <c r="F98" s="261" t="s">
        <v>8</v>
      </c>
      <c r="G98" s="218"/>
      <c r="H98" s="215">
        <v>3.4</v>
      </c>
      <c r="I98" s="260"/>
    </row>
    <row r="99" spans="1:9" ht="12.75" customHeight="1" x14ac:dyDescent="0.2">
      <c r="A99" s="56">
        <v>90</v>
      </c>
      <c r="B99" s="64"/>
      <c r="C99" s="274" t="s">
        <v>2648</v>
      </c>
      <c r="D99" s="228"/>
      <c r="E99" s="272"/>
      <c r="F99" s="261" t="s">
        <v>67</v>
      </c>
      <c r="G99" s="218"/>
      <c r="H99" s="215">
        <v>4.9000000000000004</v>
      </c>
      <c r="I99" s="260"/>
    </row>
    <row r="100" spans="1:9" ht="12.75" customHeight="1" x14ac:dyDescent="0.2">
      <c r="A100" s="56">
        <v>91</v>
      </c>
      <c r="B100" s="64"/>
      <c r="C100" s="274" t="s">
        <v>2284</v>
      </c>
      <c r="D100" s="228"/>
      <c r="E100" s="272"/>
      <c r="F100" s="261" t="s">
        <v>99</v>
      </c>
      <c r="G100" s="218"/>
      <c r="H100" s="215">
        <v>3.6</v>
      </c>
      <c r="I100" s="260"/>
    </row>
    <row r="101" spans="1:9" ht="12.75" customHeight="1" x14ac:dyDescent="0.2">
      <c r="A101" s="56">
        <v>92</v>
      </c>
      <c r="B101" s="64"/>
      <c r="C101" s="274" t="s">
        <v>2084</v>
      </c>
      <c r="D101" s="228"/>
      <c r="E101" s="272"/>
      <c r="F101" s="261" t="s">
        <v>387</v>
      </c>
      <c r="G101" s="218"/>
      <c r="H101" s="215">
        <f>8.9-1.7</f>
        <v>7.2</v>
      </c>
      <c r="I101" s="260"/>
    </row>
    <row r="102" spans="1:9" ht="12.75" customHeight="1" x14ac:dyDescent="0.2">
      <c r="A102" s="56">
        <v>93</v>
      </c>
      <c r="B102" s="64"/>
      <c r="C102" s="274" t="s">
        <v>4567</v>
      </c>
      <c r="D102" s="228"/>
      <c r="E102" s="272"/>
      <c r="F102" s="261" t="s">
        <v>8</v>
      </c>
      <c r="G102" s="218"/>
      <c r="H102" s="215">
        <f>13.4+13.4</f>
        <v>26.8</v>
      </c>
      <c r="I102" s="260"/>
    </row>
    <row r="103" spans="1:9" ht="12.75" customHeight="1" x14ac:dyDescent="0.2">
      <c r="A103" s="56">
        <v>94</v>
      </c>
      <c r="B103" s="64"/>
      <c r="C103" s="274" t="s">
        <v>3536</v>
      </c>
      <c r="D103" s="228"/>
      <c r="E103" s="272"/>
      <c r="F103" s="261" t="s">
        <v>67</v>
      </c>
      <c r="G103" s="218"/>
      <c r="H103" s="215">
        <f>8.3-5.6</f>
        <v>2.7000000000000011</v>
      </c>
      <c r="I103" s="260"/>
    </row>
    <row r="104" spans="1:9" ht="12.75" customHeight="1" x14ac:dyDescent="0.2">
      <c r="A104" s="56">
        <v>95</v>
      </c>
      <c r="B104" s="64"/>
      <c r="C104" s="274" t="s">
        <v>3056</v>
      </c>
      <c r="D104" s="228"/>
      <c r="E104" s="272"/>
      <c r="F104" s="261" t="s">
        <v>67</v>
      </c>
      <c r="G104" s="218"/>
      <c r="H104" s="215">
        <v>2.9</v>
      </c>
      <c r="I104" s="260"/>
    </row>
    <row r="105" spans="1:9" ht="12.75" customHeight="1" x14ac:dyDescent="0.2">
      <c r="A105" s="56">
        <v>96</v>
      </c>
      <c r="B105" s="64"/>
      <c r="C105" s="274" t="s">
        <v>1977</v>
      </c>
      <c r="D105" s="228"/>
      <c r="E105" s="272"/>
      <c r="F105" s="261" t="s">
        <v>67</v>
      </c>
      <c r="G105" s="218"/>
      <c r="H105" s="215">
        <f>22.6-11.3</f>
        <v>11.3</v>
      </c>
      <c r="I105" s="260"/>
    </row>
    <row r="106" spans="1:9" ht="12.75" customHeight="1" x14ac:dyDescent="0.2">
      <c r="A106" s="56">
        <v>97</v>
      </c>
      <c r="B106" s="64" t="s">
        <v>3557</v>
      </c>
      <c r="C106" s="274" t="s">
        <v>4453</v>
      </c>
      <c r="D106" s="228"/>
      <c r="E106" s="272"/>
      <c r="F106" s="261" t="s">
        <v>37</v>
      </c>
      <c r="G106" s="218"/>
      <c r="H106" s="215">
        <v>14.8</v>
      </c>
      <c r="I106" s="260"/>
    </row>
    <row r="107" spans="1:9" ht="12.75" customHeight="1" x14ac:dyDescent="0.2">
      <c r="A107" s="56">
        <v>98</v>
      </c>
      <c r="B107" s="64"/>
      <c r="C107" s="274" t="s">
        <v>4337</v>
      </c>
      <c r="D107" s="228"/>
      <c r="E107" s="272"/>
      <c r="F107" s="261" t="s">
        <v>37</v>
      </c>
      <c r="G107" s="218"/>
      <c r="H107" s="215">
        <v>3.5</v>
      </c>
      <c r="I107" s="260"/>
    </row>
    <row r="108" spans="1:9" ht="12.75" customHeight="1" x14ac:dyDescent="0.2">
      <c r="A108" s="56">
        <v>99</v>
      </c>
      <c r="B108" s="64" t="s">
        <v>3557</v>
      </c>
      <c r="C108" s="274" t="s">
        <v>4127</v>
      </c>
      <c r="D108" s="228"/>
      <c r="E108" s="272"/>
      <c r="F108" s="261" t="s">
        <v>67</v>
      </c>
      <c r="G108" s="218"/>
      <c r="H108" s="215">
        <v>9</v>
      </c>
      <c r="I108" s="260"/>
    </row>
    <row r="109" spans="1:9" ht="12.75" customHeight="1" x14ac:dyDescent="0.2">
      <c r="A109" s="56">
        <v>100</v>
      </c>
      <c r="B109" s="64"/>
      <c r="C109" s="274" t="s">
        <v>2180</v>
      </c>
      <c r="D109" s="228"/>
      <c r="E109" s="272"/>
      <c r="F109" s="261" t="s">
        <v>39</v>
      </c>
      <c r="G109" s="218"/>
      <c r="H109" s="215">
        <v>9.6</v>
      </c>
      <c r="I109" s="260"/>
    </row>
    <row r="110" spans="1:9" ht="12.75" customHeight="1" x14ac:dyDescent="0.2">
      <c r="A110" s="56">
        <v>101</v>
      </c>
      <c r="B110" s="64"/>
      <c r="C110" s="274" t="s">
        <v>3611</v>
      </c>
      <c r="D110" s="228"/>
      <c r="E110" s="272"/>
      <c r="F110" s="261" t="s">
        <v>67</v>
      </c>
      <c r="G110" s="218"/>
      <c r="H110" s="215">
        <f>15-3.7-2.6</f>
        <v>8.7000000000000011</v>
      </c>
      <c r="I110" s="260"/>
    </row>
    <row r="111" spans="1:9" ht="12.75" customHeight="1" x14ac:dyDescent="0.2">
      <c r="A111" s="56">
        <v>102</v>
      </c>
      <c r="B111" s="64"/>
      <c r="C111" s="274" t="s">
        <v>2021</v>
      </c>
      <c r="D111" s="228"/>
      <c r="E111" s="272"/>
      <c r="F111" s="261" t="s">
        <v>67</v>
      </c>
      <c r="G111" s="218"/>
      <c r="H111" s="215">
        <v>3.1</v>
      </c>
      <c r="I111" s="260"/>
    </row>
    <row r="112" spans="1:9" ht="12.75" customHeight="1" x14ac:dyDescent="0.2">
      <c r="A112" s="56">
        <v>103</v>
      </c>
      <c r="B112" s="64"/>
      <c r="C112" s="274" t="s">
        <v>510</v>
      </c>
      <c r="D112" s="228"/>
      <c r="E112" s="272"/>
      <c r="F112" s="261" t="s">
        <v>67</v>
      </c>
      <c r="G112" s="218"/>
      <c r="H112" s="215">
        <v>48.8</v>
      </c>
      <c r="I112" s="260"/>
    </row>
    <row r="113" spans="1:9" ht="12.75" customHeight="1" x14ac:dyDescent="0.2">
      <c r="A113" s="56">
        <v>104</v>
      </c>
      <c r="B113" s="64"/>
      <c r="C113" s="274" t="s">
        <v>692</v>
      </c>
      <c r="D113" s="228"/>
      <c r="E113" s="272"/>
      <c r="F113" s="261" t="s">
        <v>8</v>
      </c>
      <c r="G113" s="218"/>
      <c r="H113" s="215">
        <v>14.1</v>
      </c>
      <c r="I113" s="260"/>
    </row>
    <row r="114" spans="1:9" ht="12.75" customHeight="1" x14ac:dyDescent="0.2">
      <c r="A114" s="56">
        <v>105</v>
      </c>
      <c r="B114" s="64" t="s">
        <v>3557</v>
      </c>
      <c r="C114" s="274" t="s">
        <v>4077</v>
      </c>
      <c r="D114" s="228"/>
      <c r="E114" s="272"/>
      <c r="F114" s="261" t="s">
        <v>8</v>
      </c>
      <c r="G114" s="218"/>
      <c r="H114" s="215">
        <v>6.8</v>
      </c>
      <c r="I114" s="260"/>
    </row>
    <row r="115" spans="1:9" ht="12.75" customHeight="1" x14ac:dyDescent="0.2">
      <c r="A115" s="56">
        <v>106</v>
      </c>
      <c r="B115" s="64"/>
      <c r="C115" s="274" t="s">
        <v>370</v>
      </c>
      <c r="D115" s="228"/>
      <c r="E115" s="272"/>
      <c r="F115" s="261" t="s">
        <v>95</v>
      </c>
      <c r="G115" s="218"/>
      <c r="H115" s="215">
        <v>9.5</v>
      </c>
      <c r="I115" s="260"/>
    </row>
    <row r="116" spans="1:9" ht="12.75" customHeight="1" x14ac:dyDescent="0.2">
      <c r="A116" s="56">
        <v>107</v>
      </c>
      <c r="B116" s="64"/>
      <c r="C116" s="274" t="s">
        <v>369</v>
      </c>
      <c r="D116" s="228"/>
      <c r="E116" s="272"/>
      <c r="F116" s="261" t="s">
        <v>95</v>
      </c>
      <c r="G116" s="218"/>
      <c r="H116" s="215">
        <v>9.6999999999999993</v>
      </c>
      <c r="I116" s="260"/>
    </row>
    <row r="117" spans="1:9" ht="12.75" customHeight="1" x14ac:dyDescent="0.2">
      <c r="A117" s="56">
        <v>108</v>
      </c>
      <c r="B117" s="64"/>
      <c r="C117" s="274" t="s">
        <v>1097</v>
      </c>
      <c r="D117" s="228"/>
      <c r="E117" s="272"/>
      <c r="F117" s="261" t="s">
        <v>95</v>
      </c>
      <c r="G117" s="218"/>
      <c r="H117" s="215">
        <v>8.1</v>
      </c>
      <c r="I117" s="260"/>
    </row>
    <row r="118" spans="1:9" ht="12.75" customHeight="1" x14ac:dyDescent="0.2">
      <c r="A118" s="56">
        <v>109</v>
      </c>
      <c r="B118" s="64" t="s">
        <v>2876</v>
      </c>
      <c r="C118" s="274" t="s">
        <v>4379</v>
      </c>
      <c r="D118" s="228"/>
      <c r="E118" s="272"/>
      <c r="F118" s="261" t="s">
        <v>8</v>
      </c>
      <c r="G118" s="218"/>
      <c r="H118" s="215">
        <f>29.5+54</f>
        <v>83.5</v>
      </c>
      <c r="I118" s="260"/>
    </row>
    <row r="119" spans="1:9" ht="12.75" customHeight="1" x14ac:dyDescent="0.2">
      <c r="A119" s="56">
        <v>110</v>
      </c>
      <c r="B119" s="64"/>
      <c r="C119" s="274" t="s">
        <v>193</v>
      </c>
      <c r="D119" s="228"/>
      <c r="E119" s="272"/>
      <c r="F119" s="261" t="s">
        <v>8</v>
      </c>
      <c r="G119" s="218"/>
      <c r="H119" s="215"/>
      <c r="I119" s="260"/>
    </row>
    <row r="120" spans="1:9" ht="12.75" customHeight="1" x14ac:dyDescent="0.2">
      <c r="A120" s="56">
        <v>111</v>
      </c>
      <c r="B120" s="64" t="s">
        <v>3673</v>
      </c>
      <c r="C120" s="274" t="s">
        <v>4326</v>
      </c>
      <c r="D120" s="228"/>
      <c r="E120" s="272"/>
      <c r="F120" s="261" t="s">
        <v>67</v>
      </c>
      <c r="G120" s="218"/>
      <c r="H120" s="215">
        <v>40.799999999999997</v>
      </c>
      <c r="I120" s="260"/>
    </row>
    <row r="121" spans="1:9" ht="12.75" customHeight="1" x14ac:dyDescent="0.2">
      <c r="A121" s="56">
        <v>112</v>
      </c>
      <c r="B121" s="64" t="s">
        <v>3557</v>
      </c>
      <c r="C121" s="274" t="s">
        <v>4336</v>
      </c>
      <c r="D121" s="228"/>
      <c r="E121" s="272"/>
      <c r="F121" s="261" t="s">
        <v>37</v>
      </c>
      <c r="G121" s="218"/>
      <c r="H121" s="215">
        <v>14.2</v>
      </c>
      <c r="I121" s="260"/>
    </row>
    <row r="122" spans="1:9" ht="12.75" customHeight="1" x14ac:dyDescent="0.2">
      <c r="A122" s="56">
        <v>113</v>
      </c>
      <c r="B122" s="64"/>
      <c r="C122" s="274" t="s">
        <v>2022</v>
      </c>
      <c r="D122" s="228"/>
      <c r="E122" s="272"/>
      <c r="F122" s="261" t="s">
        <v>39</v>
      </c>
      <c r="G122" s="218"/>
      <c r="H122" s="215">
        <v>6.3</v>
      </c>
      <c r="I122" s="260"/>
    </row>
    <row r="123" spans="1:9" ht="12.75" customHeight="1" x14ac:dyDescent="0.2">
      <c r="A123" s="56">
        <v>114</v>
      </c>
      <c r="B123" s="64"/>
      <c r="C123" s="274" t="s">
        <v>4331</v>
      </c>
      <c r="D123" s="228"/>
      <c r="E123" s="272"/>
      <c r="F123" s="261" t="s">
        <v>8</v>
      </c>
      <c r="G123" s="218"/>
      <c r="H123" s="215">
        <v>7.2</v>
      </c>
      <c r="I123" s="260"/>
    </row>
    <row r="124" spans="1:9" ht="12.75" customHeight="1" x14ac:dyDescent="0.2">
      <c r="A124" s="56">
        <v>115</v>
      </c>
      <c r="B124" s="64"/>
      <c r="C124" s="274" t="s">
        <v>667</v>
      </c>
      <c r="D124" s="228"/>
      <c r="E124" s="272"/>
      <c r="F124" s="261" t="s">
        <v>255</v>
      </c>
      <c r="G124" s="218"/>
      <c r="H124" s="215">
        <v>34.5</v>
      </c>
      <c r="I124" s="260"/>
    </row>
    <row r="125" spans="1:9" ht="12.75" customHeight="1" x14ac:dyDescent="0.2">
      <c r="A125" s="56">
        <v>116</v>
      </c>
      <c r="B125" s="64"/>
      <c r="C125" s="274" t="s">
        <v>293</v>
      </c>
      <c r="D125" s="228"/>
      <c r="E125" s="272"/>
      <c r="F125" s="261" t="s">
        <v>8</v>
      </c>
      <c r="G125" s="218"/>
      <c r="H125" s="215">
        <v>62.5</v>
      </c>
      <c r="I125" s="260"/>
    </row>
    <row r="126" spans="1:9" ht="12.75" customHeight="1" x14ac:dyDescent="0.2">
      <c r="A126" s="56">
        <v>117</v>
      </c>
      <c r="B126" s="64" t="s">
        <v>4102</v>
      </c>
      <c r="C126" s="274" t="s">
        <v>4962</v>
      </c>
      <c r="D126" s="228"/>
      <c r="E126" s="272"/>
      <c r="F126" s="261" t="s">
        <v>67</v>
      </c>
      <c r="G126" s="218"/>
      <c r="H126" s="215">
        <f>24.2-8.6</f>
        <v>15.6</v>
      </c>
      <c r="I126" s="260"/>
    </row>
    <row r="127" spans="1:9" ht="12.75" customHeight="1" x14ac:dyDescent="0.2">
      <c r="A127" s="56">
        <v>118</v>
      </c>
      <c r="B127" s="64"/>
      <c r="C127" s="274" t="s">
        <v>100</v>
      </c>
      <c r="D127" s="228"/>
      <c r="E127" s="272"/>
      <c r="F127" s="261" t="s">
        <v>37</v>
      </c>
      <c r="G127" s="218"/>
      <c r="H127" s="215">
        <v>62.4</v>
      </c>
      <c r="I127" s="260"/>
    </row>
    <row r="128" spans="1:9" ht="12.75" customHeight="1" x14ac:dyDescent="0.2">
      <c r="A128" s="56">
        <v>119</v>
      </c>
      <c r="B128" s="64" t="s">
        <v>4102</v>
      </c>
      <c r="C128" s="274" t="s">
        <v>4224</v>
      </c>
      <c r="D128" s="228"/>
      <c r="E128" s="272"/>
      <c r="F128" s="261" t="s">
        <v>67</v>
      </c>
      <c r="G128" s="218"/>
      <c r="H128" s="215">
        <v>26.1</v>
      </c>
      <c r="I128" s="260"/>
    </row>
    <row r="129" spans="1:9" ht="12.75" customHeight="1" x14ac:dyDescent="0.2">
      <c r="A129" s="56">
        <v>120</v>
      </c>
      <c r="B129" s="64"/>
      <c r="C129" s="274" t="s">
        <v>3251</v>
      </c>
      <c r="D129" s="228"/>
      <c r="E129" s="272"/>
      <c r="F129" s="261" t="s">
        <v>67</v>
      </c>
      <c r="G129" s="218"/>
      <c r="H129" s="215">
        <f>26.1-11.1</f>
        <v>15.000000000000002</v>
      </c>
      <c r="I129" s="260"/>
    </row>
    <row r="130" spans="1:9" ht="12.75" customHeight="1" x14ac:dyDescent="0.2">
      <c r="A130" s="56">
        <v>121</v>
      </c>
      <c r="B130" s="64" t="s">
        <v>3544</v>
      </c>
      <c r="C130" s="274" t="s">
        <v>4068</v>
      </c>
      <c r="D130" s="228"/>
      <c r="E130" s="272"/>
      <c r="F130" s="261" t="s">
        <v>67</v>
      </c>
      <c r="G130" s="218"/>
      <c r="H130" s="215">
        <v>14.7</v>
      </c>
      <c r="I130" s="260"/>
    </row>
    <row r="131" spans="1:9" ht="12.75" customHeight="1" x14ac:dyDescent="0.2">
      <c r="A131" s="56">
        <v>122</v>
      </c>
      <c r="B131" s="64"/>
      <c r="C131" s="274" t="s">
        <v>1483</v>
      </c>
      <c r="D131" s="228"/>
      <c r="E131" s="272"/>
      <c r="F131" s="261" t="s">
        <v>8</v>
      </c>
      <c r="G131" s="218"/>
      <c r="H131" s="215">
        <v>56.7</v>
      </c>
      <c r="I131" s="260"/>
    </row>
    <row r="132" spans="1:9" ht="12.75" customHeight="1" x14ac:dyDescent="0.2">
      <c r="A132" s="56">
        <v>123</v>
      </c>
      <c r="B132" s="64" t="s">
        <v>741</v>
      </c>
      <c r="C132" s="274" t="s">
        <v>2543</v>
      </c>
      <c r="D132" s="228"/>
      <c r="E132" s="272"/>
      <c r="F132" s="261" t="s">
        <v>67</v>
      </c>
      <c r="G132" s="218"/>
      <c r="H132" s="215">
        <v>25.1</v>
      </c>
      <c r="I132" s="260"/>
    </row>
    <row r="133" spans="1:9" ht="12.75" customHeight="1" x14ac:dyDescent="0.2">
      <c r="A133" s="56">
        <v>124</v>
      </c>
      <c r="B133" s="64" t="s">
        <v>741</v>
      </c>
      <c r="C133" s="274" t="s">
        <v>4398</v>
      </c>
      <c r="D133" s="228"/>
      <c r="E133" s="272"/>
      <c r="F133" s="261" t="s">
        <v>67</v>
      </c>
      <c r="G133" s="218"/>
      <c r="H133" s="215">
        <f>22.9-1-1.8-0.1-0.2</f>
        <v>19.799999999999997</v>
      </c>
      <c r="I133" s="260"/>
    </row>
    <row r="134" spans="1:9" ht="12.75" customHeight="1" x14ac:dyDescent="0.2">
      <c r="A134" s="56">
        <v>125</v>
      </c>
      <c r="B134" s="64" t="s">
        <v>741</v>
      </c>
      <c r="C134" s="274" t="s">
        <v>1117</v>
      </c>
      <c r="D134" s="228"/>
      <c r="E134" s="272"/>
      <c r="F134" s="261" t="s">
        <v>67</v>
      </c>
      <c r="G134" s="218"/>
      <c r="H134" s="215">
        <v>12.6</v>
      </c>
      <c r="I134" s="260"/>
    </row>
    <row r="135" spans="1:9" ht="12.75" customHeight="1" x14ac:dyDescent="0.2">
      <c r="A135" s="56">
        <v>126</v>
      </c>
      <c r="B135" s="64"/>
      <c r="C135" s="274" t="s">
        <v>4951</v>
      </c>
      <c r="D135" s="228"/>
      <c r="E135" s="272"/>
      <c r="F135" s="261" t="s">
        <v>67</v>
      </c>
      <c r="G135" s="218"/>
      <c r="H135" s="215">
        <f>10.8-1</f>
        <v>9.8000000000000007</v>
      </c>
      <c r="I135" s="260"/>
    </row>
    <row r="136" spans="1:9" ht="12.75" customHeight="1" x14ac:dyDescent="0.2">
      <c r="A136" s="56">
        <v>127</v>
      </c>
      <c r="B136" s="64" t="s">
        <v>741</v>
      </c>
      <c r="C136" s="274" t="s">
        <v>2904</v>
      </c>
      <c r="D136" s="228"/>
      <c r="E136" s="272"/>
      <c r="F136" s="261" t="s">
        <v>67</v>
      </c>
      <c r="G136" s="218"/>
      <c r="H136" s="215">
        <f>20-1.8</f>
        <v>18.2</v>
      </c>
      <c r="I136" s="260"/>
    </row>
    <row r="137" spans="1:9" ht="12.75" customHeight="1" x14ac:dyDescent="0.2">
      <c r="A137" s="56">
        <v>128</v>
      </c>
      <c r="B137" s="64" t="s">
        <v>741</v>
      </c>
      <c r="C137" s="274" t="s">
        <v>1392</v>
      </c>
      <c r="D137" s="228"/>
      <c r="E137" s="272"/>
      <c r="F137" s="261" t="s">
        <v>67</v>
      </c>
      <c r="G137" s="218"/>
      <c r="H137" s="215">
        <f>16.5-0.6</f>
        <v>15.9</v>
      </c>
      <c r="I137" s="260"/>
    </row>
    <row r="138" spans="1:9" ht="12.75" customHeight="1" x14ac:dyDescent="0.2">
      <c r="A138" s="56">
        <v>129</v>
      </c>
      <c r="B138" s="64" t="s">
        <v>741</v>
      </c>
      <c r="C138" s="274" t="s">
        <v>2890</v>
      </c>
      <c r="D138" s="228"/>
      <c r="E138" s="272"/>
      <c r="F138" s="261" t="s">
        <v>67</v>
      </c>
      <c r="G138" s="218"/>
      <c r="H138" s="215">
        <f>5.9-1</f>
        <v>4.9000000000000004</v>
      </c>
      <c r="I138" s="260"/>
    </row>
    <row r="139" spans="1:9" ht="12.75" customHeight="1" x14ac:dyDescent="0.2">
      <c r="A139" s="56">
        <v>130</v>
      </c>
      <c r="B139" s="64"/>
      <c r="C139" s="274" t="s">
        <v>2498</v>
      </c>
      <c r="D139" s="228"/>
      <c r="E139" s="272"/>
      <c r="F139" s="261" t="s">
        <v>67</v>
      </c>
      <c r="G139" s="218"/>
      <c r="H139" s="215">
        <f>14.4-1.25+4.7-0.3-0.85</f>
        <v>16.7</v>
      </c>
      <c r="I139" s="260"/>
    </row>
    <row r="140" spans="1:9" ht="12.75" customHeight="1" x14ac:dyDescent="0.2">
      <c r="A140" s="56">
        <v>131</v>
      </c>
      <c r="B140" s="64"/>
      <c r="C140" s="274" t="s">
        <v>2633</v>
      </c>
      <c r="D140" s="228"/>
      <c r="E140" s="272"/>
      <c r="F140" s="261" t="s">
        <v>67</v>
      </c>
      <c r="G140" s="218"/>
      <c r="H140" s="215">
        <f>27.4-0.8-0.8-1.8-0.9-1.8-1.8</f>
        <v>19.499999999999996</v>
      </c>
      <c r="I140" s="260"/>
    </row>
    <row r="141" spans="1:9" ht="12.75" customHeight="1" x14ac:dyDescent="0.2">
      <c r="A141" s="56">
        <v>132</v>
      </c>
      <c r="B141" s="64"/>
      <c r="C141" s="274" t="s">
        <v>1290</v>
      </c>
      <c r="D141" s="228"/>
      <c r="E141" s="272"/>
      <c r="F141" s="261" t="s">
        <v>67</v>
      </c>
      <c r="G141" s="218"/>
      <c r="H141" s="215">
        <f>6.3</f>
        <v>6.3</v>
      </c>
      <c r="I141" s="260"/>
    </row>
    <row r="142" spans="1:9" ht="12.75" customHeight="1" x14ac:dyDescent="0.2">
      <c r="A142" s="56">
        <v>133</v>
      </c>
      <c r="B142" s="64"/>
      <c r="C142" s="274" t="s">
        <v>1329</v>
      </c>
      <c r="D142" s="228"/>
      <c r="E142" s="272"/>
      <c r="F142" s="261" t="s">
        <v>21</v>
      </c>
      <c r="G142" s="218"/>
      <c r="H142" s="215">
        <f>50.1-1.3-1.4</f>
        <v>47.400000000000006</v>
      </c>
      <c r="I142" s="260"/>
    </row>
    <row r="143" spans="1:9" ht="12.75" customHeight="1" x14ac:dyDescent="0.2">
      <c r="A143" s="56">
        <v>134</v>
      </c>
      <c r="B143" s="64"/>
      <c r="C143" s="274" t="s">
        <v>1468</v>
      </c>
      <c r="D143" s="228"/>
      <c r="E143" s="272"/>
      <c r="F143" s="261" t="s">
        <v>129</v>
      </c>
      <c r="G143" s="218"/>
      <c r="H143" s="215">
        <v>1.8</v>
      </c>
      <c r="I143" s="260"/>
    </row>
    <row r="144" spans="1:9" ht="12.75" customHeight="1" x14ac:dyDescent="0.2">
      <c r="A144" s="56">
        <v>135</v>
      </c>
      <c r="B144" s="64"/>
      <c r="C144" s="274" t="s">
        <v>5359</v>
      </c>
      <c r="D144" s="228"/>
      <c r="E144" s="272"/>
      <c r="F144" s="261" t="s">
        <v>67</v>
      </c>
      <c r="G144" s="218"/>
      <c r="H144" s="215">
        <f>63.9-2.7-0.5-0.2-2.4-1.6-2.7-2.7-2.7-2.7-2.7-5.4-2.9-2.7</f>
        <v>31.999999999999982</v>
      </c>
      <c r="I144" s="260"/>
    </row>
    <row r="145" spans="1:9" ht="12.75" customHeight="1" x14ac:dyDescent="0.2">
      <c r="A145" s="56">
        <v>136</v>
      </c>
      <c r="B145" s="64"/>
      <c r="C145" s="274" t="s">
        <v>2831</v>
      </c>
      <c r="D145" s="228"/>
      <c r="E145" s="272"/>
      <c r="F145" s="261" t="s">
        <v>67</v>
      </c>
      <c r="G145" s="218"/>
      <c r="H145" s="215">
        <f>5.7-0.8-1.15-1.15-0.8</f>
        <v>1.8000000000000005</v>
      </c>
      <c r="I145" s="260"/>
    </row>
    <row r="146" spans="1:9" ht="12.75" customHeight="1" x14ac:dyDescent="0.2">
      <c r="A146" s="56">
        <v>137</v>
      </c>
      <c r="B146" s="64"/>
      <c r="C146" s="274" t="s">
        <v>2715</v>
      </c>
      <c r="D146" s="228"/>
      <c r="E146" s="272"/>
      <c r="F146" s="261" t="s">
        <v>129</v>
      </c>
      <c r="G146" s="218"/>
      <c r="H146" s="215">
        <f>1.7+6-1.2-1.2</f>
        <v>5.3</v>
      </c>
      <c r="I146" s="260"/>
    </row>
    <row r="147" spans="1:9" ht="12.75" customHeight="1" x14ac:dyDescent="0.2">
      <c r="A147" s="56">
        <v>138</v>
      </c>
      <c r="B147" s="64"/>
      <c r="C147" s="274" t="s">
        <v>1563</v>
      </c>
      <c r="D147" s="228"/>
      <c r="E147" s="272"/>
      <c r="F147" s="261" t="s">
        <v>21</v>
      </c>
      <c r="G147" s="218"/>
      <c r="H147" s="215">
        <f>97.5-3+101.4-3.2-12.8</f>
        <v>179.9</v>
      </c>
      <c r="I147" s="260"/>
    </row>
    <row r="148" spans="1:9" ht="12.75" customHeight="1" x14ac:dyDescent="0.2">
      <c r="A148" s="56">
        <v>139</v>
      </c>
      <c r="B148" s="64"/>
      <c r="C148" s="274" t="s">
        <v>553</v>
      </c>
      <c r="D148" s="228"/>
      <c r="E148" s="272"/>
      <c r="F148" s="261" t="s">
        <v>67</v>
      </c>
      <c r="G148" s="218"/>
      <c r="H148" s="215">
        <v>16.7</v>
      </c>
      <c r="I148" s="260"/>
    </row>
    <row r="149" spans="1:9" ht="12.75" customHeight="1" x14ac:dyDescent="0.2">
      <c r="A149" s="56">
        <v>140</v>
      </c>
      <c r="B149" s="64"/>
      <c r="C149" s="274" t="s">
        <v>1854</v>
      </c>
      <c r="D149" s="228"/>
      <c r="E149" s="272"/>
      <c r="F149" s="261" t="s">
        <v>67</v>
      </c>
      <c r="G149" s="218"/>
      <c r="H149" s="215">
        <f>41-1.7-1.55-1.5-1.6-1.5-1.5-1.5-3.1</f>
        <v>27.049999999999997</v>
      </c>
      <c r="I149" s="260"/>
    </row>
    <row r="150" spans="1:9" ht="12.75" customHeight="1" x14ac:dyDescent="0.2">
      <c r="A150" s="56">
        <v>141</v>
      </c>
      <c r="B150" s="64"/>
      <c r="C150" s="274" t="s">
        <v>1469</v>
      </c>
      <c r="D150" s="228"/>
      <c r="E150" s="272"/>
      <c r="F150" s="261" t="s">
        <v>129</v>
      </c>
      <c r="G150" s="218"/>
      <c r="H150" s="215">
        <v>7</v>
      </c>
      <c r="I150" s="260"/>
    </row>
    <row r="151" spans="1:9" ht="12.75" customHeight="1" x14ac:dyDescent="0.2">
      <c r="A151" s="56">
        <v>142</v>
      </c>
      <c r="B151" s="64"/>
      <c r="C151" s="274" t="s">
        <v>3892</v>
      </c>
      <c r="D151" s="228"/>
      <c r="E151" s="272"/>
      <c r="F151" s="261" t="s">
        <v>95</v>
      </c>
      <c r="G151" s="218"/>
      <c r="H151" s="215">
        <f>73.3-14.7-14.7</f>
        <v>43.899999999999991</v>
      </c>
      <c r="I151" s="260"/>
    </row>
    <row r="152" spans="1:9" ht="13.5" customHeight="1" x14ac:dyDescent="0.2">
      <c r="A152" s="56">
        <v>143</v>
      </c>
      <c r="B152" s="64"/>
      <c r="C152" s="274" t="s">
        <v>4879</v>
      </c>
      <c r="D152" s="228"/>
      <c r="E152" s="272"/>
      <c r="F152" s="238" t="s">
        <v>67</v>
      </c>
      <c r="G152" s="238"/>
      <c r="H152" s="215">
        <f>134.8-66</f>
        <v>68.800000000000011</v>
      </c>
      <c r="I152" s="260"/>
    </row>
    <row r="153" spans="1:9" ht="13.5" customHeight="1" x14ac:dyDescent="0.2">
      <c r="A153" s="56">
        <v>144</v>
      </c>
      <c r="B153" s="64"/>
      <c r="C153" s="274" t="s">
        <v>2992</v>
      </c>
      <c r="D153" s="228"/>
      <c r="E153" s="272"/>
      <c r="F153" s="238" t="s">
        <v>67</v>
      </c>
      <c r="G153" s="238"/>
      <c r="H153" s="215">
        <v>15.6</v>
      </c>
      <c r="I153" s="260"/>
    </row>
    <row r="154" spans="1:9" ht="13.5" customHeight="1" x14ac:dyDescent="0.2">
      <c r="A154" s="56">
        <v>145</v>
      </c>
      <c r="B154" s="64"/>
      <c r="C154" s="274" t="s">
        <v>4381</v>
      </c>
      <c r="D154" s="228"/>
      <c r="E154" s="272"/>
      <c r="F154" s="238" t="s">
        <v>67</v>
      </c>
      <c r="G154" s="238"/>
      <c r="H154" s="215">
        <v>108.8</v>
      </c>
      <c r="I154" s="260"/>
    </row>
    <row r="155" spans="1:9" ht="12.75" customHeight="1" x14ac:dyDescent="0.2">
      <c r="A155" s="56">
        <v>146</v>
      </c>
      <c r="B155" s="64"/>
      <c r="C155" s="274" t="s">
        <v>4403</v>
      </c>
      <c r="D155" s="228"/>
      <c r="E155" s="272"/>
      <c r="F155" s="261" t="s">
        <v>97</v>
      </c>
      <c r="G155" s="218"/>
      <c r="H155" s="215">
        <v>14.3</v>
      </c>
      <c r="I155" s="260"/>
    </row>
    <row r="156" spans="1:9" ht="12.75" customHeight="1" x14ac:dyDescent="0.2">
      <c r="A156" s="56">
        <v>147</v>
      </c>
      <c r="B156" s="64"/>
      <c r="C156" s="274" t="s">
        <v>2656</v>
      </c>
      <c r="D156" s="228"/>
      <c r="E156" s="272"/>
      <c r="F156" s="261" t="s">
        <v>95</v>
      </c>
      <c r="G156" s="218"/>
      <c r="H156" s="215">
        <v>21.2</v>
      </c>
      <c r="I156" s="260"/>
    </row>
    <row r="157" spans="1:9" ht="12.75" customHeight="1" x14ac:dyDescent="0.2">
      <c r="A157" s="56">
        <v>148</v>
      </c>
      <c r="B157" s="64" t="s">
        <v>4043</v>
      </c>
      <c r="C157" s="117" t="s">
        <v>5007</v>
      </c>
      <c r="D157" s="118"/>
      <c r="E157" s="119"/>
      <c r="F157" s="121" t="s">
        <v>67</v>
      </c>
      <c r="G157" s="122"/>
      <c r="H157" s="115">
        <v>14.6</v>
      </c>
      <c r="I157" s="154"/>
    </row>
    <row r="158" spans="1:9" ht="12.75" customHeight="1" x14ac:dyDescent="0.2">
      <c r="A158" s="56">
        <v>149</v>
      </c>
      <c r="B158" s="64"/>
      <c r="C158" s="117" t="s">
        <v>4096</v>
      </c>
      <c r="D158" s="118"/>
      <c r="E158" s="119"/>
      <c r="F158" s="121" t="s">
        <v>67</v>
      </c>
      <c r="G158" s="122"/>
      <c r="H158" s="115">
        <f>23.6-4.4-6.2-6.6</f>
        <v>6.4000000000000039</v>
      </c>
      <c r="I158" s="154"/>
    </row>
    <row r="159" spans="1:9" ht="12.75" customHeight="1" x14ac:dyDescent="0.2">
      <c r="A159" s="56">
        <v>150</v>
      </c>
      <c r="B159" s="64"/>
      <c r="C159" s="117" t="s">
        <v>3143</v>
      </c>
      <c r="D159" s="118"/>
      <c r="E159" s="119"/>
      <c r="F159" s="121" t="s">
        <v>67</v>
      </c>
      <c r="G159" s="122"/>
      <c r="H159" s="115">
        <f>17.6-10.6</f>
        <v>7.0000000000000018</v>
      </c>
      <c r="I159" s="154"/>
    </row>
    <row r="160" spans="1:9" x14ac:dyDescent="0.2">
      <c r="A160" s="56">
        <v>151</v>
      </c>
      <c r="B160" s="64"/>
      <c r="C160" s="117" t="s">
        <v>3144</v>
      </c>
      <c r="D160" s="118"/>
      <c r="E160" s="119"/>
      <c r="F160" s="121" t="s">
        <v>67</v>
      </c>
      <c r="G160" s="122"/>
      <c r="H160" s="115">
        <f>17.7-10.7</f>
        <v>7</v>
      </c>
      <c r="I160" s="154"/>
    </row>
    <row r="161" spans="1:9" ht="12.75" customHeight="1" x14ac:dyDescent="0.2">
      <c r="A161" s="56">
        <v>152</v>
      </c>
      <c r="B161" s="64"/>
      <c r="C161" s="274" t="s">
        <v>1132</v>
      </c>
      <c r="D161" s="228"/>
      <c r="E161" s="272"/>
      <c r="F161" s="261" t="s">
        <v>97</v>
      </c>
      <c r="G161" s="218"/>
      <c r="H161" s="215"/>
      <c r="I161" s="260"/>
    </row>
    <row r="162" spans="1:9" ht="13.5" customHeight="1" x14ac:dyDescent="0.2">
      <c r="A162" s="56">
        <v>153</v>
      </c>
      <c r="B162" s="64">
        <v>7</v>
      </c>
      <c r="C162" s="274" t="s">
        <v>3008</v>
      </c>
      <c r="D162" s="228"/>
      <c r="E162" s="272"/>
      <c r="F162" s="238" t="s">
        <v>37</v>
      </c>
      <c r="G162" s="238"/>
      <c r="H162" s="215">
        <v>18.399999999999999</v>
      </c>
      <c r="I162" s="260"/>
    </row>
    <row r="163" spans="1:9" ht="12.75" customHeight="1" x14ac:dyDescent="0.2">
      <c r="A163" s="56">
        <v>154</v>
      </c>
      <c r="B163" s="64"/>
      <c r="C163" s="117" t="s">
        <v>2194</v>
      </c>
      <c r="D163" s="118"/>
      <c r="E163" s="119"/>
      <c r="F163" s="121" t="s">
        <v>67</v>
      </c>
      <c r="G163" s="122"/>
      <c r="H163" s="115">
        <f>84.2-19.7+15.6-15.7-15.6-13.2-17.8</f>
        <v>17.799999999999994</v>
      </c>
      <c r="I163" s="154"/>
    </row>
    <row r="164" spans="1:9" ht="12.75" customHeight="1" x14ac:dyDescent="0.2">
      <c r="A164" s="56">
        <v>155</v>
      </c>
      <c r="B164" s="64"/>
      <c r="C164" s="274" t="s">
        <v>1093</v>
      </c>
      <c r="D164" s="228"/>
      <c r="E164" s="272"/>
      <c r="F164" s="261" t="s">
        <v>67</v>
      </c>
      <c r="G164" s="218"/>
      <c r="H164" s="215">
        <f>47-12.1-11.4</f>
        <v>23.5</v>
      </c>
      <c r="I164" s="260"/>
    </row>
    <row r="165" spans="1:9" ht="12.75" customHeight="1" x14ac:dyDescent="0.2">
      <c r="A165" s="56">
        <v>156</v>
      </c>
      <c r="B165" s="64"/>
      <c r="C165" s="117" t="s">
        <v>2579</v>
      </c>
      <c r="D165" s="118"/>
      <c r="E165" s="119"/>
      <c r="F165" s="121" t="s">
        <v>67</v>
      </c>
      <c r="G165" s="122"/>
      <c r="H165" s="115">
        <f>31.2-15.6</f>
        <v>15.6</v>
      </c>
      <c r="I165" s="154"/>
    </row>
    <row r="166" spans="1:9" ht="12.75" customHeight="1" x14ac:dyDescent="0.2">
      <c r="A166" s="56">
        <v>157</v>
      </c>
      <c r="B166" s="64"/>
      <c r="C166" s="274" t="s">
        <v>2586</v>
      </c>
      <c r="D166" s="228"/>
      <c r="E166" s="272"/>
      <c r="F166" s="261" t="s">
        <v>67</v>
      </c>
      <c r="G166" s="218"/>
      <c r="H166" s="215">
        <v>108.8</v>
      </c>
      <c r="I166" s="260"/>
    </row>
    <row r="167" spans="1:9" ht="12.75" customHeight="1" x14ac:dyDescent="0.2">
      <c r="A167" s="56">
        <v>158</v>
      </c>
      <c r="B167" s="64"/>
      <c r="C167" s="275" t="s">
        <v>4880</v>
      </c>
      <c r="D167" s="232"/>
      <c r="E167" s="276"/>
      <c r="F167" s="261" t="s">
        <v>67</v>
      </c>
      <c r="G167" s="218"/>
      <c r="H167" s="215">
        <f>114.5+18.8-32.6-47.3-0.2</f>
        <v>53.200000000000017</v>
      </c>
      <c r="I167" s="260"/>
    </row>
    <row r="168" spans="1:9" ht="12.75" customHeight="1" x14ac:dyDescent="0.2">
      <c r="A168" s="56">
        <v>159</v>
      </c>
      <c r="B168" s="64"/>
      <c r="C168" s="274" t="s">
        <v>1707</v>
      </c>
      <c r="D168" s="228"/>
      <c r="E168" s="272"/>
      <c r="F168" s="261" t="s">
        <v>67</v>
      </c>
      <c r="G168" s="218"/>
      <c r="H168" s="215">
        <f>64.4-8.4-18.6</f>
        <v>37.400000000000006</v>
      </c>
      <c r="I168" s="260"/>
    </row>
    <row r="169" spans="1:9" ht="12.75" customHeight="1" x14ac:dyDescent="0.2">
      <c r="A169" s="56">
        <v>160</v>
      </c>
      <c r="B169" s="64"/>
      <c r="C169" s="274" t="s">
        <v>1564</v>
      </c>
      <c r="D169" s="228"/>
      <c r="E169" s="272"/>
      <c r="F169" s="261" t="s">
        <v>73</v>
      </c>
      <c r="G169" s="218"/>
      <c r="H169" s="215">
        <v>43.1</v>
      </c>
      <c r="I169" s="260"/>
    </row>
    <row r="170" spans="1:9" ht="12.75" customHeight="1" x14ac:dyDescent="0.2">
      <c r="A170" s="56">
        <v>161</v>
      </c>
      <c r="B170" s="64"/>
      <c r="C170" s="274" t="s">
        <v>3507</v>
      </c>
      <c r="D170" s="228"/>
      <c r="E170" s="272"/>
      <c r="F170" s="261" t="s">
        <v>702</v>
      </c>
      <c r="G170" s="218"/>
      <c r="H170" s="215">
        <f>19.6-9.9</f>
        <v>9.7000000000000011</v>
      </c>
      <c r="I170" s="260"/>
    </row>
    <row r="171" spans="1:9" ht="12.75" customHeight="1" x14ac:dyDescent="0.2">
      <c r="A171" s="56">
        <v>162</v>
      </c>
      <c r="B171" s="64"/>
      <c r="C171" s="274" t="s">
        <v>2714</v>
      </c>
      <c r="D171" s="228"/>
      <c r="E171" s="272"/>
      <c r="F171" s="261" t="s">
        <v>702</v>
      </c>
      <c r="G171" s="218"/>
      <c r="H171" s="215">
        <f>42.3-4.3</f>
        <v>38</v>
      </c>
      <c r="I171" s="260"/>
    </row>
    <row r="172" spans="1:9" ht="12.75" customHeight="1" x14ac:dyDescent="0.2">
      <c r="A172" s="56">
        <v>163</v>
      </c>
      <c r="B172" s="64"/>
      <c r="C172" s="274" t="s">
        <v>671</v>
      </c>
      <c r="D172" s="228"/>
      <c r="E172" s="272"/>
      <c r="F172" s="261" t="s">
        <v>73</v>
      </c>
      <c r="G172" s="218"/>
      <c r="H172" s="215">
        <v>41.7</v>
      </c>
      <c r="I172" s="260"/>
    </row>
    <row r="173" spans="1:9" ht="12.75" customHeight="1" x14ac:dyDescent="0.2">
      <c r="A173" s="56">
        <v>164</v>
      </c>
      <c r="B173" s="64"/>
      <c r="C173" s="274" t="s">
        <v>4550</v>
      </c>
      <c r="D173" s="228"/>
      <c r="E173" s="272"/>
      <c r="F173" s="261" t="s">
        <v>67</v>
      </c>
      <c r="G173" s="218"/>
      <c r="H173" s="215">
        <f>27.2+50-27.2</f>
        <v>50</v>
      </c>
      <c r="I173" s="260"/>
    </row>
    <row r="174" spans="1:9" ht="12.75" customHeight="1" x14ac:dyDescent="0.2">
      <c r="A174" s="56">
        <v>165</v>
      </c>
      <c r="B174" s="64"/>
      <c r="C174" s="117" t="s">
        <v>1504</v>
      </c>
      <c r="D174" s="118"/>
      <c r="E174" s="119"/>
      <c r="F174" s="121" t="s">
        <v>21</v>
      </c>
      <c r="G174" s="122"/>
      <c r="H174" s="115">
        <v>43.7</v>
      </c>
      <c r="I174" s="154"/>
    </row>
    <row r="175" spans="1:9" ht="12.75" customHeight="1" x14ac:dyDescent="0.2">
      <c r="A175" s="56">
        <v>166</v>
      </c>
      <c r="B175" s="64"/>
      <c r="C175" s="274" t="s">
        <v>3618</v>
      </c>
      <c r="D175" s="228"/>
      <c r="E175" s="272"/>
      <c r="F175" s="261" t="s">
        <v>702</v>
      </c>
      <c r="G175" s="218"/>
      <c r="H175" s="215">
        <v>12.3</v>
      </c>
      <c r="I175" s="260"/>
    </row>
    <row r="176" spans="1:9" ht="12.75" customHeight="1" x14ac:dyDescent="0.2">
      <c r="A176" s="56">
        <v>167</v>
      </c>
      <c r="B176" s="64"/>
      <c r="C176" s="274" t="s">
        <v>3617</v>
      </c>
      <c r="D176" s="228"/>
      <c r="E176" s="272"/>
      <c r="F176" s="261" t="s">
        <v>702</v>
      </c>
      <c r="G176" s="218"/>
      <c r="H176" s="215">
        <v>11.5</v>
      </c>
      <c r="I176" s="260"/>
    </row>
    <row r="177" spans="1:9" ht="12.75" customHeight="1" x14ac:dyDescent="0.2">
      <c r="A177" s="56">
        <v>168</v>
      </c>
      <c r="B177" s="64"/>
      <c r="C177" s="274" t="s">
        <v>3627</v>
      </c>
      <c r="D177" s="228"/>
      <c r="E177" s="272"/>
      <c r="F177" s="261" t="s">
        <v>702</v>
      </c>
      <c r="G177" s="218"/>
      <c r="H177" s="215">
        <v>53.3</v>
      </c>
      <c r="I177" s="260"/>
    </row>
    <row r="178" spans="1:9" ht="12.75" customHeight="1" x14ac:dyDescent="0.2">
      <c r="A178" s="56">
        <v>169</v>
      </c>
      <c r="B178" s="64"/>
      <c r="C178" s="274" t="s">
        <v>3472</v>
      </c>
      <c r="D178" s="228"/>
      <c r="E178" s="272"/>
      <c r="F178" s="261" t="s">
        <v>7</v>
      </c>
      <c r="G178" s="218"/>
      <c r="H178" s="215">
        <f>41-1.7-9-1.9-1.9-1.8-3.6</f>
        <v>21.099999999999998</v>
      </c>
      <c r="I178" s="260"/>
    </row>
    <row r="179" spans="1:9" ht="12.75" customHeight="1" x14ac:dyDescent="0.2">
      <c r="A179" s="56">
        <v>170</v>
      </c>
      <c r="B179" s="64"/>
      <c r="C179" s="274" t="s">
        <v>4480</v>
      </c>
      <c r="D179" s="228"/>
      <c r="E179" s="272"/>
      <c r="F179" s="261" t="s">
        <v>67</v>
      </c>
      <c r="G179" s="218"/>
      <c r="H179" s="215">
        <f>32.3+55.5+68.5-32.3+17.5+26.8-17.5-124</f>
        <v>26.800000000000011</v>
      </c>
      <c r="I179" s="260"/>
    </row>
    <row r="180" spans="1:9" ht="12.75" customHeight="1" x14ac:dyDescent="0.2">
      <c r="A180" s="56">
        <v>171</v>
      </c>
      <c r="B180" s="64"/>
      <c r="C180" s="274" t="s">
        <v>397</v>
      </c>
      <c r="D180" s="228"/>
      <c r="E180" s="272"/>
      <c r="F180" s="261" t="s">
        <v>97</v>
      </c>
      <c r="G180" s="218"/>
      <c r="H180" s="215">
        <v>56.2</v>
      </c>
      <c r="I180" s="260"/>
    </row>
    <row r="181" spans="1:9" ht="12.75" customHeight="1" x14ac:dyDescent="0.2">
      <c r="A181" s="56">
        <v>172</v>
      </c>
      <c r="B181" s="64"/>
      <c r="C181" s="274" t="s">
        <v>613</v>
      </c>
      <c r="D181" s="228"/>
      <c r="E181" s="272"/>
      <c r="F181" s="261" t="s">
        <v>67</v>
      </c>
      <c r="G181" s="218"/>
      <c r="H181" s="215">
        <f>139.1+21.7-32.3</f>
        <v>128.5</v>
      </c>
      <c r="I181" s="260"/>
    </row>
    <row r="182" spans="1:9" ht="12.75" customHeight="1" x14ac:dyDescent="0.2">
      <c r="A182" s="56">
        <v>173</v>
      </c>
      <c r="B182" s="64"/>
      <c r="C182" s="274" t="s">
        <v>1047</v>
      </c>
      <c r="D182" s="228"/>
      <c r="E182" s="272"/>
      <c r="F182" s="261" t="s">
        <v>67</v>
      </c>
      <c r="G182" s="218"/>
      <c r="H182" s="215">
        <f>22.2-11.2</f>
        <v>11</v>
      </c>
      <c r="I182" s="260"/>
    </row>
    <row r="183" spans="1:9" ht="13.5" customHeight="1" x14ac:dyDescent="0.2">
      <c r="A183" s="56">
        <v>174</v>
      </c>
      <c r="B183" s="64"/>
      <c r="C183" s="274" t="s">
        <v>458</v>
      </c>
      <c r="D183" s="228"/>
      <c r="E183" s="272"/>
      <c r="F183" s="238" t="s">
        <v>37</v>
      </c>
      <c r="G183" s="238"/>
      <c r="H183" s="215">
        <v>33.799999999999997</v>
      </c>
      <c r="I183" s="260"/>
    </row>
    <row r="184" spans="1:9" ht="12.75" customHeight="1" x14ac:dyDescent="0.2">
      <c r="A184" s="56">
        <v>175</v>
      </c>
      <c r="B184" s="64" t="s">
        <v>5095</v>
      </c>
      <c r="C184" s="274" t="s">
        <v>5096</v>
      </c>
      <c r="D184" s="228"/>
      <c r="E184" s="272"/>
      <c r="F184" s="261" t="s">
        <v>67</v>
      </c>
      <c r="G184" s="218"/>
      <c r="H184" s="215">
        <v>14.2</v>
      </c>
      <c r="I184" s="260"/>
    </row>
    <row r="185" spans="1:9" ht="12.75" customHeight="1" x14ac:dyDescent="0.2">
      <c r="A185" s="56">
        <v>176</v>
      </c>
      <c r="B185" s="64"/>
      <c r="C185" s="274" t="s">
        <v>5398</v>
      </c>
      <c r="D185" s="228"/>
      <c r="E185" s="272"/>
      <c r="F185" s="261" t="s">
        <v>67</v>
      </c>
      <c r="G185" s="218"/>
      <c r="H185" s="215">
        <f>89.2-44.6</f>
        <v>44.6</v>
      </c>
      <c r="I185" s="260"/>
    </row>
    <row r="186" spans="1:9" ht="12.75" customHeight="1" x14ac:dyDescent="0.2">
      <c r="A186" s="56">
        <v>177</v>
      </c>
      <c r="B186" s="64"/>
      <c r="C186" s="274" t="s">
        <v>477</v>
      </c>
      <c r="D186" s="228"/>
      <c r="E186" s="272"/>
      <c r="F186" s="261" t="s">
        <v>132</v>
      </c>
      <c r="G186" s="218"/>
      <c r="H186" s="215">
        <v>13</v>
      </c>
      <c r="I186" s="260"/>
    </row>
    <row r="187" spans="1:9" ht="12.75" customHeight="1" x14ac:dyDescent="0.2">
      <c r="A187" s="56">
        <v>178</v>
      </c>
      <c r="B187" s="64"/>
      <c r="C187" s="274" t="s">
        <v>231</v>
      </c>
      <c r="D187" s="228"/>
      <c r="E187" s="272"/>
      <c r="F187" s="261" t="s">
        <v>67</v>
      </c>
      <c r="G187" s="218"/>
      <c r="H187" s="215">
        <v>256</v>
      </c>
      <c r="I187" s="260"/>
    </row>
    <row r="188" spans="1:9" ht="12.75" customHeight="1" x14ac:dyDescent="0.2">
      <c r="A188" s="56">
        <v>179</v>
      </c>
      <c r="B188" s="64"/>
      <c r="C188" s="274" t="s">
        <v>4155</v>
      </c>
      <c r="D188" s="228"/>
      <c r="E188" s="272"/>
      <c r="F188" s="261" t="s">
        <v>37</v>
      </c>
      <c r="G188" s="218"/>
      <c r="H188" s="215">
        <v>5.0999999999999996</v>
      </c>
      <c r="I188" s="260"/>
    </row>
    <row r="189" spans="1:9" ht="12.75" customHeight="1" x14ac:dyDescent="0.2">
      <c r="A189" s="56">
        <v>180</v>
      </c>
      <c r="B189" s="64" t="s">
        <v>5095</v>
      </c>
      <c r="C189" s="274" t="s">
        <v>5149</v>
      </c>
      <c r="D189" s="228"/>
      <c r="E189" s="272"/>
      <c r="F189" s="261" t="s">
        <v>67</v>
      </c>
      <c r="G189" s="218"/>
      <c r="H189" s="215">
        <v>19.3</v>
      </c>
      <c r="I189" s="260"/>
    </row>
    <row r="190" spans="1:9" ht="13.5" customHeight="1" x14ac:dyDescent="0.2">
      <c r="A190" s="56">
        <v>181</v>
      </c>
      <c r="B190" s="64"/>
      <c r="C190" s="274" t="s">
        <v>851</v>
      </c>
      <c r="D190" s="228"/>
      <c r="E190" s="272"/>
      <c r="F190" s="238" t="s">
        <v>8</v>
      </c>
      <c r="G190" s="238"/>
      <c r="H190" s="215">
        <f>4.9-2.4</f>
        <v>2.5000000000000004</v>
      </c>
      <c r="I190" s="260"/>
    </row>
    <row r="191" spans="1:9" ht="12.75" customHeight="1" x14ac:dyDescent="0.2">
      <c r="A191" s="56">
        <v>182</v>
      </c>
      <c r="B191" s="64"/>
      <c r="C191" s="274" t="s">
        <v>852</v>
      </c>
      <c r="D191" s="228"/>
      <c r="E191" s="272"/>
      <c r="F191" s="261" t="s">
        <v>37</v>
      </c>
      <c r="G191" s="218"/>
      <c r="H191" s="215">
        <v>30.4</v>
      </c>
      <c r="I191" s="260"/>
    </row>
    <row r="192" spans="1:9" ht="12.75" customHeight="1" x14ac:dyDescent="0.2">
      <c r="A192" s="56">
        <v>183</v>
      </c>
      <c r="B192" s="64"/>
      <c r="C192" s="274" t="s">
        <v>1579</v>
      </c>
      <c r="D192" s="228"/>
      <c r="E192" s="272"/>
      <c r="F192" s="261" t="s">
        <v>67</v>
      </c>
      <c r="G192" s="218"/>
      <c r="H192" s="215">
        <v>25.3</v>
      </c>
      <c r="I192" s="260"/>
    </row>
    <row r="193" spans="1:9" ht="12.75" customHeight="1" x14ac:dyDescent="0.2">
      <c r="A193" s="56">
        <v>184</v>
      </c>
      <c r="B193" s="64"/>
      <c r="C193" s="274" t="s">
        <v>4158</v>
      </c>
      <c r="D193" s="228"/>
      <c r="E193" s="272"/>
      <c r="F193" s="261" t="s">
        <v>255</v>
      </c>
      <c r="G193" s="218"/>
      <c r="H193" s="215">
        <v>6.8</v>
      </c>
      <c r="I193" s="260"/>
    </row>
    <row r="194" spans="1:9" ht="12.75" customHeight="1" x14ac:dyDescent="0.2">
      <c r="A194" s="56">
        <v>185</v>
      </c>
      <c r="B194" s="64"/>
      <c r="C194" s="274" t="s">
        <v>4156</v>
      </c>
      <c r="D194" s="228"/>
      <c r="E194" s="272"/>
      <c r="F194" s="261" t="s">
        <v>37</v>
      </c>
      <c r="G194" s="218"/>
      <c r="H194" s="215">
        <v>8</v>
      </c>
      <c r="I194" s="260"/>
    </row>
    <row r="195" spans="1:9" ht="12.75" customHeight="1" x14ac:dyDescent="0.2">
      <c r="A195" s="56">
        <v>186</v>
      </c>
      <c r="B195" s="64"/>
      <c r="C195" s="274" t="s">
        <v>4154</v>
      </c>
      <c r="D195" s="228"/>
      <c r="E195" s="272"/>
      <c r="F195" s="261" t="s">
        <v>37</v>
      </c>
      <c r="G195" s="218"/>
      <c r="H195" s="215">
        <v>7.3</v>
      </c>
      <c r="I195" s="260"/>
    </row>
    <row r="196" spans="1:9" ht="12.75" customHeight="1" x14ac:dyDescent="0.2">
      <c r="A196" s="56">
        <v>187</v>
      </c>
      <c r="B196" s="64"/>
      <c r="C196" s="274" t="s">
        <v>581</v>
      </c>
      <c r="D196" s="228"/>
      <c r="E196" s="272"/>
      <c r="F196" s="261" t="s">
        <v>67</v>
      </c>
      <c r="G196" s="218"/>
      <c r="H196" s="215">
        <v>63.5</v>
      </c>
      <c r="I196" s="260"/>
    </row>
    <row r="197" spans="1:9" ht="12.75" customHeight="1" x14ac:dyDescent="0.2">
      <c r="A197" s="56">
        <v>188</v>
      </c>
      <c r="B197" s="64"/>
      <c r="C197" s="274" t="s">
        <v>376</v>
      </c>
      <c r="D197" s="228"/>
      <c r="E197" s="272"/>
      <c r="F197" s="261" t="s">
        <v>21</v>
      </c>
      <c r="G197" s="218"/>
      <c r="H197" s="76">
        <v>77.7</v>
      </c>
      <c r="I197" s="77"/>
    </row>
    <row r="198" spans="1:9" ht="12.75" customHeight="1" x14ac:dyDescent="0.2">
      <c r="A198" s="56">
        <v>189</v>
      </c>
      <c r="B198" s="64"/>
      <c r="C198" s="274" t="s">
        <v>4157</v>
      </c>
      <c r="D198" s="228"/>
      <c r="E198" s="272"/>
      <c r="F198" s="261" t="s">
        <v>37</v>
      </c>
      <c r="G198" s="218"/>
      <c r="H198" s="215">
        <v>11.3</v>
      </c>
      <c r="I198" s="260"/>
    </row>
    <row r="199" spans="1:9" ht="12.75" customHeight="1" x14ac:dyDescent="0.2">
      <c r="A199" s="56">
        <v>190</v>
      </c>
      <c r="B199" s="64"/>
      <c r="C199" s="274" t="s">
        <v>474</v>
      </c>
      <c r="D199" s="228"/>
      <c r="E199" s="272"/>
      <c r="F199" s="238" t="s">
        <v>97</v>
      </c>
      <c r="G199" s="238"/>
      <c r="H199" s="263">
        <v>1.4</v>
      </c>
      <c r="I199" s="215"/>
    </row>
    <row r="200" spans="1:9" ht="12.75" customHeight="1" x14ac:dyDescent="0.2">
      <c r="A200" s="56">
        <v>191</v>
      </c>
      <c r="B200" s="64"/>
      <c r="C200" s="274" t="s">
        <v>480</v>
      </c>
      <c r="D200" s="228"/>
      <c r="E200" s="272"/>
      <c r="F200" s="238" t="s">
        <v>39</v>
      </c>
      <c r="G200" s="238"/>
      <c r="H200" s="263">
        <f>14.6-1.5-1.5</f>
        <v>11.6</v>
      </c>
      <c r="I200" s="215"/>
    </row>
    <row r="201" spans="1:9" ht="12.75" customHeight="1" x14ac:dyDescent="0.2">
      <c r="A201" s="56">
        <v>192</v>
      </c>
      <c r="B201" s="64"/>
      <c r="C201" s="274" t="s">
        <v>268</v>
      </c>
      <c r="D201" s="228"/>
      <c r="E201" s="272"/>
      <c r="F201" s="238" t="s">
        <v>14</v>
      </c>
      <c r="G201" s="238"/>
      <c r="H201" s="263">
        <v>1.4</v>
      </c>
      <c r="I201" s="215"/>
    </row>
    <row r="202" spans="1:9" ht="12.75" customHeight="1" x14ac:dyDescent="0.2">
      <c r="A202" s="56">
        <v>193</v>
      </c>
      <c r="B202" s="64"/>
      <c r="C202" s="274" t="s">
        <v>117</v>
      </c>
      <c r="D202" s="228"/>
      <c r="E202" s="272"/>
      <c r="F202" s="238" t="s">
        <v>67</v>
      </c>
      <c r="G202" s="238"/>
      <c r="H202" s="263">
        <v>1.4</v>
      </c>
      <c r="I202" s="215"/>
    </row>
    <row r="203" spans="1:9" ht="12.75" customHeight="1" x14ac:dyDescent="0.2">
      <c r="A203" s="56">
        <v>194</v>
      </c>
      <c r="B203" s="64"/>
      <c r="C203" s="274" t="s">
        <v>161</v>
      </c>
      <c r="D203" s="228"/>
      <c r="E203" s="272"/>
      <c r="F203" s="238" t="s">
        <v>97</v>
      </c>
      <c r="G203" s="238"/>
      <c r="H203" s="263">
        <v>20.100000000000001</v>
      </c>
      <c r="I203" s="215"/>
    </row>
    <row r="204" spans="1:9" ht="12.75" customHeight="1" x14ac:dyDescent="0.2">
      <c r="A204" s="56">
        <v>195</v>
      </c>
      <c r="B204" s="64" t="s">
        <v>3559</v>
      </c>
      <c r="C204" s="274" t="s">
        <v>4250</v>
      </c>
      <c r="D204" s="228"/>
      <c r="E204" s="272"/>
      <c r="F204" s="238" t="s">
        <v>223</v>
      </c>
      <c r="G204" s="238"/>
      <c r="H204" s="215">
        <f>7.4-1.3-1.9-3</f>
        <v>1.2000000000000011</v>
      </c>
      <c r="I204" s="260"/>
    </row>
    <row r="205" spans="1:9" ht="12.75" customHeight="1" x14ac:dyDescent="0.2">
      <c r="A205" s="56">
        <v>196</v>
      </c>
      <c r="B205" s="64"/>
      <c r="C205" s="274" t="s">
        <v>4538</v>
      </c>
      <c r="D205" s="228"/>
      <c r="E205" s="272"/>
      <c r="F205" s="238" t="s">
        <v>223</v>
      </c>
      <c r="G205" s="238"/>
      <c r="H205" s="215">
        <f>3+14.2-0.4-0.7+0.7-0.4-0.15-0.5-0.65-0.65-2-0.3-1-7.8</f>
        <v>3.3500000000000023</v>
      </c>
      <c r="I205" s="260"/>
    </row>
    <row r="206" spans="1:9" ht="12.75" customHeight="1" x14ac:dyDescent="0.2">
      <c r="A206" s="56">
        <v>197</v>
      </c>
      <c r="B206" s="64"/>
      <c r="C206" s="274" t="s">
        <v>3821</v>
      </c>
      <c r="D206" s="228"/>
      <c r="E206" s="272"/>
      <c r="F206" s="238" t="s">
        <v>223</v>
      </c>
      <c r="G206" s="238"/>
      <c r="H206" s="215">
        <f>15-10.1+1.4-0.3-0.7-0.8-1.6+0.1-2.6</f>
        <v>0.4000000000000008</v>
      </c>
      <c r="I206" s="260"/>
    </row>
    <row r="207" spans="1:9" ht="12.75" customHeight="1" x14ac:dyDescent="0.2">
      <c r="A207" s="56">
        <v>198</v>
      </c>
      <c r="B207" s="64"/>
      <c r="C207" s="274" t="s">
        <v>1455</v>
      </c>
      <c r="D207" s="228"/>
      <c r="E207" s="272"/>
      <c r="F207" s="238" t="s">
        <v>223</v>
      </c>
      <c r="G207" s="238"/>
      <c r="H207" s="215">
        <f>14.9+49.4</f>
        <v>64.3</v>
      </c>
      <c r="I207" s="260"/>
    </row>
    <row r="208" spans="1:9" ht="13.5" customHeight="1" x14ac:dyDescent="0.2">
      <c r="A208" s="56">
        <v>199</v>
      </c>
      <c r="B208" s="64" t="s">
        <v>2224</v>
      </c>
      <c r="C208" s="274" t="s">
        <v>4059</v>
      </c>
      <c r="D208" s="228"/>
      <c r="E208" s="272"/>
      <c r="F208" s="238" t="s">
        <v>67</v>
      </c>
      <c r="G208" s="238"/>
      <c r="H208" s="263">
        <v>15.5</v>
      </c>
      <c r="I208" s="215"/>
    </row>
    <row r="209" spans="1:9" ht="13.5" customHeight="1" x14ac:dyDescent="0.2">
      <c r="A209" s="56">
        <v>200</v>
      </c>
      <c r="B209" s="64" t="s">
        <v>3559</v>
      </c>
      <c r="C209" s="274" t="s">
        <v>4008</v>
      </c>
      <c r="D209" s="228"/>
      <c r="E209" s="272"/>
      <c r="F209" s="238" t="s">
        <v>21</v>
      </c>
      <c r="G209" s="238"/>
      <c r="H209" s="263">
        <v>2.7</v>
      </c>
      <c r="I209" s="215"/>
    </row>
    <row r="210" spans="1:9" ht="12.75" customHeight="1" x14ac:dyDescent="0.2">
      <c r="A210" s="56">
        <v>201</v>
      </c>
      <c r="B210" s="64"/>
      <c r="C210" s="274" t="s">
        <v>716</v>
      </c>
      <c r="D210" s="228"/>
      <c r="E210" s="272"/>
      <c r="F210" s="238" t="s">
        <v>37</v>
      </c>
      <c r="G210" s="238"/>
      <c r="H210" s="263">
        <f>75-0.7-1.5-1.6-2-1.5-1.6-0.65-0.5-0.6</f>
        <v>64.350000000000009</v>
      </c>
      <c r="I210" s="215"/>
    </row>
    <row r="211" spans="1:9" ht="12.75" customHeight="1" x14ac:dyDescent="0.2">
      <c r="A211" s="56">
        <v>202</v>
      </c>
      <c r="B211" s="64"/>
      <c r="C211" s="274" t="s">
        <v>2456</v>
      </c>
      <c r="D211" s="228"/>
      <c r="E211" s="272"/>
      <c r="F211" s="238" t="s">
        <v>186</v>
      </c>
      <c r="G211" s="238"/>
      <c r="H211" s="263">
        <f>24.2-6.2-1.5</f>
        <v>16.5</v>
      </c>
      <c r="I211" s="215"/>
    </row>
    <row r="212" spans="1:9" ht="12.75" customHeight="1" x14ac:dyDescent="0.2">
      <c r="A212" s="56">
        <v>203</v>
      </c>
      <c r="B212" s="64"/>
      <c r="C212" s="277" t="s">
        <v>2178</v>
      </c>
      <c r="D212" s="278"/>
      <c r="E212" s="279"/>
      <c r="F212" s="238" t="s">
        <v>39</v>
      </c>
      <c r="G212" s="238"/>
      <c r="H212" s="263">
        <f>13.4-1.1-0.3-0.3</f>
        <v>11.7</v>
      </c>
      <c r="I212" s="215"/>
    </row>
    <row r="213" spans="1:9" ht="12.75" customHeight="1" x14ac:dyDescent="0.2">
      <c r="A213" s="56">
        <v>204</v>
      </c>
      <c r="B213" s="64"/>
      <c r="C213" s="274" t="s">
        <v>2179</v>
      </c>
      <c r="D213" s="228"/>
      <c r="E213" s="272"/>
      <c r="F213" s="238" t="s">
        <v>28</v>
      </c>
      <c r="G213" s="238"/>
      <c r="H213" s="215">
        <f>16.1-0.3-1.2</f>
        <v>14.600000000000001</v>
      </c>
      <c r="I213" s="260"/>
    </row>
    <row r="214" spans="1:9" ht="12.75" customHeight="1" x14ac:dyDescent="0.2">
      <c r="A214" s="56">
        <v>205</v>
      </c>
      <c r="B214" s="64"/>
      <c r="C214" s="274" t="s">
        <v>3692</v>
      </c>
      <c r="D214" s="228"/>
      <c r="E214" s="272"/>
      <c r="F214" s="238" t="s">
        <v>223</v>
      </c>
      <c r="G214" s="238"/>
      <c r="H214" s="215">
        <f>9-0.8-0.3-1.3-0.7</f>
        <v>5.8999999999999995</v>
      </c>
      <c r="I214" s="260"/>
    </row>
    <row r="215" spans="1:9" ht="12.75" customHeight="1" x14ac:dyDescent="0.2">
      <c r="A215" s="56">
        <v>206</v>
      </c>
      <c r="B215" s="64"/>
      <c r="C215" s="274" t="s">
        <v>4966</v>
      </c>
      <c r="D215" s="228"/>
      <c r="E215" s="272"/>
      <c r="F215" s="238" t="s">
        <v>7</v>
      </c>
      <c r="G215" s="238"/>
      <c r="H215" s="300">
        <f>77.7-1.5-0.5-2.1-2.2-2.2-0.8-0.7-1.5-1.5-1.1</f>
        <v>63.6</v>
      </c>
      <c r="I215" s="301"/>
    </row>
    <row r="216" spans="1:9" ht="12.75" customHeight="1" x14ac:dyDescent="0.2">
      <c r="A216" s="56">
        <v>207</v>
      </c>
      <c r="B216" s="64"/>
      <c r="C216" s="274" t="s">
        <v>834</v>
      </c>
      <c r="D216" s="228"/>
      <c r="E216" s="272"/>
      <c r="F216" s="261" t="s">
        <v>67</v>
      </c>
      <c r="G216" s="218"/>
      <c r="H216" s="215">
        <v>2.9</v>
      </c>
      <c r="I216" s="260"/>
    </row>
    <row r="217" spans="1:9" ht="12.75" customHeight="1" x14ac:dyDescent="0.2">
      <c r="A217" s="56">
        <v>208</v>
      </c>
      <c r="B217" s="64"/>
      <c r="C217" s="275" t="s">
        <v>1515</v>
      </c>
      <c r="D217" s="232"/>
      <c r="E217" s="276"/>
      <c r="F217" s="261" t="s">
        <v>67</v>
      </c>
      <c r="G217" s="218"/>
      <c r="H217" s="215">
        <f>0.8+1.5-0.8+4.1-0.9-1.5</f>
        <v>3.1999999999999993</v>
      </c>
      <c r="I217" s="260"/>
    </row>
    <row r="218" spans="1:9" ht="12.75" customHeight="1" x14ac:dyDescent="0.2">
      <c r="A218" s="56">
        <v>209</v>
      </c>
      <c r="B218" s="64"/>
      <c r="C218" s="274" t="s">
        <v>3205</v>
      </c>
      <c r="D218" s="228"/>
      <c r="E218" s="272"/>
      <c r="F218" s="261" t="s">
        <v>67</v>
      </c>
      <c r="G218" s="218"/>
      <c r="H218" s="215">
        <f>6.3+49.4-7-5.1-1.2-14.8</f>
        <v>27.599999999999991</v>
      </c>
      <c r="I218" s="260"/>
    </row>
    <row r="219" spans="1:9" ht="12.75" customHeight="1" x14ac:dyDescent="0.2">
      <c r="A219" s="56">
        <v>210</v>
      </c>
      <c r="B219" s="64"/>
      <c r="C219" s="274" t="s">
        <v>4478</v>
      </c>
      <c r="D219" s="228"/>
      <c r="E219" s="272"/>
      <c r="F219" s="238" t="s">
        <v>67</v>
      </c>
      <c r="G219" s="238"/>
      <c r="H219" s="215">
        <f>1.6+0.5-0.5-0.5</f>
        <v>1.1000000000000001</v>
      </c>
      <c r="I219" s="260"/>
    </row>
    <row r="220" spans="1:9" ht="12.75" customHeight="1" x14ac:dyDescent="0.2">
      <c r="A220" s="56">
        <v>211</v>
      </c>
      <c r="B220" s="64"/>
      <c r="C220" s="274" t="s">
        <v>1575</v>
      </c>
      <c r="D220" s="228"/>
      <c r="E220" s="272"/>
      <c r="F220" s="238" t="s">
        <v>67</v>
      </c>
      <c r="G220" s="238"/>
      <c r="H220" s="215">
        <v>0.4</v>
      </c>
      <c r="I220" s="260"/>
    </row>
    <row r="221" spans="1:9" ht="12.75" customHeight="1" x14ac:dyDescent="0.2">
      <c r="A221" s="56">
        <v>212</v>
      </c>
      <c r="B221" s="64"/>
      <c r="C221" s="274" t="s">
        <v>2403</v>
      </c>
      <c r="D221" s="228"/>
      <c r="E221" s="272"/>
      <c r="F221" s="238" t="s">
        <v>67</v>
      </c>
      <c r="G221" s="238"/>
      <c r="H221" s="215">
        <f>2.3</f>
        <v>2.2999999999999998</v>
      </c>
      <c r="I221" s="260"/>
    </row>
    <row r="222" spans="1:9" ht="12.75" customHeight="1" x14ac:dyDescent="0.2">
      <c r="A222" s="56">
        <v>213</v>
      </c>
      <c r="B222" s="64" t="s">
        <v>2225</v>
      </c>
      <c r="C222" s="277" t="s">
        <v>3946</v>
      </c>
      <c r="D222" s="278"/>
      <c r="E222" s="279"/>
      <c r="F222" s="238" t="s">
        <v>39</v>
      </c>
      <c r="G222" s="238"/>
      <c r="H222" s="263">
        <f>53.8-1.1</f>
        <v>52.699999999999996</v>
      </c>
      <c r="I222" s="215"/>
    </row>
    <row r="223" spans="1:9" ht="12.75" customHeight="1" x14ac:dyDescent="0.2">
      <c r="A223" s="56">
        <v>214</v>
      </c>
      <c r="B223" s="64" t="s">
        <v>2225</v>
      </c>
      <c r="C223" s="277" t="s">
        <v>2483</v>
      </c>
      <c r="D223" s="278"/>
      <c r="E223" s="279"/>
      <c r="F223" s="238" t="s">
        <v>223</v>
      </c>
      <c r="G223" s="238"/>
      <c r="H223" s="263">
        <f>168-7.8</f>
        <v>160.19999999999999</v>
      </c>
      <c r="I223" s="215"/>
    </row>
    <row r="224" spans="1:9" ht="13.5" customHeight="1" x14ac:dyDescent="0.2">
      <c r="A224" s="56">
        <v>215</v>
      </c>
      <c r="B224" s="64"/>
      <c r="C224" s="274" t="s">
        <v>2727</v>
      </c>
      <c r="D224" s="228"/>
      <c r="E224" s="272"/>
      <c r="F224" s="238" t="s">
        <v>14</v>
      </c>
      <c r="G224" s="238"/>
      <c r="H224" s="215">
        <f>5.1-2.7</f>
        <v>2.3999999999999995</v>
      </c>
      <c r="I224" s="260"/>
    </row>
    <row r="225" spans="1:9" ht="12.75" customHeight="1" x14ac:dyDescent="0.2">
      <c r="A225" s="56">
        <v>216</v>
      </c>
      <c r="B225" s="64"/>
      <c r="C225" s="274" t="s">
        <v>3303</v>
      </c>
      <c r="D225" s="228"/>
      <c r="E225" s="272"/>
      <c r="F225" s="238" t="s">
        <v>702</v>
      </c>
      <c r="G225" s="238"/>
      <c r="H225" s="215">
        <f>0.4+1.8-0.4</f>
        <v>1.8000000000000003</v>
      </c>
      <c r="I225" s="260"/>
    </row>
    <row r="226" spans="1:9" ht="12.75" customHeight="1" x14ac:dyDescent="0.2">
      <c r="A226" s="56">
        <v>217</v>
      </c>
      <c r="B226" s="64"/>
      <c r="C226" s="274" t="s">
        <v>1532</v>
      </c>
      <c r="D226" s="228"/>
      <c r="E226" s="272"/>
      <c r="F226" s="238" t="s">
        <v>21</v>
      </c>
      <c r="G226" s="238"/>
      <c r="H226" s="215">
        <v>1.4</v>
      </c>
      <c r="I226" s="260"/>
    </row>
    <row r="227" spans="1:9" ht="12.75" customHeight="1" x14ac:dyDescent="0.2">
      <c r="A227" s="56">
        <v>218</v>
      </c>
      <c r="B227" s="64"/>
      <c r="C227" s="275" t="s">
        <v>1791</v>
      </c>
      <c r="D227" s="232"/>
      <c r="E227" s="276"/>
      <c r="F227" s="238" t="s">
        <v>21</v>
      </c>
      <c r="G227" s="238"/>
      <c r="H227" s="263">
        <f>50-20.8-5.3</f>
        <v>23.9</v>
      </c>
      <c r="I227" s="215"/>
    </row>
    <row r="228" spans="1:9" ht="12.75" customHeight="1" x14ac:dyDescent="0.2">
      <c r="A228" s="56">
        <v>219</v>
      </c>
      <c r="B228" s="64"/>
      <c r="C228" s="274" t="s">
        <v>1572</v>
      </c>
      <c r="D228" s="228"/>
      <c r="E228" s="272"/>
      <c r="F228" s="238" t="s">
        <v>783</v>
      </c>
      <c r="G228" s="238"/>
      <c r="H228" s="215">
        <f>29-0.8-0.7-2.5-0.9+0.9-0.8</f>
        <v>24.2</v>
      </c>
      <c r="I228" s="260"/>
    </row>
    <row r="229" spans="1:9" ht="12.75" customHeight="1" x14ac:dyDescent="0.2">
      <c r="A229" s="56">
        <v>220</v>
      </c>
      <c r="B229" s="64"/>
      <c r="C229" s="274" t="s">
        <v>768</v>
      </c>
      <c r="D229" s="228"/>
      <c r="E229" s="272"/>
      <c r="F229" s="238" t="s">
        <v>21</v>
      </c>
      <c r="G229" s="238"/>
      <c r="H229" s="215">
        <v>0.7</v>
      </c>
      <c r="I229" s="260"/>
    </row>
    <row r="230" spans="1:9" ht="12.75" customHeight="1" x14ac:dyDescent="0.2">
      <c r="A230" s="56">
        <v>221</v>
      </c>
      <c r="B230" s="64"/>
      <c r="C230" s="274" t="s">
        <v>1372</v>
      </c>
      <c r="D230" s="228"/>
      <c r="E230" s="272"/>
      <c r="F230" s="238" t="s">
        <v>132</v>
      </c>
      <c r="G230" s="238"/>
      <c r="H230" s="215">
        <f>4.1-1.7</f>
        <v>2.3999999999999995</v>
      </c>
      <c r="I230" s="260"/>
    </row>
    <row r="231" spans="1:9" ht="12.75" customHeight="1" x14ac:dyDescent="0.2">
      <c r="A231" s="56">
        <v>222</v>
      </c>
      <c r="B231" s="64"/>
      <c r="C231" s="274" t="s">
        <v>1570</v>
      </c>
      <c r="D231" s="228"/>
      <c r="E231" s="272"/>
      <c r="F231" s="238" t="s">
        <v>702</v>
      </c>
      <c r="G231" s="238"/>
      <c r="H231" s="215">
        <f>0.4+0.5-0.4</f>
        <v>0.5</v>
      </c>
      <c r="I231" s="260"/>
    </row>
    <row r="232" spans="1:9" ht="13.5" customHeight="1" x14ac:dyDescent="0.2">
      <c r="A232" s="56">
        <v>223</v>
      </c>
      <c r="B232" s="64" t="s">
        <v>3559</v>
      </c>
      <c r="C232" s="274" t="s">
        <v>4004</v>
      </c>
      <c r="D232" s="228"/>
      <c r="E232" s="272"/>
      <c r="F232" s="238" t="s">
        <v>67</v>
      </c>
      <c r="G232" s="238"/>
      <c r="H232" s="263">
        <v>1.2</v>
      </c>
      <c r="I232" s="215"/>
    </row>
    <row r="233" spans="1:9" ht="13.5" customHeight="1" x14ac:dyDescent="0.2">
      <c r="A233" s="56">
        <v>224</v>
      </c>
      <c r="B233" s="64"/>
      <c r="C233" s="274" t="s">
        <v>3890</v>
      </c>
      <c r="D233" s="228"/>
      <c r="E233" s="272"/>
      <c r="F233" s="238" t="s">
        <v>67</v>
      </c>
      <c r="G233" s="238"/>
      <c r="H233" s="263">
        <f>3.1+4.5-3.1</f>
        <v>4.5</v>
      </c>
      <c r="I233" s="215"/>
    </row>
    <row r="234" spans="1:9" ht="13.5" customHeight="1" x14ac:dyDescent="0.2">
      <c r="A234" s="56">
        <v>225</v>
      </c>
      <c r="B234" s="64" t="s">
        <v>3559</v>
      </c>
      <c r="C234" s="274" t="s">
        <v>4003</v>
      </c>
      <c r="D234" s="228"/>
      <c r="E234" s="272"/>
      <c r="F234" s="238" t="s">
        <v>67</v>
      </c>
      <c r="G234" s="238"/>
      <c r="H234" s="263">
        <v>8.1</v>
      </c>
      <c r="I234" s="215"/>
    </row>
    <row r="235" spans="1:9" ht="13.5" customHeight="1" x14ac:dyDescent="0.2">
      <c r="A235" s="56">
        <v>226</v>
      </c>
      <c r="B235" s="64"/>
      <c r="C235" s="274" t="s">
        <v>4181</v>
      </c>
      <c r="D235" s="228"/>
      <c r="E235" s="272"/>
      <c r="F235" s="238" t="s">
        <v>67</v>
      </c>
      <c r="G235" s="238"/>
      <c r="H235" s="263">
        <f>32.7-3+0.9-3.5-1.4+0.4-0.4-3.7-1.3-0.9-1.3-2.9-2.8-1.3-1.4-1.4</f>
        <v>8.7000000000000028</v>
      </c>
      <c r="I235" s="215"/>
    </row>
    <row r="236" spans="1:9" ht="13.5" customHeight="1" x14ac:dyDescent="0.2">
      <c r="A236" s="56">
        <v>227</v>
      </c>
      <c r="B236" s="64"/>
      <c r="C236" s="274" t="s">
        <v>2053</v>
      </c>
      <c r="D236" s="228"/>
      <c r="E236" s="272"/>
      <c r="F236" s="238" t="s">
        <v>67</v>
      </c>
      <c r="G236" s="238"/>
      <c r="H236" s="263">
        <v>1.5</v>
      </c>
      <c r="I236" s="215"/>
    </row>
    <row r="237" spans="1:9" ht="13.5" customHeight="1" x14ac:dyDescent="0.2">
      <c r="A237" s="56">
        <v>228</v>
      </c>
      <c r="B237" s="64"/>
      <c r="C237" s="274" t="s">
        <v>1377</v>
      </c>
      <c r="D237" s="228"/>
      <c r="E237" s="272"/>
      <c r="F237" s="238" t="s">
        <v>95</v>
      </c>
      <c r="G237" s="238"/>
      <c r="H237" s="263">
        <f>10.2-8.8</f>
        <v>1.3999999999999986</v>
      </c>
      <c r="I237" s="215"/>
    </row>
    <row r="238" spans="1:9" ht="12.75" customHeight="1" x14ac:dyDescent="0.2">
      <c r="A238" s="56">
        <v>229</v>
      </c>
      <c r="B238" s="64" t="s">
        <v>2225</v>
      </c>
      <c r="C238" s="277" t="s">
        <v>4376</v>
      </c>
      <c r="D238" s="278"/>
      <c r="E238" s="279"/>
      <c r="F238" s="238" t="s">
        <v>39</v>
      </c>
      <c r="G238" s="238"/>
      <c r="H238" s="263">
        <f>28.5-1.4+39.4+49.7-1.5</f>
        <v>114.7</v>
      </c>
      <c r="I238" s="215"/>
    </row>
    <row r="239" spans="1:9" ht="12.75" customHeight="1" x14ac:dyDescent="0.2">
      <c r="A239" s="56">
        <v>230</v>
      </c>
      <c r="B239" s="64"/>
      <c r="C239" s="277" t="s">
        <v>1702</v>
      </c>
      <c r="D239" s="278"/>
      <c r="E239" s="279"/>
      <c r="F239" s="238" t="s">
        <v>73</v>
      </c>
      <c r="G239" s="238"/>
      <c r="H239" s="263">
        <v>5.7</v>
      </c>
      <c r="I239" s="215"/>
    </row>
    <row r="240" spans="1:9" ht="12.75" customHeight="1" x14ac:dyDescent="0.2">
      <c r="A240" s="56">
        <v>231</v>
      </c>
      <c r="B240" s="64"/>
      <c r="C240" s="277" t="s">
        <v>1300</v>
      </c>
      <c r="D240" s="278"/>
      <c r="E240" s="279"/>
      <c r="F240" s="238" t="s">
        <v>14</v>
      </c>
      <c r="G240" s="238"/>
      <c r="H240" s="263">
        <v>0.5</v>
      </c>
      <c r="I240" s="215"/>
    </row>
    <row r="241" spans="1:9" ht="12.75" customHeight="1" x14ac:dyDescent="0.2">
      <c r="A241" s="56">
        <v>232</v>
      </c>
      <c r="B241" s="64"/>
      <c r="C241" s="274" t="s">
        <v>1104</v>
      </c>
      <c r="D241" s="228"/>
      <c r="E241" s="272"/>
      <c r="F241" s="238" t="s">
        <v>28</v>
      </c>
      <c r="G241" s="238"/>
      <c r="H241" s="263">
        <f>5.7-1.9+0.7-0.7+0.7-1.7</f>
        <v>2.8</v>
      </c>
      <c r="I241" s="215"/>
    </row>
    <row r="242" spans="1:9" x14ac:dyDescent="0.2">
      <c r="A242" s="56">
        <v>233</v>
      </c>
      <c r="B242" s="64" t="s">
        <v>3559</v>
      </c>
      <c r="C242" s="274" t="s">
        <v>4067</v>
      </c>
      <c r="D242" s="228"/>
      <c r="E242" s="272"/>
      <c r="F242" s="238" t="s">
        <v>143</v>
      </c>
      <c r="G242" s="238"/>
      <c r="H242" s="215">
        <v>3.9</v>
      </c>
      <c r="I242" s="260"/>
    </row>
    <row r="243" spans="1:9" ht="13.5" customHeight="1" x14ac:dyDescent="0.2">
      <c r="A243" s="56">
        <v>234</v>
      </c>
      <c r="B243" s="64"/>
      <c r="C243" s="274" t="s">
        <v>195</v>
      </c>
      <c r="D243" s="228"/>
      <c r="E243" s="272"/>
      <c r="F243" s="238" t="s">
        <v>95</v>
      </c>
      <c r="G243" s="238"/>
      <c r="H243" s="215">
        <v>1.4</v>
      </c>
      <c r="I243" s="260"/>
    </row>
    <row r="244" spans="1:9" x14ac:dyDescent="0.2">
      <c r="A244" s="56">
        <v>235</v>
      </c>
      <c r="B244" s="64" t="s">
        <v>2225</v>
      </c>
      <c r="C244" s="128" t="s">
        <v>2849</v>
      </c>
      <c r="D244" s="126"/>
      <c r="E244" s="127"/>
      <c r="F244" s="238" t="s">
        <v>21</v>
      </c>
      <c r="G244" s="238"/>
      <c r="H244" s="115">
        <v>24.2</v>
      </c>
      <c r="I244" s="154"/>
    </row>
    <row r="245" spans="1:9" ht="13.5" customHeight="1" x14ac:dyDescent="0.2">
      <c r="A245" s="56">
        <v>236</v>
      </c>
      <c r="B245" s="64"/>
      <c r="C245" s="274" t="s">
        <v>3668</v>
      </c>
      <c r="D245" s="228"/>
      <c r="E245" s="272"/>
      <c r="F245" s="238" t="s">
        <v>67</v>
      </c>
      <c r="G245" s="238"/>
      <c r="H245" s="263">
        <f>19.8-0.7-0.8+0.6-0.6-0.8-0.8-0.8-6.2-5.4-2.3+0.1</f>
        <v>2.0999999999999992</v>
      </c>
      <c r="I245" s="215"/>
    </row>
    <row r="246" spans="1:9" ht="12.75" customHeight="1" x14ac:dyDescent="0.2">
      <c r="A246" s="56">
        <v>237</v>
      </c>
      <c r="B246" s="64" t="s">
        <v>2225</v>
      </c>
      <c r="C246" s="277" t="s">
        <v>2484</v>
      </c>
      <c r="D246" s="278"/>
      <c r="E246" s="279"/>
      <c r="F246" s="238" t="s">
        <v>39</v>
      </c>
      <c r="G246" s="238"/>
      <c r="H246" s="263">
        <v>23</v>
      </c>
      <c r="I246" s="215"/>
    </row>
    <row r="247" spans="1:9" ht="12.75" customHeight="1" x14ac:dyDescent="0.2">
      <c r="A247" s="56">
        <v>238</v>
      </c>
      <c r="B247" s="64"/>
      <c r="C247" s="277" t="s">
        <v>236</v>
      </c>
      <c r="D247" s="278"/>
      <c r="E247" s="279"/>
      <c r="F247" s="238" t="s">
        <v>39</v>
      </c>
      <c r="G247" s="238"/>
      <c r="H247" s="263">
        <f>55.7-30-2-2.2</f>
        <v>21.500000000000004</v>
      </c>
      <c r="I247" s="215"/>
    </row>
    <row r="248" spans="1:9" ht="12.75" customHeight="1" x14ac:dyDescent="0.2">
      <c r="A248" s="56">
        <v>239</v>
      </c>
      <c r="B248" s="64"/>
      <c r="C248" s="275" t="s">
        <v>426</v>
      </c>
      <c r="D248" s="232"/>
      <c r="E248" s="276"/>
      <c r="F248" s="238" t="s">
        <v>39</v>
      </c>
      <c r="G248" s="238"/>
      <c r="H248" s="263">
        <f>18.5+1.1+10.8+2.9</f>
        <v>33.300000000000004</v>
      </c>
      <c r="I248" s="215"/>
    </row>
    <row r="249" spans="1:9" ht="12.75" customHeight="1" x14ac:dyDescent="0.2">
      <c r="A249" s="56">
        <v>240</v>
      </c>
      <c r="B249" s="64"/>
      <c r="C249" s="274" t="s">
        <v>781</v>
      </c>
      <c r="D249" s="228"/>
      <c r="E249" s="272"/>
      <c r="F249" s="238" t="s">
        <v>7</v>
      </c>
      <c r="G249" s="238"/>
      <c r="H249" s="300">
        <f>0.6+9.2</f>
        <v>9.7999999999999989</v>
      </c>
      <c r="I249" s="301"/>
    </row>
    <row r="250" spans="1:9" ht="13.5" customHeight="1" x14ac:dyDescent="0.2">
      <c r="A250" s="56">
        <v>241</v>
      </c>
      <c r="B250" s="64"/>
      <c r="C250" s="274" t="s">
        <v>414</v>
      </c>
      <c r="D250" s="228"/>
      <c r="E250" s="272"/>
      <c r="F250" s="238" t="s">
        <v>95</v>
      </c>
      <c r="G250" s="238"/>
      <c r="H250" s="215">
        <v>0.5</v>
      </c>
      <c r="I250" s="260"/>
    </row>
    <row r="251" spans="1:9" ht="12" customHeight="1" x14ac:dyDescent="0.2">
      <c r="A251" s="56">
        <v>242</v>
      </c>
      <c r="B251" s="64"/>
      <c r="C251" s="274" t="s">
        <v>134</v>
      </c>
      <c r="D251" s="228"/>
      <c r="E251" s="272"/>
      <c r="F251" s="238" t="s">
        <v>19</v>
      </c>
      <c r="G251" s="238"/>
      <c r="H251" s="263"/>
      <c r="I251" s="215"/>
    </row>
    <row r="252" spans="1:9" ht="12.75" customHeight="1" x14ac:dyDescent="0.2">
      <c r="A252" s="56">
        <v>243</v>
      </c>
      <c r="B252" s="64"/>
      <c r="C252" s="274" t="s">
        <v>1234</v>
      </c>
      <c r="D252" s="228"/>
      <c r="E252" s="272"/>
      <c r="F252" s="238" t="s">
        <v>14</v>
      </c>
      <c r="G252" s="238"/>
      <c r="H252" s="215">
        <f>2.9-0.7-0.6-0.6+0.1</f>
        <v>1.1000000000000001</v>
      </c>
      <c r="I252" s="260"/>
    </row>
    <row r="253" spans="1:9" x14ac:dyDescent="0.2">
      <c r="A253" s="56">
        <v>244</v>
      </c>
      <c r="B253" s="64"/>
      <c r="C253" s="128" t="s">
        <v>1987</v>
      </c>
      <c r="D253" s="126"/>
      <c r="E253" s="127"/>
      <c r="F253" s="124" t="s">
        <v>14</v>
      </c>
      <c r="G253" s="124"/>
      <c r="H253" s="115">
        <f>1.3+2.8+3.4+6.2+5.2-1.3+0.9-5.2-3.4-6.2-2.8</f>
        <v>0.8999999999999968</v>
      </c>
      <c r="I253" s="154"/>
    </row>
    <row r="254" spans="1:9" ht="12.75" customHeight="1" x14ac:dyDescent="0.2">
      <c r="A254" s="56">
        <v>245</v>
      </c>
      <c r="B254" s="64" t="s">
        <v>3559</v>
      </c>
      <c r="C254" s="274" t="s">
        <v>5065</v>
      </c>
      <c r="D254" s="228"/>
      <c r="E254" s="272"/>
      <c r="F254" s="124" t="s">
        <v>14</v>
      </c>
      <c r="G254" s="124"/>
      <c r="H254" s="215">
        <f>10.6-7.1</f>
        <v>3.5</v>
      </c>
      <c r="I254" s="260"/>
    </row>
    <row r="255" spans="1:9" ht="12.75" customHeight="1" x14ac:dyDescent="0.2">
      <c r="A255" s="56">
        <v>246</v>
      </c>
      <c r="B255" s="64"/>
      <c r="C255" s="274" t="s">
        <v>813</v>
      </c>
      <c r="D255" s="228"/>
      <c r="E255" s="272"/>
      <c r="F255" s="238" t="s">
        <v>132</v>
      </c>
      <c r="G255" s="238"/>
      <c r="H255" s="215">
        <f>0.8+3.8-0.8</f>
        <v>3.8</v>
      </c>
      <c r="I255" s="260"/>
    </row>
    <row r="256" spans="1:9" ht="12.75" customHeight="1" x14ac:dyDescent="0.2">
      <c r="A256" s="56">
        <v>247</v>
      </c>
      <c r="B256" s="64"/>
      <c r="C256" s="274" t="s">
        <v>2768</v>
      </c>
      <c r="D256" s="228"/>
      <c r="E256" s="272"/>
      <c r="F256" s="238" t="s">
        <v>28</v>
      </c>
      <c r="G256" s="238"/>
      <c r="H256" s="215">
        <f>5.2+5.3+3-3</f>
        <v>10.5</v>
      </c>
      <c r="I256" s="260"/>
    </row>
    <row r="257" spans="1:9" ht="12.75" customHeight="1" x14ac:dyDescent="0.2">
      <c r="A257" s="56">
        <v>248</v>
      </c>
      <c r="B257" s="64"/>
      <c r="C257" s="274" t="s">
        <v>3926</v>
      </c>
      <c r="D257" s="228"/>
      <c r="E257" s="272"/>
      <c r="F257" s="238" t="s">
        <v>28</v>
      </c>
      <c r="G257" s="238"/>
      <c r="H257" s="215">
        <v>4.8</v>
      </c>
      <c r="I257" s="260"/>
    </row>
    <row r="258" spans="1:9" ht="13.5" customHeight="1" x14ac:dyDescent="0.2">
      <c r="A258" s="56">
        <v>249</v>
      </c>
      <c r="B258" s="64"/>
      <c r="C258" s="274" t="s">
        <v>3927</v>
      </c>
      <c r="D258" s="228"/>
      <c r="E258" s="272"/>
      <c r="F258" s="238" t="s">
        <v>28</v>
      </c>
      <c r="G258" s="238"/>
      <c r="H258" s="263">
        <f>6.6-3.4</f>
        <v>3.1999999999999997</v>
      </c>
      <c r="I258" s="215"/>
    </row>
    <row r="259" spans="1:9" ht="12.75" customHeight="1" x14ac:dyDescent="0.2">
      <c r="A259" s="56">
        <v>250</v>
      </c>
      <c r="B259" s="64"/>
      <c r="C259" s="274" t="s">
        <v>1845</v>
      </c>
      <c r="D259" s="228"/>
      <c r="E259" s="272"/>
      <c r="F259" s="238" t="s">
        <v>39</v>
      </c>
      <c r="G259" s="238"/>
      <c r="H259" s="263">
        <f>28.8-5.8+25.5+18.3-5.8+17.7-1.5-7.4-1.5-2.9-14.7</f>
        <v>50.699999999999989</v>
      </c>
      <c r="I259" s="215"/>
    </row>
    <row r="260" spans="1:9" ht="12.75" customHeight="1" x14ac:dyDescent="0.2">
      <c r="A260" s="56">
        <v>251</v>
      </c>
      <c r="B260" s="64"/>
      <c r="C260" s="275" t="s">
        <v>1048</v>
      </c>
      <c r="D260" s="232"/>
      <c r="E260" s="276"/>
      <c r="F260" s="238" t="s">
        <v>39</v>
      </c>
      <c r="G260" s="238"/>
      <c r="H260" s="263">
        <f>9.6+15.8-2.3-5.8+2.3-9.7-1</f>
        <v>8.8999999999999986</v>
      </c>
      <c r="I260" s="215"/>
    </row>
    <row r="261" spans="1:9" ht="12.75" customHeight="1" x14ac:dyDescent="0.2">
      <c r="A261" s="56">
        <v>252</v>
      </c>
      <c r="B261" s="64"/>
      <c r="C261" s="274" t="s">
        <v>1324</v>
      </c>
      <c r="D261" s="228"/>
      <c r="E261" s="272"/>
      <c r="F261" s="238" t="s">
        <v>14</v>
      </c>
      <c r="G261" s="238"/>
      <c r="H261" s="215">
        <v>2.2999999999999998</v>
      </c>
      <c r="I261" s="260"/>
    </row>
    <row r="262" spans="1:9" ht="12.75" customHeight="1" x14ac:dyDescent="0.2">
      <c r="A262" s="56">
        <v>253</v>
      </c>
      <c r="B262" s="64" t="s">
        <v>3559</v>
      </c>
      <c r="C262" s="274" t="s">
        <v>3558</v>
      </c>
      <c r="D262" s="228"/>
      <c r="E262" s="272"/>
      <c r="F262" s="238" t="s">
        <v>7</v>
      </c>
      <c r="G262" s="238"/>
      <c r="H262" s="300">
        <v>0.7</v>
      </c>
      <c r="I262" s="301"/>
    </row>
    <row r="263" spans="1:9" x14ac:dyDescent="0.2">
      <c r="A263" s="56">
        <v>254</v>
      </c>
      <c r="B263" s="64" t="s">
        <v>3559</v>
      </c>
      <c r="C263" s="274" t="s">
        <v>4811</v>
      </c>
      <c r="D263" s="228"/>
      <c r="E263" s="272"/>
      <c r="F263" s="238" t="s">
        <v>39</v>
      </c>
      <c r="G263" s="238"/>
      <c r="H263" s="215">
        <f>22.3-2.3</f>
        <v>20</v>
      </c>
      <c r="I263" s="260"/>
    </row>
    <row r="264" spans="1:9" ht="15.75" customHeight="1" x14ac:dyDescent="0.2">
      <c r="A264" s="56">
        <v>255</v>
      </c>
      <c r="B264" s="64"/>
      <c r="C264" s="274" t="s">
        <v>3311</v>
      </c>
      <c r="D264" s="228"/>
      <c r="E264" s="272"/>
      <c r="F264" s="238" t="s">
        <v>14</v>
      </c>
      <c r="G264" s="238"/>
      <c r="H264" s="215">
        <v>7.1</v>
      </c>
      <c r="I264" s="260"/>
    </row>
    <row r="265" spans="1:9" ht="13.5" customHeight="1" x14ac:dyDescent="0.2">
      <c r="A265" s="56">
        <v>256</v>
      </c>
      <c r="B265" s="64"/>
      <c r="C265" s="274" t="s">
        <v>4852</v>
      </c>
      <c r="D265" s="228"/>
      <c r="E265" s="272"/>
      <c r="F265" s="238" t="s">
        <v>14</v>
      </c>
      <c r="G265" s="238"/>
      <c r="H265" s="215">
        <f>5+3.1+2.1-2.1+3.8-3.8-2.1</f>
        <v>5.9999999999999982</v>
      </c>
      <c r="I265" s="260"/>
    </row>
    <row r="266" spans="1:9" ht="13.5" customHeight="1" x14ac:dyDescent="0.2">
      <c r="A266" s="56">
        <v>257</v>
      </c>
      <c r="B266" s="64"/>
      <c r="C266" s="274" t="s">
        <v>1708</v>
      </c>
      <c r="D266" s="228"/>
      <c r="E266" s="272"/>
      <c r="F266" s="238" t="s">
        <v>14</v>
      </c>
      <c r="G266" s="238"/>
      <c r="H266" s="215">
        <f>8.2-4.7</f>
        <v>3.4999999999999991</v>
      </c>
      <c r="I266" s="260"/>
    </row>
    <row r="267" spans="1:9" ht="13.5" customHeight="1" x14ac:dyDescent="0.2">
      <c r="A267" s="56">
        <v>258</v>
      </c>
      <c r="B267" s="64" t="s">
        <v>3559</v>
      </c>
      <c r="C267" s="274" t="s">
        <v>4002</v>
      </c>
      <c r="D267" s="228"/>
      <c r="E267" s="272"/>
      <c r="F267" s="238" t="s">
        <v>67</v>
      </c>
      <c r="G267" s="238"/>
      <c r="H267" s="263">
        <v>8.1</v>
      </c>
      <c r="I267" s="215"/>
    </row>
    <row r="268" spans="1:9" ht="12.75" customHeight="1" x14ac:dyDescent="0.2">
      <c r="A268" s="56">
        <v>259</v>
      </c>
      <c r="B268" s="64"/>
      <c r="C268" s="275" t="s">
        <v>471</v>
      </c>
      <c r="D268" s="232"/>
      <c r="E268" s="276"/>
      <c r="F268" s="238" t="s">
        <v>21</v>
      </c>
      <c r="G268" s="238"/>
      <c r="H268" s="263">
        <f>15.3-5</f>
        <v>10.3</v>
      </c>
      <c r="I268" s="215"/>
    </row>
    <row r="269" spans="1:9" ht="13.5" customHeight="1" x14ac:dyDescent="0.2">
      <c r="A269" s="56">
        <v>260</v>
      </c>
      <c r="B269" s="64"/>
      <c r="C269" s="274" t="s">
        <v>5226</v>
      </c>
      <c r="D269" s="228"/>
      <c r="E269" s="272"/>
      <c r="F269" s="238" t="s">
        <v>312</v>
      </c>
      <c r="G269" s="238"/>
      <c r="H269" s="263">
        <f>1.3+2-2</f>
        <v>1.2999999999999998</v>
      </c>
      <c r="I269" s="215"/>
    </row>
    <row r="270" spans="1:9" ht="13.5" customHeight="1" x14ac:dyDescent="0.2">
      <c r="A270" s="56">
        <v>261</v>
      </c>
      <c r="B270" s="64"/>
      <c r="C270" s="274" t="s">
        <v>2312</v>
      </c>
      <c r="D270" s="228"/>
      <c r="E270" s="272"/>
      <c r="F270" s="238" t="s">
        <v>132</v>
      </c>
      <c r="G270" s="238"/>
      <c r="H270" s="215">
        <f>7.5+5+2.1-2.1</f>
        <v>12.5</v>
      </c>
      <c r="I270" s="260"/>
    </row>
    <row r="271" spans="1:9" ht="13.5" customHeight="1" x14ac:dyDescent="0.2">
      <c r="A271" s="56">
        <v>262</v>
      </c>
      <c r="B271" s="64"/>
      <c r="C271" s="274" t="s">
        <v>726</v>
      </c>
      <c r="D271" s="228"/>
      <c r="E271" s="272"/>
      <c r="F271" s="238" t="s">
        <v>7</v>
      </c>
      <c r="G271" s="238"/>
      <c r="H271" s="263">
        <f>7-3.1</f>
        <v>3.9</v>
      </c>
      <c r="I271" s="215"/>
    </row>
    <row r="272" spans="1:9" ht="12.75" customHeight="1" x14ac:dyDescent="0.2">
      <c r="A272" s="56">
        <v>263</v>
      </c>
      <c r="B272" s="64"/>
      <c r="C272" s="274" t="s">
        <v>2324</v>
      </c>
      <c r="D272" s="228"/>
      <c r="E272" s="272"/>
      <c r="F272" s="238" t="s">
        <v>7</v>
      </c>
      <c r="G272" s="238"/>
      <c r="H272" s="215">
        <v>16.2</v>
      </c>
      <c r="I272" s="260"/>
    </row>
    <row r="273" spans="1:9" ht="12.75" customHeight="1" x14ac:dyDescent="0.2">
      <c r="A273" s="56">
        <v>264</v>
      </c>
      <c r="B273" s="64"/>
      <c r="C273" s="274" t="s">
        <v>2728</v>
      </c>
      <c r="D273" s="228"/>
      <c r="E273" s="272"/>
      <c r="F273" s="238" t="s">
        <v>7</v>
      </c>
      <c r="G273" s="238"/>
      <c r="H273" s="215">
        <f>6.3+6.1+6.2-12.5-3.1</f>
        <v>2.9999999999999978</v>
      </c>
      <c r="I273" s="260"/>
    </row>
    <row r="274" spans="1:9" ht="12.75" customHeight="1" x14ac:dyDescent="0.2">
      <c r="A274" s="56">
        <v>265</v>
      </c>
      <c r="B274" s="64"/>
      <c r="C274" s="274" t="s">
        <v>959</v>
      </c>
      <c r="D274" s="228"/>
      <c r="E274" s="272"/>
      <c r="F274" s="238" t="s">
        <v>28</v>
      </c>
      <c r="G274" s="238"/>
      <c r="H274" s="215">
        <f>18.9+2.2-3.6</f>
        <v>17.499999999999996</v>
      </c>
      <c r="I274" s="260"/>
    </row>
    <row r="275" spans="1:9" ht="12.75" customHeight="1" x14ac:dyDescent="0.2">
      <c r="A275" s="56">
        <v>266</v>
      </c>
      <c r="B275" s="64"/>
      <c r="C275" s="274" t="s">
        <v>1851</v>
      </c>
      <c r="D275" s="228"/>
      <c r="E275" s="272"/>
      <c r="F275" s="238" t="s">
        <v>28</v>
      </c>
      <c r="G275" s="238"/>
      <c r="H275" s="215">
        <f>17.9+3.4</f>
        <v>21.299999999999997</v>
      </c>
      <c r="I275" s="260"/>
    </row>
    <row r="276" spans="1:9" ht="15.75" customHeight="1" x14ac:dyDescent="0.2">
      <c r="A276" s="56">
        <v>267</v>
      </c>
      <c r="B276" s="64"/>
      <c r="C276" s="274" t="s">
        <v>3260</v>
      </c>
      <c r="D276" s="228"/>
      <c r="E276" s="272"/>
      <c r="F276" s="238" t="s">
        <v>14</v>
      </c>
      <c r="G276" s="238"/>
      <c r="H276" s="215">
        <v>6.3</v>
      </c>
      <c r="I276" s="260"/>
    </row>
    <row r="277" spans="1:9" ht="15.75" customHeight="1" x14ac:dyDescent="0.2">
      <c r="A277" s="56">
        <v>268</v>
      </c>
      <c r="B277" s="64"/>
      <c r="C277" s="274" t="s">
        <v>2971</v>
      </c>
      <c r="D277" s="228"/>
      <c r="E277" s="272"/>
      <c r="F277" s="238" t="s">
        <v>14</v>
      </c>
      <c r="G277" s="238"/>
      <c r="H277" s="215">
        <f>19+7-1.3-1-17.6-1-2.8-1.3</f>
        <v>0.999999999999998</v>
      </c>
      <c r="I277" s="260"/>
    </row>
    <row r="278" spans="1:9" ht="27" customHeight="1" x14ac:dyDescent="0.2">
      <c r="A278" s="56">
        <v>269</v>
      </c>
      <c r="B278" s="64"/>
      <c r="C278" s="117" t="s">
        <v>4676</v>
      </c>
      <c r="D278" s="118"/>
      <c r="E278" s="119"/>
      <c r="F278" s="124" t="s">
        <v>14</v>
      </c>
      <c r="G278" s="124"/>
      <c r="H278" s="115">
        <f>2.2+1+1.2-1</f>
        <v>3.4000000000000004</v>
      </c>
      <c r="I278" s="154"/>
    </row>
    <row r="279" spans="1:9" x14ac:dyDescent="0.2">
      <c r="A279" s="56">
        <v>270</v>
      </c>
      <c r="B279" s="64" t="s">
        <v>3559</v>
      </c>
      <c r="C279" s="274" t="s">
        <v>4066</v>
      </c>
      <c r="D279" s="228"/>
      <c r="E279" s="272"/>
      <c r="F279" s="238" t="s">
        <v>143</v>
      </c>
      <c r="G279" s="238"/>
      <c r="H279" s="215">
        <v>26.3</v>
      </c>
      <c r="I279" s="260"/>
    </row>
    <row r="280" spans="1:9" ht="12.75" customHeight="1" x14ac:dyDescent="0.2">
      <c r="A280" s="56">
        <v>271</v>
      </c>
      <c r="B280" s="64"/>
      <c r="C280" s="274" t="s">
        <v>150</v>
      </c>
      <c r="D280" s="228"/>
      <c r="E280" s="272"/>
      <c r="F280" s="238" t="s">
        <v>39</v>
      </c>
      <c r="G280" s="238"/>
      <c r="H280" s="263">
        <v>5.9</v>
      </c>
      <c r="I280" s="215"/>
    </row>
    <row r="281" spans="1:9" ht="12.75" customHeight="1" x14ac:dyDescent="0.2">
      <c r="A281" s="56">
        <v>272</v>
      </c>
      <c r="B281" s="64"/>
      <c r="C281" s="274" t="s">
        <v>375</v>
      </c>
      <c r="D281" s="228"/>
      <c r="E281" s="272"/>
      <c r="F281" s="238" t="s">
        <v>21</v>
      </c>
      <c r="G281" s="238"/>
      <c r="H281" s="215">
        <v>8.4</v>
      </c>
      <c r="I281" s="260"/>
    </row>
    <row r="282" spans="1:9" ht="12.75" customHeight="1" x14ac:dyDescent="0.2">
      <c r="A282" s="56">
        <v>273</v>
      </c>
      <c r="B282" s="64"/>
      <c r="C282" s="274" t="s">
        <v>346</v>
      </c>
      <c r="D282" s="228"/>
      <c r="E282" s="272"/>
      <c r="F282" s="238" t="s">
        <v>95</v>
      </c>
      <c r="G282" s="238"/>
      <c r="H282" s="263">
        <v>7.4</v>
      </c>
      <c r="I282" s="215"/>
    </row>
    <row r="283" spans="1:9" ht="12.75" customHeight="1" x14ac:dyDescent="0.2">
      <c r="A283" s="56">
        <v>274</v>
      </c>
      <c r="B283" s="64"/>
      <c r="C283" s="274" t="s">
        <v>1985</v>
      </c>
      <c r="D283" s="228"/>
      <c r="E283" s="272"/>
      <c r="F283" s="238" t="s">
        <v>39</v>
      </c>
      <c r="G283" s="238"/>
      <c r="H283" s="263">
        <f>37-4.2+13.4-4.1-4.6-4.8-4.1</f>
        <v>28.599999999999994</v>
      </c>
      <c r="I283" s="215"/>
    </row>
    <row r="284" spans="1:9" ht="12.75" customHeight="1" x14ac:dyDescent="0.2">
      <c r="A284" s="56">
        <v>275</v>
      </c>
      <c r="B284" s="64"/>
      <c r="C284" s="274" t="s">
        <v>3444</v>
      </c>
      <c r="D284" s="228"/>
      <c r="E284" s="272"/>
      <c r="F284" s="238" t="s">
        <v>39</v>
      </c>
      <c r="G284" s="238"/>
      <c r="H284" s="263">
        <f>70-5</f>
        <v>65</v>
      </c>
      <c r="I284" s="215"/>
    </row>
    <row r="285" spans="1:9" ht="12.75" customHeight="1" x14ac:dyDescent="0.2">
      <c r="A285" s="56">
        <v>276</v>
      </c>
      <c r="B285" s="64"/>
      <c r="C285" s="274" t="s">
        <v>4107</v>
      </c>
      <c r="D285" s="228"/>
      <c r="E285" s="272"/>
      <c r="F285" s="261" t="s">
        <v>39</v>
      </c>
      <c r="G285" s="218"/>
      <c r="H285" s="215">
        <f>32.9+28-5.1-5.2</f>
        <v>50.599999999999994</v>
      </c>
      <c r="I285" s="260"/>
    </row>
    <row r="286" spans="1:9" ht="12.75" customHeight="1" x14ac:dyDescent="0.2">
      <c r="A286" s="56">
        <v>277</v>
      </c>
      <c r="B286" s="64"/>
      <c r="C286" s="274" t="s">
        <v>126</v>
      </c>
      <c r="D286" s="228"/>
      <c r="E286" s="272"/>
      <c r="F286" s="238" t="s">
        <v>119</v>
      </c>
      <c r="G286" s="238"/>
      <c r="H286" s="300">
        <v>3.4</v>
      </c>
      <c r="I286" s="301"/>
    </row>
    <row r="287" spans="1:9" ht="12.75" customHeight="1" x14ac:dyDescent="0.2">
      <c r="A287" s="56">
        <v>278</v>
      </c>
      <c r="B287" s="64"/>
      <c r="C287" s="274" t="s">
        <v>2255</v>
      </c>
      <c r="D287" s="228"/>
      <c r="E287" s="272"/>
      <c r="F287" s="238" t="s">
        <v>39</v>
      </c>
      <c r="G287" s="238"/>
      <c r="H287" s="215">
        <f>11.9+28.4-6</f>
        <v>34.299999999999997</v>
      </c>
      <c r="I287" s="260"/>
    </row>
    <row r="288" spans="1:9" ht="12.75" customHeight="1" x14ac:dyDescent="0.2">
      <c r="A288" s="56">
        <v>279</v>
      </c>
      <c r="B288" s="64"/>
      <c r="C288" s="274" t="s">
        <v>462</v>
      </c>
      <c r="D288" s="228"/>
      <c r="E288" s="272"/>
      <c r="F288" s="238" t="s">
        <v>97</v>
      </c>
      <c r="G288" s="238"/>
      <c r="H288" s="300">
        <f>7.6-2.7</f>
        <v>4.8999999999999995</v>
      </c>
      <c r="I288" s="301"/>
    </row>
    <row r="289" spans="1:9" ht="12.75" customHeight="1" x14ac:dyDescent="0.2">
      <c r="A289" s="56">
        <v>280</v>
      </c>
      <c r="B289" s="64"/>
      <c r="C289" s="274" t="s">
        <v>250</v>
      </c>
      <c r="D289" s="228"/>
      <c r="E289" s="272"/>
      <c r="F289" s="238" t="s">
        <v>14</v>
      </c>
      <c r="G289" s="238"/>
      <c r="H289" s="300">
        <v>1.4</v>
      </c>
      <c r="I289" s="301"/>
    </row>
    <row r="290" spans="1:9" ht="12.75" customHeight="1" x14ac:dyDescent="0.2">
      <c r="A290" s="56">
        <v>281</v>
      </c>
      <c r="B290" s="64"/>
      <c r="C290" s="274" t="s">
        <v>3424</v>
      </c>
      <c r="D290" s="228"/>
      <c r="E290" s="272"/>
      <c r="F290" s="238" t="s">
        <v>95</v>
      </c>
      <c r="G290" s="238"/>
      <c r="H290" s="271">
        <v>30.5</v>
      </c>
      <c r="I290" s="265"/>
    </row>
    <row r="291" spans="1:9" ht="12.75" customHeight="1" x14ac:dyDescent="0.2">
      <c r="A291" s="56">
        <v>282</v>
      </c>
      <c r="B291" s="64"/>
      <c r="C291" s="274" t="s">
        <v>721</v>
      </c>
      <c r="D291" s="228"/>
      <c r="E291" s="272"/>
      <c r="F291" s="238" t="s">
        <v>39</v>
      </c>
      <c r="G291" s="238"/>
      <c r="H291" s="215">
        <f>13.9+8.6+10.4-8.6-7</f>
        <v>17.299999999999997</v>
      </c>
      <c r="I291" s="260"/>
    </row>
    <row r="292" spans="1:9" ht="12.75" customHeight="1" x14ac:dyDescent="0.2">
      <c r="A292" s="56">
        <v>283</v>
      </c>
      <c r="B292" s="64"/>
      <c r="C292" s="274" t="s">
        <v>4092</v>
      </c>
      <c r="D292" s="228"/>
      <c r="E292" s="272"/>
      <c r="F292" s="238" t="s">
        <v>7</v>
      </c>
      <c r="G292" s="238"/>
      <c r="H292" s="215">
        <f>21.4+8.9+9.4+12.1-8.9-9.4-12.1-2.1</f>
        <v>19.299999999999997</v>
      </c>
      <c r="I292" s="260"/>
    </row>
    <row r="293" spans="1:9" ht="12.75" customHeight="1" x14ac:dyDescent="0.2">
      <c r="A293" s="56">
        <v>284</v>
      </c>
      <c r="B293" s="64"/>
      <c r="C293" s="274" t="s">
        <v>707</v>
      </c>
      <c r="D293" s="228"/>
      <c r="E293" s="272"/>
      <c r="F293" s="238" t="s">
        <v>255</v>
      </c>
      <c r="G293" s="238"/>
      <c r="H293" s="215">
        <f>7.3-1.7+3.1-3.1</f>
        <v>5.6</v>
      </c>
      <c r="I293" s="260"/>
    </row>
    <row r="294" spans="1:9" ht="12.75" customHeight="1" x14ac:dyDescent="0.2">
      <c r="A294" s="56">
        <v>285</v>
      </c>
      <c r="B294" s="64"/>
      <c r="C294" s="274" t="s">
        <v>405</v>
      </c>
      <c r="D294" s="228"/>
      <c r="E294" s="272"/>
      <c r="F294" s="238" t="s">
        <v>97</v>
      </c>
      <c r="G294" s="238"/>
      <c r="H294" s="300">
        <v>7.2</v>
      </c>
      <c r="I294" s="301"/>
    </row>
    <row r="295" spans="1:9" ht="12.75" customHeight="1" x14ac:dyDescent="0.2">
      <c r="A295" s="56">
        <v>286</v>
      </c>
      <c r="B295" s="64" t="s">
        <v>3557</v>
      </c>
      <c r="C295" s="274" t="s">
        <v>4413</v>
      </c>
      <c r="D295" s="228"/>
      <c r="E295" s="272"/>
      <c r="F295" s="238" t="s">
        <v>14</v>
      </c>
      <c r="G295" s="238"/>
      <c r="H295" s="215">
        <v>6.5</v>
      </c>
      <c r="I295" s="260"/>
    </row>
    <row r="296" spans="1:9" ht="12.75" customHeight="1" x14ac:dyDescent="0.2">
      <c r="A296" s="56">
        <v>287</v>
      </c>
      <c r="B296" s="64"/>
      <c r="C296" s="274" t="s">
        <v>5232</v>
      </c>
      <c r="D296" s="228"/>
      <c r="E296" s="272"/>
      <c r="F296" s="238" t="s">
        <v>255</v>
      </c>
      <c r="G296" s="238"/>
      <c r="H296" s="215">
        <f>12.2+2.5</f>
        <v>14.7</v>
      </c>
      <c r="I296" s="260"/>
    </row>
    <row r="297" spans="1:9" ht="12.75" customHeight="1" x14ac:dyDescent="0.2">
      <c r="A297" s="56">
        <v>288</v>
      </c>
      <c r="B297" s="64"/>
      <c r="C297" s="274" t="s">
        <v>1266</v>
      </c>
      <c r="D297" s="228"/>
      <c r="E297" s="272"/>
      <c r="F297" s="238" t="s">
        <v>255</v>
      </c>
      <c r="G297" s="238"/>
      <c r="H297" s="215">
        <f>69.3+7.8+7.2-5.1-7.8</f>
        <v>71.400000000000006</v>
      </c>
      <c r="I297" s="260"/>
    </row>
    <row r="298" spans="1:9" ht="12.75" customHeight="1" x14ac:dyDescent="0.2">
      <c r="A298" s="56">
        <v>289</v>
      </c>
      <c r="B298" s="64"/>
      <c r="C298" s="274" t="s">
        <v>406</v>
      </c>
      <c r="D298" s="228"/>
      <c r="E298" s="272"/>
      <c r="F298" s="238" t="s">
        <v>255</v>
      </c>
      <c r="G298" s="238"/>
      <c r="H298" s="215">
        <v>5</v>
      </c>
      <c r="I298" s="260"/>
    </row>
    <row r="299" spans="1:9" ht="12.75" customHeight="1" x14ac:dyDescent="0.2">
      <c r="A299" s="56">
        <v>290</v>
      </c>
      <c r="B299" s="64"/>
      <c r="C299" s="275" t="s">
        <v>1371</v>
      </c>
      <c r="D299" s="232"/>
      <c r="E299" s="276"/>
      <c r="F299" s="238" t="s">
        <v>95</v>
      </c>
      <c r="G299" s="238"/>
      <c r="H299" s="215">
        <f>41.8-19.9</f>
        <v>21.9</v>
      </c>
      <c r="I299" s="260"/>
    </row>
    <row r="300" spans="1:9" ht="12.75" customHeight="1" x14ac:dyDescent="0.2">
      <c r="A300" s="56">
        <v>291</v>
      </c>
      <c r="B300" s="64"/>
      <c r="C300" s="275" t="s">
        <v>394</v>
      </c>
      <c r="D300" s="232"/>
      <c r="E300" s="276"/>
      <c r="F300" s="238" t="s">
        <v>95</v>
      </c>
      <c r="G300" s="238"/>
      <c r="H300" s="215">
        <v>46</v>
      </c>
      <c r="I300" s="260"/>
    </row>
    <row r="301" spans="1:9" ht="12.75" customHeight="1" x14ac:dyDescent="0.2">
      <c r="A301" s="56">
        <v>292</v>
      </c>
      <c r="B301" s="64" t="s">
        <v>2225</v>
      </c>
      <c r="C301" s="275" t="s">
        <v>2848</v>
      </c>
      <c r="D301" s="232"/>
      <c r="E301" s="276"/>
      <c r="F301" s="238" t="s">
        <v>95</v>
      </c>
      <c r="G301" s="238"/>
      <c r="H301" s="215">
        <f>48.4-32+29</f>
        <v>45.4</v>
      </c>
      <c r="I301" s="260"/>
    </row>
    <row r="302" spans="1:9" ht="12.75" customHeight="1" x14ac:dyDescent="0.2">
      <c r="A302" s="56">
        <v>293</v>
      </c>
      <c r="B302" s="64"/>
      <c r="C302" s="275" t="s">
        <v>5233</v>
      </c>
      <c r="D302" s="232"/>
      <c r="E302" s="276"/>
      <c r="F302" s="238" t="s">
        <v>95</v>
      </c>
      <c r="G302" s="238"/>
      <c r="H302" s="215">
        <v>4.0999999999999996</v>
      </c>
      <c r="I302" s="260"/>
    </row>
    <row r="303" spans="1:9" ht="12.75" customHeight="1" x14ac:dyDescent="0.2">
      <c r="A303" s="56">
        <v>294</v>
      </c>
      <c r="B303" s="64"/>
      <c r="C303" s="274" t="s">
        <v>4411</v>
      </c>
      <c r="D303" s="228"/>
      <c r="E303" s="272"/>
      <c r="F303" s="238" t="s">
        <v>39</v>
      </c>
      <c r="G303" s="238"/>
      <c r="H303" s="215">
        <v>9.3000000000000007</v>
      </c>
      <c r="I303" s="260"/>
    </row>
    <row r="304" spans="1:9" ht="12.75" customHeight="1" x14ac:dyDescent="0.2">
      <c r="A304" s="56">
        <v>295</v>
      </c>
      <c r="B304" s="64"/>
      <c r="C304" s="274" t="s">
        <v>4372</v>
      </c>
      <c r="D304" s="228"/>
      <c r="E304" s="272"/>
      <c r="F304" s="238" t="s">
        <v>14</v>
      </c>
      <c r="G304" s="238"/>
      <c r="H304" s="263">
        <f>12.2+12.6-12.2</f>
        <v>12.599999999999998</v>
      </c>
      <c r="I304" s="215"/>
    </row>
    <row r="305" spans="1:9" ht="12.75" customHeight="1" x14ac:dyDescent="0.2">
      <c r="A305" s="56">
        <v>296</v>
      </c>
      <c r="B305" s="64"/>
      <c r="C305" s="274" t="s">
        <v>324</v>
      </c>
      <c r="D305" s="228"/>
      <c r="E305" s="272"/>
      <c r="F305" s="238" t="s">
        <v>14</v>
      </c>
      <c r="G305" s="238"/>
      <c r="H305" s="263">
        <v>9.6999999999999993</v>
      </c>
      <c r="I305" s="215"/>
    </row>
    <row r="306" spans="1:9" ht="12.75" customHeight="1" x14ac:dyDescent="0.2">
      <c r="A306" s="56">
        <v>297</v>
      </c>
      <c r="B306" s="64"/>
      <c r="C306" s="274" t="s">
        <v>4412</v>
      </c>
      <c r="D306" s="228"/>
      <c r="E306" s="272"/>
      <c r="F306" s="238" t="s">
        <v>39</v>
      </c>
      <c r="G306" s="238"/>
      <c r="H306" s="215">
        <v>12.9</v>
      </c>
      <c r="I306" s="260"/>
    </row>
    <row r="307" spans="1:9" ht="12.75" customHeight="1" x14ac:dyDescent="0.2">
      <c r="A307" s="56">
        <v>298</v>
      </c>
      <c r="B307" s="64" t="s">
        <v>2225</v>
      </c>
      <c r="C307" s="275" t="s">
        <v>3976</v>
      </c>
      <c r="D307" s="232"/>
      <c r="E307" s="276"/>
      <c r="F307" s="238" t="s">
        <v>95</v>
      </c>
      <c r="G307" s="238"/>
      <c r="H307" s="215">
        <v>22.3</v>
      </c>
      <c r="I307" s="260"/>
    </row>
    <row r="308" spans="1:9" ht="12.75" customHeight="1" x14ac:dyDescent="0.2">
      <c r="A308" s="56">
        <v>299</v>
      </c>
      <c r="B308" s="64"/>
      <c r="C308" s="275" t="s">
        <v>2362</v>
      </c>
      <c r="D308" s="232"/>
      <c r="E308" s="276"/>
      <c r="F308" s="238" t="s">
        <v>95</v>
      </c>
      <c r="G308" s="238"/>
      <c r="H308" s="215">
        <f>17.2+13.7</f>
        <v>30.9</v>
      </c>
      <c r="I308" s="260"/>
    </row>
    <row r="309" spans="1:9" x14ac:dyDescent="0.2">
      <c r="A309" s="56">
        <v>300</v>
      </c>
      <c r="B309" s="64"/>
      <c r="C309" s="117" t="s">
        <v>2361</v>
      </c>
      <c r="D309" s="118"/>
      <c r="E309" s="119"/>
      <c r="F309" s="124" t="s">
        <v>14</v>
      </c>
      <c r="G309" s="124"/>
      <c r="H309" s="123">
        <v>63</v>
      </c>
      <c r="I309" s="115"/>
    </row>
    <row r="310" spans="1:9" ht="26.45" customHeight="1" x14ac:dyDescent="0.2">
      <c r="A310" s="56">
        <v>301</v>
      </c>
      <c r="B310" s="64"/>
      <c r="C310" s="117" t="s">
        <v>2107</v>
      </c>
      <c r="D310" s="118"/>
      <c r="E310" s="119"/>
      <c r="F310" s="124" t="s">
        <v>14</v>
      </c>
      <c r="G310" s="124"/>
      <c r="H310" s="123">
        <f>14.5-6.7+13+14.8+12.7+11.2+14.8+25</f>
        <v>99.3</v>
      </c>
      <c r="I310" s="115"/>
    </row>
    <row r="311" spans="1:9" ht="12.75" customHeight="1" x14ac:dyDescent="0.2">
      <c r="A311" s="56">
        <v>302</v>
      </c>
      <c r="B311" s="64" t="s">
        <v>3559</v>
      </c>
      <c r="C311" s="274" t="s">
        <v>4074</v>
      </c>
      <c r="D311" s="228"/>
      <c r="E311" s="272"/>
      <c r="F311" s="124" t="s">
        <v>14</v>
      </c>
      <c r="G311" s="124"/>
      <c r="H311" s="215">
        <v>6</v>
      </c>
      <c r="I311" s="260"/>
    </row>
    <row r="312" spans="1:9" ht="12.75" customHeight="1" x14ac:dyDescent="0.2">
      <c r="A312" s="56">
        <v>303</v>
      </c>
      <c r="B312" s="64"/>
      <c r="C312" s="275" t="s">
        <v>308</v>
      </c>
      <c r="D312" s="232"/>
      <c r="E312" s="276"/>
      <c r="F312" s="238" t="s">
        <v>21</v>
      </c>
      <c r="G312" s="238"/>
      <c r="H312" s="263">
        <f>20.7-7</f>
        <v>13.7</v>
      </c>
      <c r="I312" s="215"/>
    </row>
    <row r="313" spans="1:9" ht="12.75" customHeight="1" x14ac:dyDescent="0.2">
      <c r="A313" s="56">
        <v>304</v>
      </c>
      <c r="B313" s="64"/>
      <c r="C313" s="275" t="s">
        <v>550</v>
      </c>
      <c r="D313" s="232"/>
      <c r="E313" s="276"/>
      <c r="F313" s="238" t="s">
        <v>97</v>
      </c>
      <c r="G313" s="238"/>
      <c r="H313" s="263">
        <f>9.7+6.2-9.7</f>
        <v>6.1999999999999993</v>
      </c>
      <c r="I313" s="215"/>
    </row>
    <row r="314" spans="1:9" ht="12.75" customHeight="1" x14ac:dyDescent="0.2">
      <c r="A314" s="56">
        <v>305</v>
      </c>
      <c r="B314" s="64"/>
      <c r="C314" s="274" t="s">
        <v>1052</v>
      </c>
      <c r="D314" s="228"/>
      <c r="E314" s="272"/>
      <c r="F314" s="238" t="s">
        <v>14</v>
      </c>
      <c r="G314" s="238"/>
      <c r="H314" s="263">
        <v>14.7</v>
      </c>
      <c r="I314" s="215"/>
    </row>
    <row r="315" spans="1:9" x14ac:dyDescent="0.2">
      <c r="A315" s="56">
        <v>306</v>
      </c>
      <c r="B315" s="64"/>
      <c r="C315" s="117" t="s">
        <v>1326</v>
      </c>
      <c r="D315" s="118"/>
      <c r="E315" s="119"/>
      <c r="F315" s="124" t="s">
        <v>14</v>
      </c>
      <c r="G315" s="124"/>
      <c r="H315" s="115">
        <v>77</v>
      </c>
      <c r="I315" s="154"/>
    </row>
    <row r="316" spans="1:9" ht="12.75" customHeight="1" x14ac:dyDescent="0.2">
      <c r="A316" s="56">
        <v>307</v>
      </c>
      <c r="B316" s="64"/>
      <c r="C316" s="274" t="s">
        <v>1233</v>
      </c>
      <c r="D316" s="228"/>
      <c r="E316" s="272"/>
      <c r="F316" s="238" t="s">
        <v>14</v>
      </c>
      <c r="G316" s="238"/>
      <c r="H316" s="263">
        <v>2.6</v>
      </c>
      <c r="I316" s="215"/>
    </row>
    <row r="317" spans="1:9" ht="12.75" customHeight="1" x14ac:dyDescent="0.2">
      <c r="A317" s="56">
        <v>308</v>
      </c>
      <c r="B317" s="64"/>
      <c r="C317" s="274" t="s">
        <v>1153</v>
      </c>
      <c r="D317" s="228"/>
      <c r="E317" s="272"/>
      <c r="F317" s="238" t="s">
        <v>67</v>
      </c>
      <c r="G317" s="238"/>
      <c r="H317" s="215">
        <f>15.4+7.6-7.6</f>
        <v>15.4</v>
      </c>
      <c r="I317" s="260"/>
    </row>
    <row r="318" spans="1:9" ht="24.75" customHeight="1" x14ac:dyDescent="0.2">
      <c r="A318" s="56">
        <v>309</v>
      </c>
      <c r="B318" s="64"/>
      <c r="C318" s="280" t="s">
        <v>1844</v>
      </c>
      <c r="D318" s="281"/>
      <c r="E318" s="282"/>
      <c r="F318" s="293" t="s">
        <v>255</v>
      </c>
      <c r="G318" s="293"/>
      <c r="H318" s="295">
        <f>98.8+11.9+7.6+5.9+28.6-6-5.9-3.5</f>
        <v>137.4</v>
      </c>
      <c r="I318" s="302"/>
    </row>
    <row r="319" spans="1:9" ht="12.75" customHeight="1" x14ac:dyDescent="0.2">
      <c r="A319" s="56">
        <v>310</v>
      </c>
      <c r="B319" s="64"/>
      <c r="C319" s="274" t="s">
        <v>650</v>
      </c>
      <c r="D319" s="228"/>
      <c r="E319" s="272"/>
      <c r="F319" s="238" t="s">
        <v>95</v>
      </c>
      <c r="G319" s="238"/>
      <c r="H319" s="215"/>
      <c r="I319" s="260"/>
    </row>
    <row r="320" spans="1:9" ht="12.75" customHeight="1" x14ac:dyDescent="0.2">
      <c r="A320" s="56">
        <v>311</v>
      </c>
      <c r="B320" s="64"/>
      <c r="C320" s="274" t="s">
        <v>3573</v>
      </c>
      <c r="D320" s="228"/>
      <c r="E320" s="272"/>
      <c r="F320" s="238" t="s">
        <v>95</v>
      </c>
      <c r="G320" s="238"/>
      <c r="H320" s="263">
        <f>48-11.2</f>
        <v>36.799999999999997</v>
      </c>
      <c r="I320" s="215"/>
    </row>
    <row r="321" spans="1:9" ht="12.75" customHeight="1" x14ac:dyDescent="0.2">
      <c r="A321" s="56">
        <v>312</v>
      </c>
      <c r="B321" s="64"/>
      <c r="C321" s="274" t="s">
        <v>3571</v>
      </c>
      <c r="D321" s="228"/>
      <c r="E321" s="272"/>
      <c r="F321" s="238" t="s">
        <v>95</v>
      </c>
      <c r="G321" s="238"/>
      <c r="H321" s="263">
        <f>37.2-18.6</f>
        <v>18.600000000000001</v>
      </c>
      <c r="I321" s="215"/>
    </row>
    <row r="322" spans="1:9" ht="12.75" customHeight="1" x14ac:dyDescent="0.2">
      <c r="A322" s="56">
        <v>313</v>
      </c>
      <c r="B322" s="64" t="s">
        <v>3559</v>
      </c>
      <c r="C322" s="274" t="s">
        <v>4075</v>
      </c>
      <c r="D322" s="228"/>
      <c r="E322" s="272"/>
      <c r="F322" s="238" t="s">
        <v>21</v>
      </c>
      <c r="G322" s="238"/>
      <c r="H322" s="215">
        <v>21.1</v>
      </c>
      <c r="I322" s="260"/>
    </row>
    <row r="323" spans="1:9" ht="12.75" customHeight="1" x14ac:dyDescent="0.2">
      <c r="A323" s="56">
        <v>314</v>
      </c>
      <c r="B323" s="64"/>
      <c r="C323" s="274" t="s">
        <v>4161</v>
      </c>
      <c r="D323" s="228"/>
      <c r="E323" s="272"/>
      <c r="F323" s="238" t="s">
        <v>39</v>
      </c>
      <c r="G323" s="238"/>
      <c r="H323" s="215">
        <f>22.4+11.6-11.6+7.8-9.4-7.8</f>
        <v>12.999999999999996</v>
      </c>
      <c r="I323" s="260"/>
    </row>
    <row r="324" spans="1:9" ht="12.75" customHeight="1" x14ac:dyDescent="0.2">
      <c r="A324" s="56">
        <v>315</v>
      </c>
      <c r="B324" s="64"/>
      <c r="C324" s="274" t="s">
        <v>2108</v>
      </c>
      <c r="D324" s="228"/>
      <c r="E324" s="272"/>
      <c r="F324" s="238" t="s">
        <v>39</v>
      </c>
      <c r="G324" s="238"/>
      <c r="H324" s="215">
        <f>26.2+12</f>
        <v>38.200000000000003</v>
      </c>
      <c r="I324" s="260"/>
    </row>
    <row r="325" spans="1:9" ht="12.75" customHeight="1" x14ac:dyDescent="0.2">
      <c r="A325" s="56">
        <v>316</v>
      </c>
      <c r="B325" s="64"/>
      <c r="C325" s="274" t="s">
        <v>2421</v>
      </c>
      <c r="D325" s="228"/>
      <c r="E325" s="272"/>
      <c r="F325" s="238" t="s">
        <v>28</v>
      </c>
      <c r="G325" s="238"/>
      <c r="H325" s="300">
        <f>1.9+1.6-1.6</f>
        <v>1.9</v>
      </c>
      <c r="I325" s="301"/>
    </row>
    <row r="326" spans="1:9" ht="13.5" customHeight="1" x14ac:dyDescent="0.2">
      <c r="A326" s="56">
        <v>317</v>
      </c>
      <c r="B326" s="64"/>
      <c r="C326" s="274" t="s">
        <v>944</v>
      </c>
      <c r="D326" s="228"/>
      <c r="E326" s="272"/>
      <c r="F326" s="238" t="s">
        <v>143</v>
      </c>
      <c r="G326" s="238"/>
      <c r="H326" s="215">
        <f>16.9+20.3</f>
        <v>37.200000000000003</v>
      </c>
      <c r="I326" s="260"/>
    </row>
    <row r="327" spans="1:9" ht="12.75" customHeight="1" x14ac:dyDescent="0.2">
      <c r="A327" s="56">
        <v>318</v>
      </c>
      <c r="B327" s="64"/>
      <c r="C327" s="274" t="s">
        <v>961</v>
      </c>
      <c r="D327" s="228"/>
      <c r="E327" s="272"/>
      <c r="F327" s="238" t="s">
        <v>7</v>
      </c>
      <c r="G327" s="238"/>
      <c r="H327" s="215">
        <v>23.5</v>
      </c>
      <c r="I327" s="260"/>
    </row>
    <row r="328" spans="1:9" ht="12.75" customHeight="1" x14ac:dyDescent="0.2">
      <c r="A328" s="56">
        <v>319</v>
      </c>
      <c r="B328" s="64" t="s">
        <v>3559</v>
      </c>
      <c r="C328" s="274" t="s">
        <v>4076</v>
      </c>
      <c r="D328" s="228"/>
      <c r="E328" s="272"/>
      <c r="F328" s="238" t="s">
        <v>39</v>
      </c>
      <c r="G328" s="238"/>
      <c r="H328" s="215">
        <v>6.6</v>
      </c>
      <c r="I328" s="260"/>
    </row>
    <row r="329" spans="1:9" ht="12.75" customHeight="1" x14ac:dyDescent="0.2">
      <c r="A329" s="56">
        <v>320</v>
      </c>
      <c r="B329" s="64"/>
      <c r="C329" s="275" t="s">
        <v>187</v>
      </c>
      <c r="D329" s="232"/>
      <c r="E329" s="276"/>
      <c r="F329" s="238" t="s">
        <v>8</v>
      </c>
      <c r="G329" s="238"/>
      <c r="H329" s="263">
        <v>8.8000000000000007</v>
      </c>
      <c r="I329" s="215"/>
    </row>
    <row r="330" spans="1:9" ht="12.75" customHeight="1" x14ac:dyDescent="0.2">
      <c r="A330" s="56">
        <v>321</v>
      </c>
      <c r="B330" s="64"/>
      <c r="C330" s="274" t="s">
        <v>2625</v>
      </c>
      <c r="D330" s="228"/>
      <c r="E330" s="272"/>
      <c r="F330" s="238" t="s">
        <v>168</v>
      </c>
      <c r="G330" s="238"/>
      <c r="H330" s="215">
        <v>25.9</v>
      </c>
      <c r="I330" s="260"/>
    </row>
    <row r="331" spans="1:9" ht="12.75" customHeight="1" x14ac:dyDescent="0.2">
      <c r="A331" s="56">
        <v>322</v>
      </c>
      <c r="B331" s="64"/>
      <c r="C331" s="274" t="s">
        <v>763</v>
      </c>
      <c r="D331" s="228"/>
      <c r="E331" s="272"/>
      <c r="F331" s="238" t="s">
        <v>7</v>
      </c>
      <c r="G331" s="238"/>
      <c r="H331" s="215">
        <v>1.8</v>
      </c>
      <c r="I331" s="260"/>
    </row>
    <row r="332" spans="1:9" ht="12.75" customHeight="1" x14ac:dyDescent="0.2">
      <c r="A332" s="56">
        <v>323</v>
      </c>
      <c r="B332" s="64"/>
      <c r="C332" s="274" t="s">
        <v>705</v>
      </c>
      <c r="D332" s="228"/>
      <c r="E332" s="272"/>
      <c r="F332" s="238" t="s">
        <v>97</v>
      </c>
      <c r="G332" s="238"/>
      <c r="H332" s="263">
        <f>5.4+32+32.7</f>
        <v>70.099999999999994</v>
      </c>
      <c r="I332" s="215"/>
    </row>
    <row r="333" spans="1:9" ht="12.75" customHeight="1" x14ac:dyDescent="0.2">
      <c r="A333" s="56">
        <v>324</v>
      </c>
      <c r="B333" s="64"/>
      <c r="C333" s="274" t="s">
        <v>1446</v>
      </c>
      <c r="D333" s="228"/>
      <c r="E333" s="272"/>
      <c r="F333" s="238" t="s">
        <v>67</v>
      </c>
      <c r="G333" s="238"/>
      <c r="H333" s="215">
        <f>43.3+10+9+13-7-13.3+12.4-3.7+3.2-5.3-14.3+5.3-10-3.2</f>
        <v>39.400000000000006</v>
      </c>
      <c r="I333" s="260"/>
    </row>
    <row r="334" spans="1:9" ht="12.75" customHeight="1" x14ac:dyDescent="0.2">
      <c r="A334" s="56">
        <v>325</v>
      </c>
      <c r="B334" s="64"/>
      <c r="C334" s="274" t="s">
        <v>542</v>
      </c>
      <c r="D334" s="228"/>
      <c r="E334" s="272"/>
      <c r="F334" s="238" t="s">
        <v>67</v>
      </c>
      <c r="G334" s="238"/>
      <c r="H334" s="215">
        <f>29.4+7-7+31.5+26.7</f>
        <v>87.6</v>
      </c>
      <c r="I334" s="260"/>
    </row>
    <row r="335" spans="1:9" ht="12.75" customHeight="1" x14ac:dyDescent="0.2">
      <c r="A335" s="56">
        <v>326</v>
      </c>
      <c r="B335" s="64"/>
      <c r="C335" s="274" t="s">
        <v>98</v>
      </c>
      <c r="D335" s="228"/>
      <c r="E335" s="272"/>
      <c r="F335" s="238" t="s">
        <v>52</v>
      </c>
      <c r="G335" s="238"/>
      <c r="H335" s="263">
        <v>17.899999999999999</v>
      </c>
      <c r="I335" s="215"/>
    </row>
    <row r="336" spans="1:9" ht="12.75" customHeight="1" x14ac:dyDescent="0.2">
      <c r="A336" s="56">
        <v>327</v>
      </c>
      <c r="B336" s="64"/>
      <c r="C336" s="274" t="s">
        <v>116</v>
      </c>
      <c r="D336" s="228"/>
      <c r="E336" s="272"/>
      <c r="F336" s="238" t="s">
        <v>52</v>
      </c>
      <c r="G336" s="238"/>
      <c r="H336" s="263">
        <v>9.1999999999999993</v>
      </c>
      <c r="I336" s="215"/>
    </row>
    <row r="337" spans="1:9" ht="15.75" customHeight="1" x14ac:dyDescent="0.2">
      <c r="A337" s="56">
        <v>328</v>
      </c>
      <c r="B337" s="64"/>
      <c r="C337" s="274" t="s">
        <v>905</v>
      </c>
      <c r="D337" s="228"/>
      <c r="E337" s="272"/>
      <c r="F337" s="238" t="s">
        <v>14</v>
      </c>
      <c r="G337" s="238"/>
      <c r="H337" s="215">
        <v>34.799999999999997</v>
      </c>
      <c r="I337" s="260"/>
    </row>
    <row r="338" spans="1:9" ht="12.75" customHeight="1" x14ac:dyDescent="0.2">
      <c r="A338" s="56">
        <v>329</v>
      </c>
      <c r="B338" s="64"/>
      <c r="C338" s="274" t="s">
        <v>814</v>
      </c>
      <c r="D338" s="228"/>
      <c r="E338" s="272"/>
      <c r="F338" s="238" t="s">
        <v>14</v>
      </c>
      <c r="G338" s="238"/>
      <c r="H338" s="215">
        <v>2.1</v>
      </c>
      <c r="I338" s="260"/>
    </row>
    <row r="339" spans="1:9" ht="12.75" customHeight="1" x14ac:dyDescent="0.2">
      <c r="A339" s="56">
        <v>330</v>
      </c>
      <c r="B339" s="64"/>
      <c r="C339" s="274" t="s">
        <v>3077</v>
      </c>
      <c r="D339" s="228"/>
      <c r="E339" s="272"/>
      <c r="F339" s="238" t="s">
        <v>28</v>
      </c>
      <c r="G339" s="238"/>
      <c r="H339" s="263">
        <f>25.2+6.5+2.3-6.5</f>
        <v>27.5</v>
      </c>
      <c r="I339" s="215"/>
    </row>
    <row r="340" spans="1:9" x14ac:dyDescent="0.2">
      <c r="A340" s="56">
        <v>331</v>
      </c>
      <c r="B340" s="64"/>
      <c r="C340" s="117" t="s">
        <v>3078</v>
      </c>
      <c r="D340" s="118"/>
      <c r="E340" s="119"/>
      <c r="F340" s="124" t="s">
        <v>28</v>
      </c>
      <c r="G340" s="124"/>
      <c r="H340" s="123">
        <f>33.4+80.4+27.7+31.8-24.4-15.6-26-27.7</f>
        <v>79.600000000000009</v>
      </c>
      <c r="I340" s="115"/>
    </row>
    <row r="341" spans="1:9" ht="12.75" customHeight="1" x14ac:dyDescent="0.2">
      <c r="A341" s="56">
        <v>332</v>
      </c>
      <c r="B341" s="64"/>
      <c r="C341" s="274" t="s">
        <v>3079</v>
      </c>
      <c r="D341" s="228"/>
      <c r="E341" s="272"/>
      <c r="F341" s="124" t="s">
        <v>28</v>
      </c>
      <c r="G341" s="124"/>
      <c r="H341" s="215">
        <v>1.7</v>
      </c>
      <c r="I341" s="260"/>
    </row>
    <row r="342" spans="1:9" ht="24.75" customHeight="1" x14ac:dyDescent="0.2">
      <c r="A342" s="56">
        <v>333</v>
      </c>
      <c r="B342" s="64"/>
      <c r="C342" s="117" t="s">
        <v>326</v>
      </c>
      <c r="D342" s="118"/>
      <c r="E342" s="119"/>
      <c r="F342" s="293" t="s">
        <v>39</v>
      </c>
      <c r="G342" s="293"/>
      <c r="H342" s="294">
        <f>107.5+9.7+14.3+13.9+16.8</f>
        <v>162.20000000000002</v>
      </c>
      <c r="I342" s="295"/>
    </row>
    <row r="343" spans="1:9" ht="12.75" customHeight="1" x14ac:dyDescent="0.2">
      <c r="A343" s="56">
        <v>334</v>
      </c>
      <c r="B343" s="64"/>
      <c r="C343" s="274" t="s">
        <v>2110</v>
      </c>
      <c r="D343" s="228"/>
      <c r="E343" s="272"/>
      <c r="F343" s="238" t="s">
        <v>39</v>
      </c>
      <c r="G343" s="238"/>
      <c r="H343" s="215">
        <f>14.3+13.4+14.4+14</f>
        <v>56.1</v>
      </c>
      <c r="I343" s="260"/>
    </row>
    <row r="344" spans="1:9" ht="12.75" customHeight="1" x14ac:dyDescent="0.2">
      <c r="A344" s="56">
        <v>335</v>
      </c>
      <c r="B344" s="64"/>
      <c r="C344" s="117" t="s">
        <v>2109</v>
      </c>
      <c r="D344" s="118"/>
      <c r="E344" s="119"/>
      <c r="F344" s="293" t="s">
        <v>39</v>
      </c>
      <c r="G344" s="293"/>
      <c r="H344" s="294">
        <v>4.3</v>
      </c>
      <c r="I344" s="295"/>
    </row>
    <row r="345" spans="1:9" ht="12.75" customHeight="1" x14ac:dyDescent="0.2">
      <c r="A345" s="56">
        <v>336</v>
      </c>
      <c r="B345" s="64"/>
      <c r="C345" s="274" t="s">
        <v>1801</v>
      </c>
      <c r="D345" s="228"/>
      <c r="E345" s="272"/>
      <c r="F345" s="238" t="s">
        <v>95</v>
      </c>
      <c r="G345" s="238"/>
      <c r="H345" s="271">
        <v>63.2</v>
      </c>
      <c r="I345" s="265"/>
    </row>
    <row r="346" spans="1:9" ht="12.75" customHeight="1" x14ac:dyDescent="0.2">
      <c r="A346" s="56">
        <v>337</v>
      </c>
      <c r="B346" s="64"/>
      <c r="C346" s="274" t="s">
        <v>2144</v>
      </c>
      <c r="D346" s="228"/>
      <c r="E346" s="272"/>
      <c r="F346" s="238" t="s">
        <v>21</v>
      </c>
      <c r="G346" s="238"/>
      <c r="H346" s="271">
        <v>17</v>
      </c>
      <c r="I346" s="265"/>
    </row>
    <row r="347" spans="1:9" ht="12.75" customHeight="1" x14ac:dyDescent="0.2">
      <c r="A347" s="56">
        <v>338</v>
      </c>
      <c r="B347" s="64"/>
      <c r="C347" s="274" t="s">
        <v>1325</v>
      </c>
      <c r="D347" s="228"/>
      <c r="E347" s="272"/>
      <c r="F347" s="238" t="s">
        <v>129</v>
      </c>
      <c r="G347" s="238"/>
      <c r="H347" s="263">
        <v>3</v>
      </c>
      <c r="I347" s="215"/>
    </row>
    <row r="348" spans="1:9" ht="12.75" customHeight="1" x14ac:dyDescent="0.2">
      <c r="A348" s="56">
        <v>339</v>
      </c>
      <c r="B348" s="64"/>
      <c r="C348" s="274" t="s">
        <v>118</v>
      </c>
      <c r="D348" s="228"/>
      <c r="E348" s="272"/>
      <c r="F348" s="238" t="s">
        <v>67</v>
      </c>
      <c r="G348" s="238"/>
      <c r="H348" s="215">
        <v>2.2999999999999998</v>
      </c>
      <c r="I348" s="260"/>
    </row>
    <row r="349" spans="1:9" ht="12.75" customHeight="1" x14ac:dyDescent="0.2">
      <c r="A349" s="56">
        <v>340</v>
      </c>
      <c r="B349" s="64"/>
      <c r="C349" s="275" t="s">
        <v>252</v>
      </c>
      <c r="D349" s="232"/>
      <c r="E349" s="276"/>
      <c r="F349" s="238" t="s">
        <v>97</v>
      </c>
      <c r="G349" s="238"/>
      <c r="H349" s="263">
        <v>21.7</v>
      </c>
      <c r="I349" s="215"/>
    </row>
    <row r="350" spans="1:9" ht="12.75" customHeight="1" x14ac:dyDescent="0.2">
      <c r="A350" s="56">
        <v>341</v>
      </c>
      <c r="B350" s="64"/>
      <c r="C350" s="274" t="s">
        <v>1138</v>
      </c>
      <c r="D350" s="228"/>
      <c r="E350" s="272"/>
      <c r="F350" s="238" t="s">
        <v>95</v>
      </c>
      <c r="G350" s="238"/>
      <c r="H350" s="271">
        <v>2.2999999999999998</v>
      </c>
      <c r="I350" s="265"/>
    </row>
    <row r="351" spans="1:9" ht="12.75" customHeight="1" x14ac:dyDescent="0.2">
      <c r="A351" s="56">
        <v>342</v>
      </c>
      <c r="B351" s="64"/>
      <c r="C351" s="274" t="s">
        <v>423</v>
      </c>
      <c r="D351" s="228"/>
      <c r="E351" s="272"/>
      <c r="F351" s="238" t="s">
        <v>7</v>
      </c>
      <c r="G351" s="238"/>
      <c r="H351" s="215">
        <v>7.2</v>
      </c>
      <c r="I351" s="260"/>
    </row>
    <row r="352" spans="1:9" ht="12.75" customHeight="1" x14ac:dyDescent="0.2">
      <c r="A352" s="56">
        <v>343</v>
      </c>
      <c r="B352" s="64"/>
      <c r="C352" s="274" t="s">
        <v>1961</v>
      </c>
      <c r="D352" s="228"/>
      <c r="E352" s="272"/>
      <c r="F352" s="238" t="s">
        <v>67</v>
      </c>
      <c r="G352" s="238"/>
      <c r="H352" s="300">
        <v>27.7</v>
      </c>
      <c r="I352" s="301"/>
    </row>
    <row r="353" spans="1:9" ht="12.75" customHeight="1" x14ac:dyDescent="0.2">
      <c r="A353" s="56">
        <v>344</v>
      </c>
      <c r="B353" s="64"/>
      <c r="C353" s="274" t="s">
        <v>823</v>
      </c>
      <c r="D353" s="228"/>
      <c r="E353" s="272"/>
      <c r="F353" s="238" t="s">
        <v>67</v>
      </c>
      <c r="G353" s="238"/>
      <c r="H353" s="300">
        <f>11.3+2.7</f>
        <v>14</v>
      </c>
      <c r="I353" s="301"/>
    </row>
    <row r="354" spans="1:9" ht="12.75" customHeight="1" x14ac:dyDescent="0.2">
      <c r="A354" s="56">
        <v>345</v>
      </c>
      <c r="B354" s="64"/>
      <c r="C354" s="275" t="s">
        <v>541</v>
      </c>
      <c r="D354" s="232"/>
      <c r="E354" s="276"/>
      <c r="F354" s="238" t="s">
        <v>97</v>
      </c>
      <c r="G354" s="238"/>
      <c r="H354" s="263">
        <f>19.5+19.4</f>
        <v>38.9</v>
      </c>
      <c r="I354" s="215"/>
    </row>
    <row r="355" spans="1:9" ht="27" customHeight="1" x14ac:dyDescent="0.2">
      <c r="A355" s="56">
        <v>346</v>
      </c>
      <c r="B355" s="64"/>
      <c r="C355" s="128" t="s">
        <v>1320</v>
      </c>
      <c r="D355" s="126"/>
      <c r="E355" s="127"/>
      <c r="F355" s="293" t="s">
        <v>255</v>
      </c>
      <c r="G355" s="293"/>
      <c r="H355" s="295">
        <f>27.2+6.9+3.3-3.3</f>
        <v>34.1</v>
      </c>
      <c r="I355" s="302"/>
    </row>
    <row r="356" spans="1:9" ht="12.75" customHeight="1" x14ac:dyDescent="0.2">
      <c r="A356" s="56">
        <v>347</v>
      </c>
      <c r="B356" s="64"/>
      <c r="C356" s="274" t="s">
        <v>2950</v>
      </c>
      <c r="D356" s="228"/>
      <c r="E356" s="272"/>
      <c r="F356" s="238" t="s">
        <v>14</v>
      </c>
      <c r="G356" s="238"/>
      <c r="H356" s="263">
        <f>18.4+39+25.7-18.4-25.7-16.5+47.2-15</f>
        <v>54.699999999999989</v>
      </c>
      <c r="I356" s="215"/>
    </row>
    <row r="357" spans="1:9" ht="12.75" customHeight="1" x14ac:dyDescent="0.2">
      <c r="A357" s="56">
        <v>348</v>
      </c>
      <c r="B357" s="64"/>
      <c r="C357" s="274" t="s">
        <v>1296</v>
      </c>
      <c r="D357" s="228"/>
      <c r="E357" s="272"/>
      <c r="F357" s="238" t="s">
        <v>39</v>
      </c>
      <c r="G357" s="238"/>
      <c r="H357" s="215">
        <f>29+7.2+13.9</f>
        <v>50.1</v>
      </c>
      <c r="I357" s="260"/>
    </row>
    <row r="358" spans="1:9" ht="12.75" customHeight="1" x14ac:dyDescent="0.2">
      <c r="A358" s="56">
        <v>349</v>
      </c>
      <c r="B358" s="64"/>
      <c r="C358" s="274" t="s">
        <v>302</v>
      </c>
      <c r="D358" s="228"/>
      <c r="E358" s="272"/>
      <c r="F358" s="238" t="s">
        <v>39</v>
      </c>
      <c r="G358" s="238"/>
      <c r="H358" s="215">
        <v>4.3</v>
      </c>
      <c r="I358" s="260"/>
    </row>
    <row r="359" spans="1:9" ht="12.75" customHeight="1" x14ac:dyDescent="0.2">
      <c r="A359" s="56">
        <v>350</v>
      </c>
      <c r="B359" s="64"/>
      <c r="C359" s="274" t="s">
        <v>347</v>
      </c>
      <c r="D359" s="228"/>
      <c r="E359" s="272"/>
      <c r="F359" s="238" t="s">
        <v>21</v>
      </c>
      <c r="G359" s="238"/>
      <c r="H359" s="271">
        <v>16</v>
      </c>
      <c r="I359" s="265"/>
    </row>
    <row r="360" spans="1:9" ht="12.75" customHeight="1" x14ac:dyDescent="0.2">
      <c r="A360" s="56">
        <v>351</v>
      </c>
      <c r="B360" s="64"/>
      <c r="C360" s="274" t="s">
        <v>127</v>
      </c>
      <c r="D360" s="228"/>
      <c r="E360" s="272"/>
      <c r="F360" s="238" t="s">
        <v>28</v>
      </c>
      <c r="G360" s="238"/>
      <c r="H360" s="300">
        <v>13.4</v>
      </c>
      <c r="I360" s="301"/>
    </row>
    <row r="361" spans="1:9" ht="12.75" customHeight="1" x14ac:dyDescent="0.2">
      <c r="A361" s="56">
        <v>352</v>
      </c>
      <c r="B361" s="64"/>
      <c r="C361" s="274" t="s">
        <v>138</v>
      </c>
      <c r="D361" s="228"/>
      <c r="E361" s="272"/>
      <c r="F361" s="238" t="s">
        <v>132</v>
      </c>
      <c r="G361" s="238"/>
      <c r="H361" s="215">
        <v>9.1999999999999993</v>
      </c>
      <c r="I361" s="260"/>
    </row>
    <row r="362" spans="1:9" ht="12.75" customHeight="1" x14ac:dyDescent="0.2">
      <c r="A362" s="56">
        <v>353</v>
      </c>
      <c r="B362" s="64"/>
      <c r="C362" s="274" t="s">
        <v>229</v>
      </c>
      <c r="D362" s="228"/>
      <c r="E362" s="272"/>
      <c r="F362" s="238" t="s">
        <v>67</v>
      </c>
      <c r="G362" s="238"/>
      <c r="H362" s="215"/>
      <c r="I362" s="260"/>
    </row>
    <row r="363" spans="1:9" ht="12.75" customHeight="1" x14ac:dyDescent="0.2">
      <c r="A363" s="56">
        <v>354</v>
      </c>
      <c r="B363" s="64"/>
      <c r="C363" s="274" t="s">
        <v>691</v>
      </c>
      <c r="D363" s="228"/>
      <c r="E363" s="272"/>
      <c r="F363" s="238" t="s">
        <v>39</v>
      </c>
      <c r="G363" s="238"/>
      <c r="H363" s="215">
        <f>14.5-9.7</f>
        <v>4.8000000000000007</v>
      </c>
      <c r="I363" s="260"/>
    </row>
    <row r="364" spans="1:9" ht="13.5" customHeight="1" x14ac:dyDescent="0.2">
      <c r="A364" s="56">
        <v>355</v>
      </c>
      <c r="B364" s="64"/>
      <c r="C364" s="274" t="s">
        <v>159</v>
      </c>
      <c r="D364" s="228"/>
      <c r="E364" s="272"/>
      <c r="F364" s="238" t="s">
        <v>129</v>
      </c>
      <c r="G364" s="238"/>
      <c r="H364" s="215">
        <v>11</v>
      </c>
      <c r="I364" s="260"/>
    </row>
    <row r="365" spans="1:9" ht="13.5" customHeight="1" x14ac:dyDescent="0.2">
      <c r="A365" s="56">
        <v>356</v>
      </c>
      <c r="B365" s="64"/>
      <c r="C365" s="274" t="s">
        <v>173</v>
      </c>
      <c r="D365" s="228"/>
      <c r="E365" s="272"/>
      <c r="F365" s="238" t="s">
        <v>7</v>
      </c>
      <c r="G365" s="238"/>
      <c r="H365" s="215">
        <v>3.8</v>
      </c>
      <c r="I365" s="260"/>
    </row>
    <row r="366" spans="1:9" ht="12.75" customHeight="1" x14ac:dyDescent="0.2">
      <c r="A366" s="56">
        <v>357</v>
      </c>
      <c r="B366" s="64"/>
      <c r="C366" s="274" t="s">
        <v>2006</v>
      </c>
      <c r="D366" s="228"/>
      <c r="E366" s="272"/>
      <c r="F366" s="238" t="s">
        <v>7</v>
      </c>
      <c r="G366" s="238"/>
      <c r="H366" s="215">
        <f>22.2+11.8</f>
        <v>34</v>
      </c>
      <c r="I366" s="260"/>
    </row>
    <row r="367" spans="1:9" ht="12.75" customHeight="1" x14ac:dyDescent="0.2">
      <c r="A367" s="56">
        <v>358</v>
      </c>
      <c r="B367" s="64"/>
      <c r="C367" s="274" t="s">
        <v>679</v>
      </c>
      <c r="D367" s="228"/>
      <c r="E367" s="272"/>
      <c r="F367" s="238" t="s">
        <v>7</v>
      </c>
      <c r="G367" s="238"/>
      <c r="H367" s="215">
        <v>8.9</v>
      </c>
      <c r="I367" s="260"/>
    </row>
    <row r="368" spans="1:9" ht="12.75" customHeight="1" x14ac:dyDescent="0.2">
      <c r="A368" s="56">
        <v>359</v>
      </c>
      <c r="B368" s="64"/>
      <c r="C368" s="274" t="s">
        <v>4162</v>
      </c>
      <c r="D368" s="228"/>
      <c r="E368" s="272"/>
      <c r="F368" s="238" t="s">
        <v>39</v>
      </c>
      <c r="G368" s="238"/>
      <c r="H368" s="215">
        <f>8.1+12.3+16.3-16.3+18.8-18.8+16.4+3.4-20.2-4.3</f>
        <v>15.699999999999996</v>
      </c>
      <c r="I368" s="260"/>
    </row>
    <row r="369" spans="1:9" ht="12.75" customHeight="1" x14ac:dyDescent="0.2">
      <c r="A369" s="56">
        <v>360</v>
      </c>
      <c r="B369" s="64"/>
      <c r="C369" s="274" t="s">
        <v>5043</v>
      </c>
      <c r="D369" s="228"/>
      <c r="E369" s="272"/>
      <c r="F369" s="238" t="s">
        <v>39</v>
      </c>
      <c r="G369" s="238"/>
      <c r="H369" s="271">
        <f>4.1+3.9-0.1</f>
        <v>7.9</v>
      </c>
      <c r="I369" s="265"/>
    </row>
    <row r="370" spans="1:9" ht="13.5" customHeight="1" x14ac:dyDescent="0.2">
      <c r="A370" s="56">
        <v>361</v>
      </c>
      <c r="B370" s="64" t="s">
        <v>3559</v>
      </c>
      <c r="C370" s="274" t="s">
        <v>4060</v>
      </c>
      <c r="D370" s="228"/>
      <c r="E370" s="272"/>
      <c r="F370" s="238" t="s">
        <v>67</v>
      </c>
      <c r="G370" s="238"/>
      <c r="H370" s="263">
        <v>26</v>
      </c>
      <c r="I370" s="215"/>
    </row>
    <row r="371" spans="1:9" ht="13.5" customHeight="1" x14ac:dyDescent="0.2">
      <c r="A371" s="56">
        <v>362</v>
      </c>
      <c r="B371" s="64"/>
      <c r="C371" s="274" t="s">
        <v>4240</v>
      </c>
      <c r="D371" s="228"/>
      <c r="E371" s="272"/>
      <c r="F371" s="238" t="s">
        <v>67</v>
      </c>
      <c r="G371" s="238"/>
      <c r="H371" s="263">
        <v>164.1</v>
      </c>
      <c r="I371" s="215"/>
    </row>
    <row r="372" spans="1:9" ht="12.75" customHeight="1" x14ac:dyDescent="0.2">
      <c r="A372" s="56">
        <v>363</v>
      </c>
      <c r="B372" s="64"/>
      <c r="C372" s="274" t="s">
        <v>1187</v>
      </c>
      <c r="D372" s="228"/>
      <c r="E372" s="272"/>
      <c r="F372" s="238" t="s">
        <v>67</v>
      </c>
      <c r="G372" s="238"/>
      <c r="H372" s="271">
        <v>6.1</v>
      </c>
      <c r="I372" s="265"/>
    </row>
    <row r="373" spans="1:9" ht="12.75" customHeight="1" x14ac:dyDescent="0.2">
      <c r="A373" s="56">
        <v>364</v>
      </c>
      <c r="B373" s="64"/>
      <c r="C373" s="274" t="s">
        <v>386</v>
      </c>
      <c r="D373" s="228"/>
      <c r="E373" s="272"/>
      <c r="F373" s="238" t="s">
        <v>52</v>
      </c>
      <c r="G373" s="238"/>
      <c r="H373" s="271">
        <v>8.3000000000000007</v>
      </c>
      <c r="I373" s="265"/>
    </row>
    <row r="374" spans="1:9" ht="12.75" customHeight="1" x14ac:dyDescent="0.2">
      <c r="A374" s="56">
        <v>365</v>
      </c>
      <c r="B374" s="64"/>
      <c r="C374" s="274" t="s">
        <v>1211</v>
      </c>
      <c r="D374" s="228"/>
      <c r="E374" s="272"/>
      <c r="F374" s="238" t="s">
        <v>129</v>
      </c>
      <c r="G374" s="238"/>
      <c r="H374" s="271">
        <f>25.2-9.2</f>
        <v>16</v>
      </c>
      <c r="I374" s="265"/>
    </row>
    <row r="375" spans="1:9" ht="12.75" customHeight="1" x14ac:dyDescent="0.2">
      <c r="A375" s="56">
        <v>366</v>
      </c>
      <c r="B375" s="64"/>
      <c r="C375" s="274" t="s">
        <v>274</v>
      </c>
      <c r="D375" s="228"/>
      <c r="E375" s="272"/>
      <c r="F375" s="238" t="s">
        <v>132</v>
      </c>
      <c r="G375" s="238"/>
      <c r="H375" s="271">
        <v>10.1</v>
      </c>
      <c r="I375" s="265"/>
    </row>
    <row r="376" spans="1:9" ht="12.75" customHeight="1" x14ac:dyDescent="0.2">
      <c r="A376" s="56">
        <v>367</v>
      </c>
      <c r="B376" s="64"/>
      <c r="C376" s="274" t="s">
        <v>163</v>
      </c>
      <c r="D376" s="228"/>
      <c r="E376" s="272"/>
      <c r="F376" s="238" t="s">
        <v>132</v>
      </c>
      <c r="G376" s="238"/>
      <c r="H376" s="215">
        <v>43.9</v>
      </c>
      <c r="I376" s="260"/>
    </row>
    <row r="377" spans="1:9" ht="12.75" customHeight="1" x14ac:dyDescent="0.2">
      <c r="A377" s="56">
        <v>368</v>
      </c>
      <c r="B377" s="64"/>
      <c r="C377" s="274" t="s">
        <v>385</v>
      </c>
      <c r="D377" s="228"/>
      <c r="E377" s="272"/>
      <c r="F377" s="238" t="s">
        <v>132</v>
      </c>
      <c r="G377" s="238"/>
      <c r="H377" s="271">
        <v>61.1</v>
      </c>
      <c r="I377" s="265"/>
    </row>
    <row r="378" spans="1:9" ht="12.75" customHeight="1" x14ac:dyDescent="0.2">
      <c r="A378" s="56">
        <v>369</v>
      </c>
      <c r="B378" s="64"/>
      <c r="C378" s="274" t="s">
        <v>487</v>
      </c>
      <c r="D378" s="228"/>
      <c r="E378" s="272"/>
      <c r="F378" s="238" t="s">
        <v>132</v>
      </c>
      <c r="G378" s="238"/>
      <c r="H378" s="215">
        <v>15.3</v>
      </c>
      <c r="I378" s="260"/>
    </row>
    <row r="379" spans="1:9" ht="13.5" customHeight="1" x14ac:dyDescent="0.2">
      <c r="A379" s="56">
        <v>370</v>
      </c>
      <c r="B379" s="64"/>
      <c r="C379" s="274" t="s">
        <v>167</v>
      </c>
      <c r="D379" s="228"/>
      <c r="E379" s="272"/>
      <c r="F379" s="238" t="s">
        <v>95</v>
      </c>
      <c r="G379" s="238"/>
      <c r="H379" s="215">
        <v>3</v>
      </c>
      <c r="I379" s="260"/>
    </row>
    <row r="380" spans="1:9" ht="12.75" customHeight="1" x14ac:dyDescent="0.2">
      <c r="A380" s="56">
        <v>371</v>
      </c>
      <c r="B380" s="64"/>
      <c r="C380" s="274" t="s">
        <v>1157</v>
      </c>
      <c r="D380" s="228"/>
      <c r="E380" s="272"/>
      <c r="F380" s="238" t="s">
        <v>21</v>
      </c>
      <c r="G380" s="238"/>
      <c r="H380" s="271">
        <v>56</v>
      </c>
      <c r="I380" s="265"/>
    </row>
    <row r="381" spans="1:9" ht="12.75" customHeight="1" x14ac:dyDescent="0.2">
      <c r="A381" s="56">
        <v>372</v>
      </c>
      <c r="B381" s="64"/>
      <c r="C381" s="274" t="s">
        <v>3279</v>
      </c>
      <c r="D381" s="228"/>
      <c r="E381" s="272"/>
      <c r="F381" s="238" t="s">
        <v>67</v>
      </c>
      <c r="G381" s="238"/>
      <c r="H381" s="263">
        <v>41.8</v>
      </c>
      <c r="I381" s="215"/>
    </row>
    <row r="382" spans="1:9" ht="12.75" customHeight="1" x14ac:dyDescent="0.2">
      <c r="A382" s="56">
        <v>373</v>
      </c>
      <c r="B382" s="64"/>
      <c r="C382" s="274" t="s">
        <v>3278</v>
      </c>
      <c r="D382" s="228"/>
      <c r="E382" s="272"/>
      <c r="F382" s="238" t="s">
        <v>67</v>
      </c>
      <c r="G382" s="238"/>
      <c r="H382" s="263">
        <v>12.3</v>
      </c>
      <c r="I382" s="215"/>
    </row>
    <row r="383" spans="1:9" ht="12.75" customHeight="1" x14ac:dyDescent="0.2">
      <c r="A383" s="56">
        <v>374</v>
      </c>
      <c r="B383" s="64"/>
      <c r="C383" s="274" t="s">
        <v>964</v>
      </c>
      <c r="D383" s="228"/>
      <c r="E383" s="272"/>
      <c r="F383" s="238" t="s">
        <v>965</v>
      </c>
      <c r="G383" s="238"/>
      <c r="H383" s="263">
        <v>7.6</v>
      </c>
      <c r="I383" s="215"/>
    </row>
    <row r="384" spans="1:9" ht="15.75" customHeight="1" x14ac:dyDescent="0.2">
      <c r="A384" s="56">
        <v>375</v>
      </c>
      <c r="B384" s="64"/>
      <c r="C384" s="274" t="s">
        <v>1096</v>
      </c>
      <c r="D384" s="228"/>
      <c r="E384" s="272"/>
      <c r="F384" s="238" t="s">
        <v>255</v>
      </c>
      <c r="G384" s="238"/>
      <c r="H384" s="215">
        <v>4.5</v>
      </c>
      <c r="I384" s="260"/>
    </row>
    <row r="385" spans="1:9" ht="15.75" customHeight="1" x14ac:dyDescent="0.2">
      <c r="A385" s="56">
        <v>376</v>
      </c>
      <c r="B385" s="64" t="s">
        <v>3559</v>
      </c>
      <c r="C385" s="274" t="s">
        <v>4062</v>
      </c>
      <c r="D385" s="228"/>
      <c r="E385" s="272"/>
      <c r="F385" s="238" t="s">
        <v>97</v>
      </c>
      <c r="G385" s="238"/>
      <c r="H385" s="215">
        <v>10</v>
      </c>
      <c r="I385" s="260"/>
    </row>
    <row r="386" spans="1:9" ht="12.75" customHeight="1" x14ac:dyDescent="0.2">
      <c r="A386" s="56">
        <v>377</v>
      </c>
      <c r="B386" s="64"/>
      <c r="C386" s="274" t="s">
        <v>2007</v>
      </c>
      <c r="D386" s="228"/>
      <c r="E386" s="272"/>
      <c r="F386" s="238" t="s">
        <v>7</v>
      </c>
      <c r="G386" s="238"/>
      <c r="H386" s="215">
        <v>24.2</v>
      </c>
      <c r="I386" s="260"/>
    </row>
    <row r="387" spans="1:9" ht="12.75" customHeight="1" x14ac:dyDescent="0.2">
      <c r="A387" s="56">
        <v>378</v>
      </c>
      <c r="B387" s="64"/>
      <c r="C387" s="274" t="s">
        <v>1297</v>
      </c>
      <c r="D387" s="228"/>
      <c r="E387" s="272"/>
      <c r="F387" s="238" t="s">
        <v>39</v>
      </c>
      <c r="G387" s="238"/>
      <c r="H387" s="215">
        <v>17.5</v>
      </c>
      <c r="I387" s="260"/>
    </row>
    <row r="388" spans="1:9" ht="28.5" customHeight="1" x14ac:dyDescent="0.2">
      <c r="A388" s="56">
        <v>379</v>
      </c>
      <c r="B388" s="64"/>
      <c r="C388" s="117" t="s">
        <v>514</v>
      </c>
      <c r="D388" s="118"/>
      <c r="E388" s="119"/>
      <c r="F388" s="299" t="s">
        <v>513</v>
      </c>
      <c r="G388" s="299"/>
      <c r="H388" s="115">
        <v>53.3</v>
      </c>
      <c r="I388" s="154"/>
    </row>
    <row r="389" spans="1:9" ht="12.75" customHeight="1" x14ac:dyDescent="0.2">
      <c r="A389" s="56">
        <v>380</v>
      </c>
      <c r="B389" s="64"/>
      <c r="C389" s="274" t="s">
        <v>327</v>
      </c>
      <c r="D389" s="228"/>
      <c r="E389" s="272"/>
      <c r="F389" s="238" t="s">
        <v>7</v>
      </c>
      <c r="G389" s="238"/>
      <c r="H389" s="215">
        <v>11.9</v>
      </c>
      <c r="I389" s="260"/>
    </row>
    <row r="390" spans="1:9" ht="12.75" customHeight="1" x14ac:dyDescent="0.2">
      <c r="A390" s="56">
        <v>381</v>
      </c>
      <c r="B390" s="64"/>
      <c r="C390" s="274" t="s">
        <v>853</v>
      </c>
      <c r="D390" s="228"/>
      <c r="E390" s="272"/>
      <c r="F390" s="238" t="s">
        <v>39</v>
      </c>
      <c r="G390" s="238"/>
      <c r="H390" s="215">
        <v>22.7</v>
      </c>
      <c r="I390" s="260"/>
    </row>
    <row r="391" spans="1:9" ht="24.75" customHeight="1" x14ac:dyDescent="0.2">
      <c r="A391" s="56">
        <v>382</v>
      </c>
      <c r="B391" s="64"/>
      <c r="C391" s="117" t="s">
        <v>1930</v>
      </c>
      <c r="D391" s="118"/>
      <c r="E391" s="119"/>
      <c r="F391" s="124" t="s">
        <v>39</v>
      </c>
      <c r="G391" s="124"/>
      <c r="H391" s="115">
        <f>59.2+29.8+24.3+17.2+22.3-8.6</f>
        <v>144.20000000000002</v>
      </c>
      <c r="I391" s="154"/>
    </row>
    <row r="392" spans="1:9" ht="15.75" customHeight="1" x14ac:dyDescent="0.2">
      <c r="A392" s="56">
        <v>383</v>
      </c>
      <c r="B392" s="64" t="s">
        <v>3559</v>
      </c>
      <c r="C392" s="274" t="s">
        <v>4063</v>
      </c>
      <c r="D392" s="228"/>
      <c r="E392" s="272"/>
      <c r="F392" s="124" t="s">
        <v>39</v>
      </c>
      <c r="G392" s="124"/>
      <c r="H392" s="215">
        <v>8.4</v>
      </c>
      <c r="I392" s="260"/>
    </row>
    <row r="393" spans="1:9" ht="12.75" customHeight="1" x14ac:dyDescent="0.2">
      <c r="A393" s="56">
        <v>384</v>
      </c>
      <c r="B393" s="64"/>
      <c r="C393" s="274" t="s">
        <v>1373</v>
      </c>
      <c r="D393" s="228"/>
      <c r="E393" s="272"/>
      <c r="F393" s="238" t="s">
        <v>39</v>
      </c>
      <c r="G393" s="238"/>
      <c r="H393" s="215">
        <v>37.200000000000003</v>
      </c>
      <c r="I393" s="260"/>
    </row>
    <row r="394" spans="1:9" ht="12.75" customHeight="1" x14ac:dyDescent="0.2">
      <c r="A394" s="56">
        <v>385</v>
      </c>
      <c r="B394" s="64"/>
      <c r="C394" s="274" t="s">
        <v>2605</v>
      </c>
      <c r="D394" s="228"/>
      <c r="E394" s="272"/>
      <c r="F394" s="124" t="s">
        <v>73</v>
      </c>
      <c r="G394" s="124"/>
      <c r="H394" s="215">
        <v>11.8</v>
      </c>
      <c r="I394" s="260"/>
    </row>
    <row r="395" spans="1:9" ht="13.5" customHeight="1" x14ac:dyDescent="0.2">
      <c r="A395" s="56">
        <v>386</v>
      </c>
      <c r="B395" s="64" t="s">
        <v>3559</v>
      </c>
      <c r="C395" s="274" t="s">
        <v>4064</v>
      </c>
      <c r="D395" s="228"/>
      <c r="E395" s="272"/>
      <c r="F395" s="261" t="s">
        <v>67</v>
      </c>
      <c r="G395" s="218"/>
      <c r="H395" s="215">
        <v>15</v>
      </c>
      <c r="I395" s="216"/>
    </row>
    <row r="396" spans="1:9" ht="13.5" customHeight="1" x14ac:dyDescent="0.2">
      <c r="A396" s="56">
        <v>387</v>
      </c>
      <c r="B396" s="64" t="s">
        <v>3559</v>
      </c>
      <c r="C396" s="274" t="s">
        <v>4065</v>
      </c>
      <c r="D396" s="228"/>
      <c r="E396" s="272"/>
      <c r="F396" s="261" t="s">
        <v>67</v>
      </c>
      <c r="G396" s="218"/>
      <c r="H396" s="215">
        <v>12.2</v>
      </c>
      <c r="I396" s="216"/>
    </row>
    <row r="397" spans="1:9" ht="13.5" customHeight="1" x14ac:dyDescent="0.2">
      <c r="A397" s="56">
        <v>388</v>
      </c>
      <c r="B397" s="64"/>
      <c r="C397" s="274" t="s">
        <v>4234</v>
      </c>
      <c r="D397" s="228"/>
      <c r="E397" s="272"/>
      <c r="F397" s="238" t="s">
        <v>67</v>
      </c>
      <c r="G397" s="238"/>
      <c r="H397" s="263">
        <v>42.6</v>
      </c>
      <c r="I397" s="215"/>
    </row>
    <row r="398" spans="1:9" ht="12.75" customHeight="1" x14ac:dyDescent="0.2">
      <c r="A398" s="56">
        <v>389</v>
      </c>
      <c r="B398" s="64"/>
      <c r="C398" s="274" t="s">
        <v>226</v>
      </c>
      <c r="D398" s="228"/>
      <c r="E398" s="272"/>
      <c r="F398" s="238" t="s">
        <v>52</v>
      </c>
      <c r="G398" s="238"/>
      <c r="H398" s="215">
        <v>38.200000000000003</v>
      </c>
      <c r="I398" s="260"/>
    </row>
    <row r="399" spans="1:9" ht="12.75" customHeight="1" x14ac:dyDescent="0.2">
      <c r="A399" s="56">
        <v>390</v>
      </c>
      <c r="B399" s="64" t="s">
        <v>3559</v>
      </c>
      <c r="C399" s="274" t="s">
        <v>4072</v>
      </c>
      <c r="D399" s="228"/>
      <c r="E399" s="272"/>
      <c r="F399" s="238" t="s">
        <v>21</v>
      </c>
      <c r="G399" s="238"/>
      <c r="H399" s="215">
        <v>7</v>
      </c>
      <c r="I399" s="260"/>
    </row>
    <row r="400" spans="1:9" ht="12.75" customHeight="1" x14ac:dyDescent="0.2">
      <c r="A400" s="56">
        <v>391</v>
      </c>
      <c r="B400" s="64"/>
      <c r="C400" s="274" t="s">
        <v>4073</v>
      </c>
      <c r="D400" s="228"/>
      <c r="E400" s="272"/>
      <c r="F400" s="238" t="s">
        <v>129</v>
      </c>
      <c r="G400" s="238"/>
      <c r="H400" s="215">
        <v>20.6</v>
      </c>
      <c r="I400" s="260"/>
    </row>
    <row r="401" spans="1:9" ht="15.75" customHeight="1" x14ac:dyDescent="0.2">
      <c r="A401" s="56">
        <v>392</v>
      </c>
      <c r="B401" s="64"/>
      <c r="C401" s="274" t="s">
        <v>634</v>
      </c>
      <c r="D401" s="228"/>
      <c r="E401" s="272"/>
      <c r="F401" s="238" t="s">
        <v>255</v>
      </c>
      <c r="G401" s="238"/>
      <c r="H401" s="215">
        <f>92.7+32.2</f>
        <v>124.9</v>
      </c>
      <c r="I401" s="260"/>
    </row>
    <row r="402" spans="1:9" ht="15.75" customHeight="1" x14ac:dyDescent="0.2">
      <c r="A402" s="56">
        <v>393</v>
      </c>
      <c r="B402" s="64"/>
      <c r="C402" s="274" t="s">
        <v>1095</v>
      </c>
      <c r="D402" s="228"/>
      <c r="E402" s="272"/>
      <c r="F402" s="238" t="s">
        <v>255</v>
      </c>
      <c r="G402" s="238"/>
      <c r="H402" s="215">
        <v>5.8</v>
      </c>
      <c r="I402" s="260"/>
    </row>
    <row r="403" spans="1:9" ht="13.5" customHeight="1" x14ac:dyDescent="0.2">
      <c r="A403" s="56">
        <v>394</v>
      </c>
      <c r="B403" s="64"/>
      <c r="C403" s="274" t="s">
        <v>220</v>
      </c>
      <c r="D403" s="228"/>
      <c r="E403" s="272"/>
      <c r="F403" s="238" t="s">
        <v>37</v>
      </c>
      <c r="G403" s="238"/>
      <c r="H403" s="215">
        <v>3.6</v>
      </c>
      <c r="I403" s="260"/>
    </row>
    <row r="404" spans="1:9" ht="15.75" customHeight="1" x14ac:dyDescent="0.2">
      <c r="A404" s="56">
        <v>395</v>
      </c>
      <c r="B404" s="64"/>
      <c r="C404" s="274" t="s">
        <v>362</v>
      </c>
      <c r="D404" s="228"/>
      <c r="E404" s="272"/>
      <c r="F404" s="238" t="s">
        <v>143</v>
      </c>
      <c r="G404" s="238"/>
      <c r="H404" s="215">
        <v>6.4</v>
      </c>
      <c r="I404" s="260"/>
    </row>
    <row r="405" spans="1:9" ht="24.75" customHeight="1" x14ac:dyDescent="0.2">
      <c r="A405" s="56">
        <v>396</v>
      </c>
      <c r="B405" s="64"/>
      <c r="C405" s="117" t="s">
        <v>945</v>
      </c>
      <c r="D405" s="118"/>
      <c r="E405" s="119"/>
      <c r="F405" s="124" t="s">
        <v>14</v>
      </c>
      <c r="G405" s="124"/>
      <c r="H405" s="115">
        <v>11.8</v>
      </c>
      <c r="I405" s="154"/>
    </row>
    <row r="406" spans="1:9" ht="13.5" customHeight="1" x14ac:dyDescent="0.2">
      <c r="A406" s="56">
        <v>397</v>
      </c>
      <c r="B406" s="64"/>
      <c r="C406" s="274" t="s">
        <v>493</v>
      </c>
      <c r="D406" s="228"/>
      <c r="E406" s="272"/>
      <c r="F406" s="238" t="s">
        <v>14</v>
      </c>
      <c r="G406" s="238"/>
      <c r="H406" s="215">
        <v>9</v>
      </c>
      <c r="I406" s="260"/>
    </row>
    <row r="407" spans="1:9" ht="12.75" customHeight="1" x14ac:dyDescent="0.2">
      <c r="A407" s="56">
        <v>398</v>
      </c>
      <c r="B407" s="64"/>
      <c r="C407" s="274" t="s">
        <v>895</v>
      </c>
      <c r="D407" s="228"/>
      <c r="E407" s="272"/>
      <c r="F407" s="238" t="s">
        <v>67</v>
      </c>
      <c r="G407" s="238"/>
      <c r="H407" s="215">
        <v>11.3</v>
      </c>
      <c r="I407" s="260"/>
    </row>
    <row r="408" spans="1:9" ht="13.5" customHeight="1" x14ac:dyDescent="0.2">
      <c r="A408" s="56">
        <v>399</v>
      </c>
      <c r="B408" s="64"/>
      <c r="C408" s="274" t="s">
        <v>154</v>
      </c>
      <c r="D408" s="228"/>
      <c r="E408" s="272"/>
      <c r="F408" s="238" t="s">
        <v>39</v>
      </c>
      <c r="G408" s="238"/>
      <c r="H408" s="215">
        <v>33.799999999999997</v>
      </c>
      <c r="I408" s="260"/>
    </row>
    <row r="409" spans="1:9" ht="12.75" customHeight="1" x14ac:dyDescent="0.2">
      <c r="A409" s="56">
        <v>400</v>
      </c>
      <c r="B409" s="64"/>
      <c r="C409" s="274" t="s">
        <v>180</v>
      </c>
      <c r="D409" s="228"/>
      <c r="E409" s="272"/>
      <c r="F409" s="238" t="s">
        <v>39</v>
      </c>
      <c r="G409" s="238"/>
      <c r="H409" s="215">
        <v>35.1</v>
      </c>
      <c r="I409" s="260"/>
    </row>
    <row r="410" spans="1:9" ht="12.75" customHeight="1" x14ac:dyDescent="0.2">
      <c r="A410" s="56">
        <v>401</v>
      </c>
      <c r="B410" s="64"/>
      <c r="C410" s="274" t="s">
        <v>146</v>
      </c>
      <c r="D410" s="228"/>
      <c r="E410" s="272"/>
      <c r="F410" s="238" t="s">
        <v>39</v>
      </c>
      <c r="G410" s="238"/>
      <c r="H410" s="215">
        <v>9.6</v>
      </c>
      <c r="I410" s="260"/>
    </row>
    <row r="411" spans="1:9" ht="12.75" customHeight="1" x14ac:dyDescent="0.2">
      <c r="A411" s="56">
        <v>402</v>
      </c>
      <c r="B411" s="64"/>
      <c r="C411" s="274" t="s">
        <v>137</v>
      </c>
      <c r="D411" s="228"/>
      <c r="E411" s="272"/>
      <c r="F411" s="238" t="s">
        <v>129</v>
      </c>
      <c r="G411" s="238"/>
      <c r="H411" s="215">
        <v>18.899999999999999</v>
      </c>
      <c r="I411" s="260"/>
    </row>
    <row r="412" spans="1:9" ht="12.75" customHeight="1" x14ac:dyDescent="0.2">
      <c r="A412" s="56">
        <v>403</v>
      </c>
      <c r="B412" s="64"/>
      <c r="C412" s="277" t="s">
        <v>995</v>
      </c>
      <c r="D412" s="278"/>
      <c r="E412" s="279"/>
      <c r="F412" s="238" t="s">
        <v>39</v>
      </c>
      <c r="G412" s="238"/>
      <c r="H412" s="263">
        <f>49.7-10.2-5.9-7.3-15</f>
        <v>11.3</v>
      </c>
      <c r="I412" s="215"/>
    </row>
    <row r="413" spans="1:9" x14ac:dyDescent="0.2">
      <c r="A413" s="56">
        <v>404</v>
      </c>
      <c r="B413" s="64"/>
      <c r="C413" s="283" t="s">
        <v>1363</v>
      </c>
      <c r="D413" s="284"/>
      <c r="E413" s="285"/>
      <c r="F413" s="296" t="s">
        <v>39</v>
      </c>
      <c r="G413" s="296"/>
      <c r="H413" s="297">
        <f>90.6+3-3-7.3-25.5</f>
        <v>57.8</v>
      </c>
      <c r="I413" s="298"/>
    </row>
    <row r="414" spans="1:9" ht="12.75" customHeight="1" x14ac:dyDescent="0.2">
      <c r="A414" s="56">
        <v>405</v>
      </c>
      <c r="B414" s="64"/>
      <c r="C414" s="274" t="s">
        <v>1364</v>
      </c>
      <c r="D414" s="228"/>
      <c r="E414" s="272"/>
      <c r="F414" s="238" t="s">
        <v>39</v>
      </c>
      <c r="G414" s="238"/>
      <c r="H414" s="215">
        <f>49.5+27.3+56.4+59.2-56.4</f>
        <v>135.99999999999997</v>
      </c>
      <c r="I414" s="260"/>
    </row>
    <row r="415" spans="1:9" ht="12.75" customHeight="1" x14ac:dyDescent="0.2">
      <c r="A415" s="56">
        <v>406</v>
      </c>
      <c r="B415" s="64"/>
      <c r="C415" s="274" t="s">
        <v>222</v>
      </c>
      <c r="D415" s="228"/>
      <c r="E415" s="272"/>
      <c r="F415" s="238" t="s">
        <v>39</v>
      </c>
      <c r="G415" s="238"/>
      <c r="H415" s="215">
        <v>10.4</v>
      </c>
      <c r="I415" s="260"/>
    </row>
    <row r="416" spans="1:9" ht="12.75" customHeight="1" x14ac:dyDescent="0.2">
      <c r="A416" s="56">
        <v>407</v>
      </c>
      <c r="B416" s="64"/>
      <c r="C416" s="274" t="s">
        <v>2019</v>
      </c>
      <c r="D416" s="228"/>
      <c r="E416" s="272"/>
      <c r="F416" s="238" t="s">
        <v>97</v>
      </c>
      <c r="G416" s="238"/>
      <c r="H416" s="215">
        <v>6.5</v>
      </c>
      <c r="I416" s="260"/>
    </row>
    <row r="417" spans="1:9" ht="13.5" customHeight="1" x14ac:dyDescent="0.2">
      <c r="A417" s="56">
        <v>408</v>
      </c>
      <c r="B417" s="64"/>
      <c r="C417" s="274" t="s">
        <v>516</v>
      </c>
      <c r="D417" s="228"/>
      <c r="E417" s="272"/>
      <c r="F417" s="238" t="s">
        <v>14</v>
      </c>
      <c r="G417" s="238"/>
      <c r="H417" s="215">
        <v>29.1</v>
      </c>
      <c r="I417" s="260"/>
    </row>
    <row r="418" spans="1:9" ht="12.75" customHeight="1" x14ac:dyDescent="0.2">
      <c r="A418" s="56">
        <v>409</v>
      </c>
      <c r="B418" s="64"/>
      <c r="C418" s="274" t="s">
        <v>658</v>
      </c>
      <c r="D418" s="228"/>
      <c r="E418" s="272"/>
      <c r="F418" s="238" t="s">
        <v>7</v>
      </c>
      <c r="G418" s="238"/>
      <c r="H418" s="215">
        <v>13.8</v>
      </c>
      <c r="I418" s="260"/>
    </row>
    <row r="419" spans="1:9" ht="12.75" customHeight="1" x14ac:dyDescent="0.2">
      <c r="A419" s="56">
        <v>410</v>
      </c>
      <c r="B419" s="64"/>
      <c r="C419" s="274" t="s">
        <v>531</v>
      </c>
      <c r="D419" s="228"/>
      <c r="E419" s="272"/>
      <c r="F419" s="238" t="s">
        <v>7</v>
      </c>
      <c r="G419" s="238"/>
      <c r="H419" s="215">
        <v>4.4000000000000004</v>
      </c>
      <c r="I419" s="260"/>
    </row>
    <row r="420" spans="1:9" ht="12.75" customHeight="1" x14ac:dyDescent="0.2">
      <c r="A420" s="56">
        <v>411</v>
      </c>
      <c r="B420" s="64"/>
      <c r="C420" s="275" t="s">
        <v>2838</v>
      </c>
      <c r="D420" s="232"/>
      <c r="E420" s="276"/>
      <c r="F420" s="238" t="s">
        <v>67</v>
      </c>
      <c r="G420" s="238"/>
      <c r="H420" s="215">
        <f>17.4-4.9</f>
        <v>12.499999999999998</v>
      </c>
      <c r="I420" s="260"/>
    </row>
    <row r="421" spans="1:9" ht="12.75" customHeight="1" x14ac:dyDescent="0.2">
      <c r="A421" s="56">
        <v>412</v>
      </c>
      <c r="B421" s="64"/>
      <c r="C421" s="275" t="s">
        <v>802</v>
      </c>
      <c r="D421" s="232"/>
      <c r="E421" s="276"/>
      <c r="F421" s="238" t="s">
        <v>21</v>
      </c>
      <c r="G421" s="238"/>
      <c r="H421" s="215">
        <v>19</v>
      </c>
      <c r="I421" s="260"/>
    </row>
    <row r="422" spans="1:9" ht="12.75" customHeight="1" x14ac:dyDescent="0.2">
      <c r="A422" s="56">
        <v>413</v>
      </c>
      <c r="B422" s="64"/>
      <c r="C422" s="274" t="s">
        <v>409</v>
      </c>
      <c r="D422" s="228"/>
      <c r="E422" s="272"/>
      <c r="F422" s="238" t="s">
        <v>255</v>
      </c>
      <c r="G422" s="238"/>
      <c r="H422" s="215">
        <f>25.2+7.6</f>
        <v>32.799999999999997</v>
      </c>
      <c r="I422" s="260"/>
    </row>
    <row r="423" spans="1:9" ht="12.75" customHeight="1" x14ac:dyDescent="0.2">
      <c r="A423" s="56">
        <v>414</v>
      </c>
      <c r="B423" s="64"/>
      <c r="C423" s="274" t="s">
        <v>687</v>
      </c>
      <c r="D423" s="228"/>
      <c r="E423" s="272"/>
      <c r="F423" s="238" t="s">
        <v>39</v>
      </c>
      <c r="G423" s="238"/>
      <c r="H423" s="215">
        <f>42.7+68.6</f>
        <v>111.3</v>
      </c>
      <c r="I423" s="260"/>
    </row>
    <row r="424" spans="1:9" ht="12.75" customHeight="1" x14ac:dyDescent="0.2">
      <c r="A424" s="56">
        <v>415</v>
      </c>
      <c r="B424" s="64"/>
      <c r="C424" s="274" t="s">
        <v>1262</v>
      </c>
      <c r="D424" s="228"/>
      <c r="E424" s="272"/>
      <c r="F424" s="238" t="s">
        <v>39</v>
      </c>
      <c r="G424" s="238"/>
      <c r="H424" s="215">
        <f>50.4-5.9+9.1-18.4-5.9</f>
        <v>29.300000000000004</v>
      </c>
      <c r="I424" s="260"/>
    </row>
    <row r="425" spans="1:9" ht="12.75" customHeight="1" x14ac:dyDescent="0.2">
      <c r="A425" s="56">
        <v>416</v>
      </c>
      <c r="B425" s="64"/>
      <c r="C425" s="277" t="s">
        <v>1298</v>
      </c>
      <c r="D425" s="278"/>
      <c r="E425" s="279"/>
      <c r="F425" s="238" t="s">
        <v>39</v>
      </c>
      <c r="G425" s="238"/>
      <c r="H425" s="215">
        <f>19.2+8.8-7.5+11.8+12.7</f>
        <v>45</v>
      </c>
      <c r="I425" s="260"/>
    </row>
    <row r="426" spans="1:9" ht="12.75" customHeight="1" x14ac:dyDescent="0.2">
      <c r="A426" s="56">
        <v>417</v>
      </c>
      <c r="B426" s="64"/>
      <c r="C426" s="275" t="s">
        <v>105</v>
      </c>
      <c r="D426" s="232"/>
      <c r="E426" s="276"/>
      <c r="F426" s="238" t="s">
        <v>39</v>
      </c>
      <c r="G426" s="238"/>
      <c r="H426" s="215">
        <v>5.8</v>
      </c>
      <c r="I426" s="260"/>
    </row>
    <row r="427" spans="1:9" ht="12.75" customHeight="1" x14ac:dyDescent="0.2">
      <c r="A427" s="56">
        <v>418</v>
      </c>
      <c r="B427" s="64"/>
      <c r="C427" s="274" t="s">
        <v>833</v>
      </c>
      <c r="D427" s="228"/>
      <c r="E427" s="272"/>
      <c r="F427" s="238" t="s">
        <v>97</v>
      </c>
      <c r="G427" s="238"/>
      <c r="H427" s="215">
        <v>10.8</v>
      </c>
      <c r="I427" s="260"/>
    </row>
    <row r="428" spans="1:9" ht="12.75" customHeight="1" x14ac:dyDescent="0.2">
      <c r="A428" s="56">
        <v>419</v>
      </c>
      <c r="B428" s="64"/>
      <c r="C428" s="275" t="s">
        <v>205</v>
      </c>
      <c r="D428" s="232"/>
      <c r="E428" s="276"/>
      <c r="F428" s="238" t="s">
        <v>39</v>
      </c>
      <c r="G428" s="238"/>
      <c r="H428" s="215">
        <v>44.2</v>
      </c>
      <c r="I428" s="260"/>
    </row>
    <row r="429" spans="1:9" ht="12.75" customHeight="1" x14ac:dyDescent="0.2">
      <c r="A429" s="56">
        <v>420</v>
      </c>
      <c r="B429" s="64"/>
      <c r="C429" s="277" t="s">
        <v>588</v>
      </c>
      <c r="D429" s="278"/>
      <c r="E429" s="279"/>
      <c r="F429" s="238" t="s">
        <v>39</v>
      </c>
      <c r="G429" s="238"/>
      <c r="H429" s="215">
        <f>47.6-9.1</f>
        <v>38.5</v>
      </c>
      <c r="I429" s="260"/>
    </row>
    <row r="430" spans="1:9" ht="12.75" customHeight="1" x14ac:dyDescent="0.2">
      <c r="A430" s="56">
        <v>421</v>
      </c>
      <c r="B430" s="64"/>
      <c r="C430" s="275" t="s">
        <v>1291</v>
      </c>
      <c r="D430" s="232"/>
      <c r="E430" s="276"/>
      <c r="F430" s="238" t="s">
        <v>39</v>
      </c>
      <c r="G430" s="238"/>
      <c r="H430" s="215">
        <f>30-9.9+51.9</f>
        <v>72</v>
      </c>
      <c r="I430" s="260"/>
    </row>
    <row r="431" spans="1:9" ht="16.5" customHeight="1" x14ac:dyDescent="0.25">
      <c r="A431" s="56">
        <v>422</v>
      </c>
      <c r="B431" s="64"/>
      <c r="C431" s="275" t="s">
        <v>4953</v>
      </c>
      <c r="D431" s="232"/>
      <c r="E431" s="276"/>
      <c r="F431" s="303" t="s">
        <v>1522</v>
      </c>
      <c r="G431" s="303"/>
      <c r="H431" s="215">
        <f>80-33.3</f>
        <v>46.7</v>
      </c>
      <c r="I431" s="260"/>
    </row>
    <row r="432" spans="1:9" ht="12.75" customHeight="1" x14ac:dyDescent="0.2">
      <c r="A432" s="56">
        <v>423</v>
      </c>
      <c r="B432" s="64"/>
      <c r="C432" s="275" t="s">
        <v>2536</v>
      </c>
      <c r="D432" s="232"/>
      <c r="E432" s="276"/>
      <c r="F432" s="238" t="s">
        <v>67</v>
      </c>
      <c r="G432" s="238"/>
      <c r="H432" s="215">
        <f>29.3-11.1</f>
        <v>18.200000000000003</v>
      </c>
      <c r="I432" s="260"/>
    </row>
    <row r="433" spans="1:9" ht="12.75" customHeight="1" x14ac:dyDescent="0.2">
      <c r="A433" s="56">
        <v>424</v>
      </c>
      <c r="B433" s="64"/>
      <c r="C433" s="275" t="s">
        <v>169</v>
      </c>
      <c r="D433" s="232"/>
      <c r="E433" s="276"/>
      <c r="F433" s="238" t="s">
        <v>168</v>
      </c>
      <c r="G433" s="238"/>
      <c r="H433" s="215">
        <v>23.5</v>
      </c>
      <c r="I433" s="260"/>
    </row>
    <row r="434" spans="1:9" ht="12.75" customHeight="1" x14ac:dyDescent="0.2">
      <c r="A434" s="56">
        <v>425</v>
      </c>
      <c r="B434" s="64"/>
      <c r="C434" s="275" t="s">
        <v>332</v>
      </c>
      <c r="D434" s="232"/>
      <c r="E434" s="276"/>
      <c r="F434" s="238" t="s">
        <v>8</v>
      </c>
      <c r="G434" s="238"/>
      <c r="H434" s="215">
        <v>12.1</v>
      </c>
      <c r="I434" s="260"/>
    </row>
    <row r="435" spans="1:9" ht="12.75" customHeight="1" x14ac:dyDescent="0.2">
      <c r="A435" s="56">
        <v>426</v>
      </c>
      <c r="B435" s="64"/>
      <c r="C435" s="275" t="s">
        <v>1903</v>
      </c>
      <c r="D435" s="232"/>
      <c r="E435" s="276"/>
      <c r="F435" s="238" t="s">
        <v>129</v>
      </c>
      <c r="G435" s="238"/>
      <c r="H435" s="215">
        <v>45.5</v>
      </c>
      <c r="I435" s="260"/>
    </row>
    <row r="436" spans="1:9" ht="12.75" customHeight="1" x14ac:dyDescent="0.2">
      <c r="A436" s="56">
        <v>427</v>
      </c>
      <c r="B436" s="64"/>
      <c r="C436" s="274" t="s">
        <v>1066</v>
      </c>
      <c r="D436" s="228"/>
      <c r="E436" s="272"/>
      <c r="F436" s="238" t="s">
        <v>95</v>
      </c>
      <c r="G436" s="238"/>
      <c r="H436" s="215">
        <v>8.6999999999999993</v>
      </c>
      <c r="I436" s="260"/>
    </row>
    <row r="437" spans="1:9" ht="12.75" customHeight="1" x14ac:dyDescent="0.2">
      <c r="A437" s="56">
        <v>428</v>
      </c>
      <c r="B437" s="64"/>
      <c r="C437" s="274" t="s">
        <v>151</v>
      </c>
      <c r="D437" s="228"/>
      <c r="E437" s="272"/>
      <c r="F437" s="238" t="s">
        <v>95</v>
      </c>
      <c r="G437" s="238"/>
      <c r="H437" s="215">
        <v>15.4</v>
      </c>
      <c r="I437" s="260"/>
    </row>
    <row r="438" spans="1:9" ht="12.75" customHeight="1" x14ac:dyDescent="0.2">
      <c r="A438" s="56">
        <v>429</v>
      </c>
      <c r="B438" s="64"/>
      <c r="C438" s="274" t="s">
        <v>465</v>
      </c>
      <c r="D438" s="228"/>
      <c r="E438" s="272"/>
      <c r="F438" s="238" t="s">
        <v>95</v>
      </c>
      <c r="G438" s="238"/>
      <c r="H438" s="215">
        <f>23.9+29.4</f>
        <v>53.3</v>
      </c>
      <c r="I438" s="260"/>
    </row>
    <row r="439" spans="1:9" ht="27" customHeight="1" x14ac:dyDescent="0.2">
      <c r="A439" s="56">
        <v>430</v>
      </c>
      <c r="B439" s="64"/>
      <c r="C439" s="128" t="s">
        <v>1989</v>
      </c>
      <c r="D439" s="126"/>
      <c r="E439" s="127"/>
      <c r="F439" s="124" t="s">
        <v>7</v>
      </c>
      <c r="G439" s="124"/>
      <c r="H439" s="115">
        <f>182.2+12.4-98.7+101.9+26+51.3-153.2</f>
        <v>121.90000000000003</v>
      </c>
      <c r="I439" s="154"/>
    </row>
    <row r="440" spans="1:9" ht="12.75" customHeight="1" x14ac:dyDescent="0.2">
      <c r="A440" s="56">
        <v>431</v>
      </c>
      <c r="B440" s="64"/>
      <c r="C440" s="275" t="s">
        <v>305</v>
      </c>
      <c r="D440" s="232"/>
      <c r="E440" s="276"/>
      <c r="F440" s="238" t="s">
        <v>67</v>
      </c>
      <c r="G440" s="238"/>
      <c r="H440" s="215">
        <v>59.2</v>
      </c>
      <c r="I440" s="260"/>
    </row>
    <row r="441" spans="1:9" ht="12.75" customHeight="1" x14ac:dyDescent="0.2">
      <c r="A441" s="56">
        <v>432</v>
      </c>
      <c r="B441" s="64"/>
      <c r="C441" s="274" t="s">
        <v>122</v>
      </c>
      <c r="D441" s="228"/>
      <c r="E441" s="272"/>
      <c r="F441" s="238" t="s">
        <v>39</v>
      </c>
      <c r="G441" s="238"/>
      <c r="H441" s="215">
        <v>34.1</v>
      </c>
      <c r="I441" s="260"/>
    </row>
    <row r="442" spans="1:9" ht="12.75" customHeight="1" x14ac:dyDescent="0.2">
      <c r="A442" s="56">
        <v>433</v>
      </c>
      <c r="B442" s="64"/>
      <c r="C442" s="274" t="s">
        <v>367</v>
      </c>
      <c r="D442" s="228"/>
      <c r="E442" s="272"/>
      <c r="F442" s="238" t="s">
        <v>67</v>
      </c>
      <c r="G442" s="238"/>
      <c r="H442" s="215">
        <v>13.8</v>
      </c>
      <c r="I442" s="260"/>
    </row>
    <row r="443" spans="1:9" ht="12.75" customHeight="1" x14ac:dyDescent="0.2">
      <c r="A443" s="56">
        <v>434</v>
      </c>
      <c r="B443" s="64"/>
      <c r="C443" s="274" t="s">
        <v>378</v>
      </c>
      <c r="D443" s="228"/>
      <c r="E443" s="272"/>
      <c r="F443" s="238" t="s">
        <v>255</v>
      </c>
      <c r="G443" s="238"/>
      <c r="H443" s="215">
        <f>43.1+10</f>
        <v>53.1</v>
      </c>
      <c r="I443" s="260"/>
    </row>
    <row r="444" spans="1:9" ht="12.75" customHeight="1" x14ac:dyDescent="0.2">
      <c r="A444" s="56">
        <v>435</v>
      </c>
      <c r="B444" s="64"/>
      <c r="C444" s="274" t="s">
        <v>860</v>
      </c>
      <c r="D444" s="228"/>
      <c r="E444" s="272"/>
      <c r="F444" s="238" t="s">
        <v>14</v>
      </c>
      <c r="G444" s="238"/>
      <c r="H444" s="215">
        <v>24.6</v>
      </c>
      <c r="I444" s="260"/>
    </row>
    <row r="445" spans="1:9" ht="12.75" customHeight="1" x14ac:dyDescent="0.2">
      <c r="A445" s="56">
        <v>436</v>
      </c>
      <c r="B445" s="64"/>
      <c r="C445" s="274" t="s">
        <v>372</v>
      </c>
      <c r="D445" s="228"/>
      <c r="E445" s="272"/>
      <c r="F445" s="238" t="s">
        <v>7</v>
      </c>
      <c r="G445" s="238"/>
      <c r="H445" s="215">
        <f>69.2-23-23</f>
        <v>23.200000000000003</v>
      </c>
      <c r="I445" s="260"/>
    </row>
    <row r="446" spans="1:9" ht="12.75" customHeight="1" x14ac:dyDescent="0.2">
      <c r="A446" s="56">
        <v>437</v>
      </c>
      <c r="B446" s="64"/>
      <c r="C446" s="274" t="s">
        <v>422</v>
      </c>
      <c r="D446" s="228"/>
      <c r="E446" s="272"/>
      <c r="F446" s="238" t="s">
        <v>67</v>
      </c>
      <c r="G446" s="238"/>
      <c r="H446" s="215">
        <v>83.3</v>
      </c>
      <c r="I446" s="260"/>
    </row>
    <row r="447" spans="1:9" ht="12.75" customHeight="1" x14ac:dyDescent="0.2">
      <c r="A447" s="56">
        <v>438</v>
      </c>
      <c r="B447" s="64"/>
      <c r="C447" s="274" t="s">
        <v>123</v>
      </c>
      <c r="D447" s="228"/>
      <c r="E447" s="272"/>
      <c r="F447" s="238" t="s">
        <v>8</v>
      </c>
      <c r="G447" s="238"/>
      <c r="H447" s="215">
        <v>10.4</v>
      </c>
      <c r="I447" s="260"/>
    </row>
    <row r="448" spans="1:9" ht="12.75" customHeight="1" x14ac:dyDescent="0.2">
      <c r="A448" s="56">
        <v>439</v>
      </c>
      <c r="B448" s="64"/>
      <c r="C448" s="274" t="s">
        <v>352</v>
      </c>
      <c r="D448" s="228"/>
      <c r="E448" s="272"/>
      <c r="F448" s="238" t="s">
        <v>14</v>
      </c>
      <c r="G448" s="238"/>
      <c r="H448" s="215">
        <f>110.4+96.7</f>
        <v>207.10000000000002</v>
      </c>
      <c r="I448" s="260"/>
    </row>
    <row r="449" spans="1:9" ht="12.75" customHeight="1" x14ac:dyDescent="0.2">
      <c r="A449" s="56">
        <v>440</v>
      </c>
      <c r="B449" s="64"/>
      <c r="C449" s="274" t="s">
        <v>1348</v>
      </c>
      <c r="D449" s="228"/>
      <c r="E449" s="272"/>
      <c r="F449" s="238" t="s">
        <v>95</v>
      </c>
      <c r="G449" s="238"/>
      <c r="H449" s="215">
        <f>29.9-10.5-9.2</f>
        <v>10.199999999999999</v>
      </c>
      <c r="I449" s="260"/>
    </row>
    <row r="450" spans="1:9" ht="12.75" customHeight="1" x14ac:dyDescent="0.2">
      <c r="A450" s="56">
        <v>441</v>
      </c>
      <c r="B450" s="64"/>
      <c r="C450" s="274" t="s">
        <v>176</v>
      </c>
      <c r="D450" s="228"/>
      <c r="E450" s="272"/>
      <c r="F450" s="238" t="s">
        <v>7</v>
      </c>
      <c r="G450" s="238"/>
      <c r="H450" s="215">
        <v>14.7</v>
      </c>
      <c r="I450" s="260"/>
    </row>
    <row r="451" spans="1:9" ht="12.75" customHeight="1" x14ac:dyDescent="0.2">
      <c r="A451" s="56">
        <v>442</v>
      </c>
      <c r="B451" s="64"/>
      <c r="C451" s="274" t="s">
        <v>190</v>
      </c>
      <c r="D451" s="228"/>
      <c r="E451" s="272"/>
      <c r="F451" s="238" t="s">
        <v>143</v>
      </c>
      <c r="G451" s="238"/>
      <c r="H451" s="215">
        <v>10</v>
      </c>
      <c r="I451" s="260"/>
    </row>
    <row r="452" spans="1:9" ht="12.75" customHeight="1" x14ac:dyDescent="0.2">
      <c r="A452" s="56">
        <v>443</v>
      </c>
      <c r="B452" s="64"/>
      <c r="C452" s="274" t="s">
        <v>1299</v>
      </c>
      <c r="D452" s="228"/>
      <c r="E452" s="272"/>
      <c r="F452" s="238" t="s">
        <v>39</v>
      </c>
      <c r="G452" s="238"/>
      <c r="H452" s="215">
        <v>65.5</v>
      </c>
      <c r="I452" s="260"/>
    </row>
    <row r="453" spans="1:9" ht="12.75" customHeight="1" x14ac:dyDescent="0.2">
      <c r="A453" s="56">
        <v>444</v>
      </c>
      <c r="B453" s="64"/>
      <c r="C453" s="274" t="s">
        <v>303</v>
      </c>
      <c r="D453" s="228"/>
      <c r="E453" s="272"/>
      <c r="F453" s="238" t="s">
        <v>39</v>
      </c>
      <c r="G453" s="238"/>
      <c r="H453" s="215">
        <v>5.6</v>
      </c>
      <c r="I453" s="260"/>
    </row>
    <row r="454" spans="1:9" ht="12.75" customHeight="1" x14ac:dyDescent="0.2">
      <c r="A454" s="56">
        <v>445</v>
      </c>
      <c r="B454" s="64"/>
      <c r="C454" s="274" t="s">
        <v>2868</v>
      </c>
      <c r="D454" s="228"/>
      <c r="E454" s="272"/>
      <c r="F454" s="238" t="s">
        <v>39</v>
      </c>
      <c r="G454" s="238"/>
      <c r="H454" s="215">
        <f>142.4-6.5-5.8</f>
        <v>130.1</v>
      </c>
      <c r="I454" s="260"/>
    </row>
    <row r="455" spans="1:9" ht="12.75" customHeight="1" x14ac:dyDescent="0.2">
      <c r="A455" s="56">
        <v>446</v>
      </c>
      <c r="B455" s="64"/>
      <c r="C455" s="274" t="s">
        <v>4479</v>
      </c>
      <c r="D455" s="228"/>
      <c r="E455" s="272"/>
      <c r="F455" s="238" t="s">
        <v>67</v>
      </c>
      <c r="G455" s="238"/>
      <c r="H455" s="215">
        <f>68.3-41.3</f>
        <v>27</v>
      </c>
      <c r="I455" s="260"/>
    </row>
    <row r="456" spans="1:9" ht="13.5" customHeight="1" x14ac:dyDescent="0.2">
      <c r="A456" s="56">
        <v>447</v>
      </c>
      <c r="B456" s="64"/>
      <c r="C456" s="274" t="s">
        <v>1793</v>
      </c>
      <c r="D456" s="228"/>
      <c r="E456" s="272"/>
      <c r="F456" s="238" t="s">
        <v>14</v>
      </c>
      <c r="G456" s="238"/>
      <c r="H456" s="215">
        <f>22.3+30.8-15.4-15.4</f>
        <v>22.300000000000004</v>
      </c>
      <c r="I456" s="260"/>
    </row>
    <row r="457" spans="1:9" ht="13.5" customHeight="1" x14ac:dyDescent="0.2">
      <c r="A457" s="56">
        <v>448</v>
      </c>
      <c r="B457" s="64"/>
      <c r="C457" s="274" t="s">
        <v>2025</v>
      </c>
      <c r="D457" s="228"/>
      <c r="E457" s="272"/>
      <c r="F457" s="238" t="s">
        <v>14</v>
      </c>
      <c r="G457" s="238"/>
      <c r="H457" s="215">
        <v>35</v>
      </c>
      <c r="I457" s="260"/>
    </row>
    <row r="458" spans="1:9" ht="12.75" customHeight="1" x14ac:dyDescent="0.2">
      <c r="A458" s="56">
        <v>449</v>
      </c>
      <c r="B458" s="64"/>
      <c r="C458" s="274" t="s">
        <v>486</v>
      </c>
      <c r="D458" s="228"/>
      <c r="E458" s="272"/>
      <c r="F458" s="238" t="s">
        <v>21</v>
      </c>
      <c r="G458" s="238"/>
      <c r="H458" s="215">
        <f>24.7-5.4</f>
        <v>19.299999999999997</v>
      </c>
      <c r="I458" s="260"/>
    </row>
    <row r="459" spans="1:9" ht="12.75" customHeight="1" x14ac:dyDescent="0.2">
      <c r="A459" s="56">
        <v>450</v>
      </c>
      <c r="B459" s="64"/>
      <c r="C459" s="274" t="s">
        <v>392</v>
      </c>
      <c r="D459" s="228"/>
      <c r="E459" s="272"/>
      <c r="F459" s="238" t="s">
        <v>21</v>
      </c>
      <c r="G459" s="238"/>
      <c r="H459" s="215">
        <v>11.1</v>
      </c>
      <c r="I459" s="260"/>
    </row>
    <row r="460" spans="1:9" ht="12.75" customHeight="1" x14ac:dyDescent="0.2">
      <c r="A460" s="56">
        <v>451</v>
      </c>
      <c r="B460" s="64"/>
      <c r="C460" s="274" t="s">
        <v>368</v>
      </c>
      <c r="D460" s="228"/>
      <c r="E460" s="272"/>
      <c r="F460" s="238" t="s">
        <v>255</v>
      </c>
      <c r="G460" s="238"/>
      <c r="H460" s="215">
        <v>31.7</v>
      </c>
      <c r="I460" s="260"/>
    </row>
    <row r="461" spans="1:9" ht="12.75" customHeight="1" x14ac:dyDescent="0.2">
      <c r="A461" s="56">
        <v>452</v>
      </c>
      <c r="B461" s="64"/>
      <c r="C461" s="274" t="s">
        <v>1154</v>
      </c>
      <c r="D461" s="228"/>
      <c r="E461" s="272"/>
      <c r="F461" s="238" t="s">
        <v>67</v>
      </c>
      <c r="G461" s="238"/>
      <c r="H461" s="215">
        <f>244.3-73.9-97.1</f>
        <v>73.300000000000011</v>
      </c>
      <c r="I461" s="260"/>
    </row>
    <row r="462" spans="1:9" ht="12.75" customHeight="1" x14ac:dyDescent="0.2">
      <c r="A462" s="56">
        <v>453</v>
      </c>
      <c r="B462" s="64"/>
      <c r="C462" s="274" t="s">
        <v>1267</v>
      </c>
      <c r="D462" s="228"/>
      <c r="E462" s="272"/>
      <c r="F462" s="238" t="s">
        <v>73</v>
      </c>
      <c r="G462" s="238"/>
      <c r="H462" s="215">
        <f>10.4+37.5+75.2-37.6-37.6-10.4</f>
        <v>37.5</v>
      </c>
      <c r="I462" s="260"/>
    </row>
    <row r="463" spans="1:9" x14ac:dyDescent="0.2">
      <c r="A463" s="56">
        <v>454</v>
      </c>
      <c r="B463" s="64"/>
      <c r="C463" s="117" t="s">
        <v>2860</v>
      </c>
      <c r="D463" s="118"/>
      <c r="E463" s="119"/>
      <c r="F463" s="124" t="s">
        <v>21</v>
      </c>
      <c r="G463" s="124"/>
      <c r="H463" s="115">
        <f>26.8-7.1-7.7+91.3-12-52.3-12.5</f>
        <v>26.5</v>
      </c>
      <c r="I463" s="154"/>
    </row>
    <row r="464" spans="1:9" ht="13.5" customHeight="1" x14ac:dyDescent="0.2">
      <c r="A464" s="56">
        <v>455</v>
      </c>
      <c r="B464" s="64"/>
      <c r="C464" s="274" t="s">
        <v>219</v>
      </c>
      <c r="D464" s="228"/>
      <c r="E464" s="272"/>
      <c r="F464" s="238" t="s">
        <v>28</v>
      </c>
      <c r="G464" s="238"/>
      <c r="H464" s="215">
        <v>12.4</v>
      </c>
      <c r="I464" s="260"/>
    </row>
    <row r="465" spans="1:9" ht="12.75" customHeight="1" x14ac:dyDescent="0.2">
      <c r="A465" s="56">
        <v>456</v>
      </c>
      <c r="B465" s="64"/>
      <c r="C465" s="274" t="s">
        <v>384</v>
      </c>
      <c r="D465" s="228"/>
      <c r="E465" s="272"/>
      <c r="F465" s="238" t="s">
        <v>28</v>
      </c>
      <c r="G465" s="238"/>
      <c r="H465" s="215">
        <v>11</v>
      </c>
      <c r="I465" s="260"/>
    </row>
    <row r="466" spans="1:9" ht="12.75" customHeight="1" x14ac:dyDescent="0.2">
      <c r="A466" s="56">
        <v>457</v>
      </c>
      <c r="B466" s="64"/>
      <c r="C466" s="274" t="s">
        <v>659</v>
      </c>
      <c r="D466" s="228"/>
      <c r="E466" s="272"/>
      <c r="F466" s="238" t="s">
        <v>95</v>
      </c>
      <c r="G466" s="238"/>
      <c r="H466" s="215">
        <v>30</v>
      </c>
      <c r="I466" s="260"/>
    </row>
    <row r="467" spans="1:9" ht="12.75" customHeight="1" x14ac:dyDescent="0.2">
      <c r="A467" s="56">
        <v>458</v>
      </c>
      <c r="B467" s="64"/>
      <c r="C467" s="274" t="s">
        <v>3908</v>
      </c>
      <c r="D467" s="228"/>
      <c r="E467" s="272"/>
      <c r="F467" s="238" t="s">
        <v>7</v>
      </c>
      <c r="G467" s="238"/>
      <c r="H467" s="215">
        <v>63.6</v>
      </c>
      <c r="I467" s="260"/>
    </row>
    <row r="468" spans="1:9" ht="12.75" customHeight="1" x14ac:dyDescent="0.2">
      <c r="A468" s="56">
        <v>459</v>
      </c>
      <c r="B468" s="64"/>
      <c r="C468" s="274" t="s">
        <v>313</v>
      </c>
      <c r="D468" s="228"/>
      <c r="E468" s="272"/>
      <c r="F468" s="238" t="s">
        <v>21</v>
      </c>
      <c r="G468" s="238"/>
      <c r="H468" s="215">
        <v>9.4</v>
      </c>
      <c r="I468" s="260"/>
    </row>
    <row r="469" spans="1:9" ht="12.75" customHeight="1" x14ac:dyDescent="0.2">
      <c r="A469" s="56">
        <v>460</v>
      </c>
      <c r="B469" s="64"/>
      <c r="C469" s="274" t="s">
        <v>383</v>
      </c>
      <c r="D469" s="228"/>
      <c r="E469" s="272"/>
      <c r="F469" s="238" t="s">
        <v>14</v>
      </c>
      <c r="G469" s="238"/>
      <c r="H469" s="215">
        <v>15.7</v>
      </c>
      <c r="I469" s="260"/>
    </row>
    <row r="470" spans="1:9" ht="12.75" customHeight="1" x14ac:dyDescent="0.2">
      <c r="A470" s="56">
        <v>461</v>
      </c>
      <c r="B470" s="64"/>
      <c r="C470" s="274" t="s">
        <v>459</v>
      </c>
      <c r="D470" s="228"/>
      <c r="E470" s="272"/>
      <c r="F470" s="238" t="s">
        <v>14</v>
      </c>
      <c r="G470" s="238"/>
      <c r="H470" s="215">
        <v>81</v>
      </c>
      <c r="I470" s="260"/>
    </row>
    <row r="471" spans="1:9" ht="12.75" customHeight="1" x14ac:dyDescent="0.2">
      <c r="A471" s="56">
        <v>462</v>
      </c>
      <c r="B471" s="64">
        <v>2</v>
      </c>
      <c r="C471" s="274" t="s">
        <v>257</v>
      </c>
      <c r="D471" s="228"/>
      <c r="E471" s="272"/>
      <c r="F471" s="238" t="s">
        <v>39</v>
      </c>
      <c r="G471" s="238"/>
      <c r="H471" s="215">
        <v>184</v>
      </c>
      <c r="I471" s="260"/>
    </row>
    <row r="472" spans="1:9" ht="12.75" customHeight="1" x14ac:dyDescent="0.2">
      <c r="A472" s="56">
        <v>463</v>
      </c>
      <c r="B472" s="64"/>
      <c r="C472" s="274" t="s">
        <v>152</v>
      </c>
      <c r="D472" s="228"/>
      <c r="E472" s="272"/>
      <c r="F472" s="238" t="s">
        <v>39</v>
      </c>
      <c r="G472" s="238"/>
      <c r="H472" s="215">
        <v>66.099999999999994</v>
      </c>
      <c r="I472" s="260"/>
    </row>
    <row r="473" spans="1:9" ht="12.75" customHeight="1" x14ac:dyDescent="0.2">
      <c r="A473" s="56">
        <v>464</v>
      </c>
      <c r="B473" s="64"/>
      <c r="C473" s="274" t="s">
        <v>3909</v>
      </c>
      <c r="D473" s="228"/>
      <c r="E473" s="272"/>
      <c r="F473" s="238" t="s">
        <v>7</v>
      </c>
      <c r="G473" s="238"/>
      <c r="H473" s="215">
        <v>63.5</v>
      </c>
      <c r="I473" s="260"/>
    </row>
    <row r="474" spans="1:9" ht="12.75" customHeight="1" x14ac:dyDescent="0.2">
      <c r="A474" s="56">
        <v>465</v>
      </c>
      <c r="B474" s="64"/>
      <c r="C474" s="274" t="s">
        <v>202</v>
      </c>
      <c r="D474" s="228"/>
      <c r="E474" s="272"/>
      <c r="F474" s="238" t="s">
        <v>67</v>
      </c>
      <c r="G474" s="238"/>
      <c r="H474" s="215">
        <v>9</v>
      </c>
      <c r="I474" s="260"/>
    </row>
    <row r="475" spans="1:9" ht="12.75" customHeight="1" x14ac:dyDescent="0.2">
      <c r="A475" s="56">
        <v>466</v>
      </c>
      <c r="B475" s="64"/>
      <c r="C475" s="274" t="s">
        <v>5204</v>
      </c>
      <c r="D475" s="228"/>
      <c r="E475" s="272"/>
      <c r="F475" s="238" t="s">
        <v>67</v>
      </c>
      <c r="G475" s="238"/>
      <c r="H475" s="215">
        <f>19.9-0.7-0.5-1-1-1-6-1-1-1.5-1-1-1+1-0.1</f>
        <v>4.0999999999999996</v>
      </c>
      <c r="I475" s="260"/>
    </row>
    <row r="476" spans="1:9" ht="12.75" customHeight="1" x14ac:dyDescent="0.2">
      <c r="A476" s="56">
        <v>467</v>
      </c>
      <c r="B476" s="64" t="s">
        <v>3657</v>
      </c>
      <c r="C476" s="274" t="s">
        <v>4360</v>
      </c>
      <c r="D476" s="228"/>
      <c r="E476" s="272"/>
      <c r="F476" s="238" t="s">
        <v>67</v>
      </c>
      <c r="G476" s="238"/>
      <c r="H476" s="215">
        <v>5.8</v>
      </c>
      <c r="I476" s="260"/>
    </row>
    <row r="477" spans="1:9" ht="12.75" customHeight="1" x14ac:dyDescent="0.2">
      <c r="A477" s="56">
        <v>468</v>
      </c>
      <c r="B477" s="64"/>
      <c r="C477" s="274" t="s">
        <v>3759</v>
      </c>
      <c r="D477" s="228"/>
      <c r="E477" s="272"/>
      <c r="F477" s="238" t="s">
        <v>67</v>
      </c>
      <c r="G477" s="238"/>
      <c r="H477" s="215">
        <f>40.8-12.1-1-1-1.1</f>
        <v>25.599999999999994</v>
      </c>
      <c r="I477" s="260"/>
    </row>
    <row r="478" spans="1:9" ht="12.75" customHeight="1" x14ac:dyDescent="0.2">
      <c r="A478" s="56">
        <v>469</v>
      </c>
      <c r="B478" s="64"/>
      <c r="C478" s="274" t="s">
        <v>5036</v>
      </c>
      <c r="D478" s="228"/>
      <c r="E478" s="272"/>
      <c r="F478" s="238" t="s">
        <v>67</v>
      </c>
      <c r="G478" s="238"/>
      <c r="H478" s="215">
        <f>17.8-5-5-1.9+1.3+0.5+21-0.3-3-1-5</f>
        <v>19.399999999999999</v>
      </c>
      <c r="I478" s="260"/>
    </row>
    <row r="479" spans="1:9" ht="12.75" customHeight="1" x14ac:dyDescent="0.2">
      <c r="A479" s="56">
        <v>470</v>
      </c>
      <c r="B479" s="64"/>
      <c r="C479" s="274" t="s">
        <v>2111</v>
      </c>
      <c r="D479" s="228"/>
      <c r="E479" s="272"/>
      <c r="F479" s="238" t="s">
        <v>2112</v>
      </c>
      <c r="G479" s="238"/>
      <c r="H479" s="215">
        <v>27.7</v>
      </c>
      <c r="I479" s="260"/>
    </row>
    <row r="480" spans="1:9" ht="12.75" customHeight="1" x14ac:dyDescent="0.2">
      <c r="A480" s="56">
        <v>471</v>
      </c>
      <c r="B480" s="64"/>
      <c r="C480" s="274" t="s">
        <v>5177</v>
      </c>
      <c r="D480" s="228"/>
      <c r="E480" s="272"/>
      <c r="F480" s="238" t="s">
        <v>1522</v>
      </c>
      <c r="G480" s="238"/>
      <c r="H480" s="215">
        <f>42-1.1</f>
        <v>40.9</v>
      </c>
      <c r="I480" s="260"/>
    </row>
    <row r="481" spans="1:9" ht="12.75" customHeight="1" x14ac:dyDescent="0.2">
      <c r="A481" s="56">
        <v>472</v>
      </c>
      <c r="B481" s="64"/>
      <c r="C481" s="274" t="s">
        <v>2037</v>
      </c>
      <c r="D481" s="228"/>
      <c r="E481" s="272"/>
      <c r="F481" s="238" t="s">
        <v>67</v>
      </c>
      <c r="G481" s="238"/>
      <c r="H481" s="215">
        <v>42.7</v>
      </c>
      <c r="I481" s="260"/>
    </row>
    <row r="482" spans="1:9" ht="12.75" customHeight="1" x14ac:dyDescent="0.2">
      <c r="A482" s="56">
        <v>473</v>
      </c>
      <c r="B482" s="64" t="s">
        <v>3657</v>
      </c>
      <c r="C482" s="274" t="s">
        <v>5037</v>
      </c>
      <c r="D482" s="228"/>
      <c r="E482" s="272"/>
      <c r="F482" s="238" t="s">
        <v>67</v>
      </c>
      <c r="G482" s="238"/>
      <c r="H482" s="215">
        <f>6.6-2+4.9-1-4.6+1.3+60.5-0.1-0.2-3.9-1.3+1.7-1+5.5-3-1.7+10.6-0.2-5.5-3.4-0.4-21.5-2-13.6-1.2-3-1-5+0.6</f>
        <v>16.099999999999998</v>
      </c>
      <c r="I482" s="260"/>
    </row>
    <row r="483" spans="1:9" ht="12.75" customHeight="1" x14ac:dyDescent="0.2">
      <c r="A483" s="56">
        <v>474</v>
      </c>
      <c r="B483" s="64"/>
      <c r="C483" s="274" t="s">
        <v>1539</v>
      </c>
      <c r="D483" s="228"/>
      <c r="E483" s="272"/>
      <c r="F483" s="238" t="s">
        <v>37</v>
      </c>
      <c r="G483" s="238"/>
      <c r="H483" s="215">
        <v>19.399999999999999</v>
      </c>
      <c r="I483" s="260"/>
    </row>
    <row r="484" spans="1:9" ht="12.75" customHeight="1" x14ac:dyDescent="0.2">
      <c r="A484" s="56">
        <v>475</v>
      </c>
      <c r="B484" s="64"/>
      <c r="C484" s="274" t="s">
        <v>3814</v>
      </c>
      <c r="D484" s="228"/>
      <c r="E484" s="272"/>
      <c r="F484" s="238" t="s">
        <v>67</v>
      </c>
      <c r="G484" s="238"/>
      <c r="H484" s="215">
        <f>17.5+23.9+0.85+1.45+3.8+35.8-4.4-1.95+1.4-1.4-13.7-4-3.8-0.85-0.2-1.3</f>
        <v>53.099999999999987</v>
      </c>
      <c r="I484" s="260"/>
    </row>
    <row r="485" spans="1:9" ht="12.75" customHeight="1" x14ac:dyDescent="0.2">
      <c r="A485" s="56">
        <v>476</v>
      </c>
      <c r="B485" s="64"/>
      <c r="C485" s="274" t="s">
        <v>767</v>
      </c>
      <c r="D485" s="228"/>
      <c r="E485" s="272"/>
      <c r="F485" s="238" t="s">
        <v>21</v>
      </c>
      <c r="G485" s="238"/>
      <c r="H485" s="215">
        <v>2.5</v>
      </c>
      <c r="I485" s="260"/>
    </row>
    <row r="486" spans="1:9" ht="12.75" customHeight="1" x14ac:dyDescent="0.2">
      <c r="A486" s="56">
        <v>477</v>
      </c>
      <c r="B486" s="64"/>
      <c r="C486" s="274" t="s">
        <v>3345</v>
      </c>
      <c r="D486" s="228"/>
      <c r="E486" s="272"/>
      <c r="F486" s="238" t="s">
        <v>67</v>
      </c>
      <c r="G486" s="238"/>
      <c r="H486" s="215">
        <f>19.6-0.5-0.3</f>
        <v>18.8</v>
      </c>
      <c r="I486" s="260"/>
    </row>
    <row r="487" spans="1:9" ht="12.75" customHeight="1" x14ac:dyDescent="0.2">
      <c r="A487" s="56">
        <v>478</v>
      </c>
      <c r="B487" s="64"/>
      <c r="C487" s="274" t="s">
        <v>498</v>
      </c>
      <c r="D487" s="228"/>
      <c r="E487" s="272"/>
      <c r="F487" s="238" t="s">
        <v>67</v>
      </c>
      <c r="G487" s="238"/>
      <c r="H487" s="215">
        <v>1.6</v>
      </c>
      <c r="I487" s="260"/>
    </row>
    <row r="488" spans="1:9" s="17" customFormat="1" ht="15.75" customHeight="1" x14ac:dyDescent="0.25">
      <c r="A488" s="20"/>
      <c r="B488" s="109"/>
      <c r="C488" s="44"/>
      <c r="D488" s="44"/>
      <c r="E488" s="45"/>
      <c r="F488" s="43"/>
      <c r="G488" s="43"/>
      <c r="H488" s="26"/>
      <c r="I488" s="26"/>
    </row>
    <row r="489" spans="1:9" s="17" customFormat="1" ht="13.5" customHeight="1" x14ac:dyDescent="0.2">
      <c r="A489" s="46"/>
      <c r="B489" s="110"/>
      <c r="C489" s="46"/>
      <c r="D489" s="75"/>
      <c r="E489" s="163"/>
      <c r="F489" s="163"/>
      <c r="G489" s="163"/>
      <c r="H489" s="75"/>
      <c r="I489" s="46"/>
    </row>
    <row r="490" spans="1:9" s="17" customFormat="1" ht="13.5" customHeight="1" x14ac:dyDescent="0.2">
      <c r="A490" s="46"/>
      <c r="B490" s="110"/>
      <c r="C490" s="46"/>
      <c r="D490" s="46"/>
      <c r="E490" s="48"/>
      <c r="F490" s="46"/>
      <c r="G490" s="46"/>
      <c r="H490" s="18"/>
      <c r="I490" s="46"/>
    </row>
    <row r="491" spans="1:9" s="17" customFormat="1" ht="15.75" x14ac:dyDescent="0.2">
      <c r="A491" s="46"/>
      <c r="B491" s="110"/>
      <c r="C491" s="46"/>
      <c r="D491" s="46"/>
      <c r="E491" s="51"/>
      <c r="F491" s="46"/>
      <c r="G491" s="46"/>
      <c r="H491" s="46"/>
      <c r="I491" s="46"/>
    </row>
    <row r="492" spans="1:9" s="17" customFormat="1" x14ac:dyDescent="0.2">
      <c r="A492" s="46"/>
      <c r="B492" s="110"/>
      <c r="C492" s="46"/>
      <c r="D492" s="46"/>
      <c r="E492" s="48"/>
      <c r="F492" s="46"/>
      <c r="G492" s="46"/>
      <c r="H492" s="46"/>
      <c r="I492" s="46"/>
    </row>
    <row r="493" spans="1:9" s="17" customFormat="1" ht="15.75" x14ac:dyDescent="0.2">
      <c r="A493" s="46"/>
      <c r="B493" s="110"/>
      <c r="C493" s="46"/>
      <c r="D493" s="46"/>
      <c r="E493" s="51"/>
      <c r="F493" s="46"/>
      <c r="G493" s="46"/>
      <c r="H493" s="46"/>
      <c r="I493" s="46"/>
    </row>
    <row r="494" spans="1:9" s="17" customFormat="1" x14ac:dyDescent="0.2">
      <c r="A494" s="46"/>
      <c r="B494" s="110"/>
      <c r="C494" s="46"/>
      <c r="D494" s="46"/>
      <c r="E494" s="48"/>
      <c r="F494" s="46"/>
      <c r="G494" s="46"/>
      <c r="H494" s="46"/>
      <c r="I494" s="46"/>
    </row>
    <row r="495" spans="1:9" s="17" customFormat="1" ht="13.5" customHeight="1" x14ac:dyDescent="0.2">
      <c r="A495" s="46"/>
      <c r="B495" s="110"/>
      <c r="C495" s="163"/>
      <c r="D495" s="163"/>
      <c r="E495" s="163"/>
      <c r="F495" s="163"/>
      <c r="G495" s="163"/>
      <c r="H495" s="163"/>
      <c r="I495" s="163"/>
    </row>
    <row r="496" spans="1:9" s="17" customFormat="1" ht="13.5" customHeight="1" x14ac:dyDescent="0.2">
      <c r="A496" s="46"/>
      <c r="B496" s="110"/>
      <c r="C496" s="75"/>
      <c r="D496" s="75"/>
      <c r="E496" s="48"/>
      <c r="F496" s="75"/>
      <c r="G496" s="75"/>
      <c r="H496" s="75"/>
      <c r="I496" s="75"/>
    </row>
  </sheetData>
  <autoFilter ref="A9:I490" xr:uid="{00000000-0009-0000-0000-000004000000}">
    <filterColumn colId="2" showButton="0"/>
    <filterColumn colId="3" showButton="0"/>
    <filterColumn colId="5" showButton="0"/>
    <filterColumn colId="7" showButton="0"/>
  </autoFilter>
  <mergeCells count="1444">
    <mergeCell ref="C1:H1"/>
    <mergeCell ref="C2:H2"/>
    <mergeCell ref="D3:H3"/>
    <mergeCell ref="D4:H4"/>
    <mergeCell ref="D5:H5"/>
    <mergeCell ref="D7:H7"/>
    <mergeCell ref="H139:I139"/>
    <mergeCell ref="H101:I101"/>
    <mergeCell ref="H301:I301"/>
    <mergeCell ref="H282:I282"/>
    <mergeCell ref="H288:I288"/>
    <mergeCell ref="H286:I286"/>
    <mergeCell ref="H294:I294"/>
    <mergeCell ref="H299:I299"/>
    <mergeCell ref="H300:I300"/>
    <mergeCell ref="F431:G431"/>
    <mergeCell ref="H431:I431"/>
    <mergeCell ref="H289:I289"/>
    <mergeCell ref="H291:I291"/>
    <mergeCell ref="H304:I304"/>
    <mergeCell ref="H303:I303"/>
    <mergeCell ref="F293:G293"/>
    <mergeCell ref="H310:I310"/>
    <mergeCell ref="H317:I317"/>
    <mergeCell ref="F315:G315"/>
    <mergeCell ref="F268:G268"/>
    <mergeCell ref="H297:I297"/>
    <mergeCell ref="F291:G291"/>
    <mergeCell ref="F288:G288"/>
    <mergeCell ref="H290:I290"/>
    <mergeCell ref="F289:G289"/>
    <mergeCell ref="F286:G286"/>
    <mergeCell ref="H293:I293"/>
    <mergeCell ref="F292:G292"/>
    <mergeCell ref="H271:I271"/>
    <mergeCell ref="F143:G143"/>
    <mergeCell ref="H230:I230"/>
    <mergeCell ref="F184:G184"/>
    <mergeCell ref="C18:E18"/>
    <mergeCell ref="F18:G18"/>
    <mergeCell ref="H17:I17"/>
    <mergeCell ref="F25:G25"/>
    <mergeCell ref="H18:I18"/>
    <mergeCell ref="C19:E19"/>
    <mergeCell ref="F29:G29"/>
    <mergeCell ref="H102:I102"/>
    <mergeCell ref="F106:G106"/>
    <mergeCell ref="H105:I105"/>
    <mergeCell ref="H98:I98"/>
    <mergeCell ref="H30:I30"/>
    <mergeCell ref="H100:I100"/>
    <mergeCell ref="H78:I78"/>
    <mergeCell ref="H106:I106"/>
    <mergeCell ref="F82:G82"/>
    <mergeCell ref="H90:I90"/>
    <mergeCell ref="H86:I86"/>
    <mergeCell ref="H27:I27"/>
    <mergeCell ref="F85:G85"/>
    <mergeCell ref="H99:I99"/>
    <mergeCell ref="C75:E75"/>
    <mergeCell ref="F75:G75"/>
    <mergeCell ref="H75:I75"/>
    <mergeCell ref="H94:I94"/>
    <mergeCell ref="F99:G99"/>
    <mergeCell ref="H81:I81"/>
    <mergeCell ref="C93:E93"/>
    <mergeCell ref="F95:G95"/>
    <mergeCell ref="H104:I104"/>
    <mergeCell ref="F105:G105"/>
    <mergeCell ref="F102:G102"/>
    <mergeCell ref="H103:I103"/>
    <mergeCell ref="H92:I92"/>
    <mergeCell ref="F98:G98"/>
    <mergeCell ref="C96:E96"/>
    <mergeCell ref="F90:G90"/>
    <mergeCell ref="H83:I83"/>
    <mergeCell ref="H82:I82"/>
    <mergeCell ref="H95:I95"/>
    <mergeCell ref="F91:G91"/>
    <mergeCell ref="F94:G94"/>
    <mergeCell ref="C85:E85"/>
    <mergeCell ref="F93:G93"/>
    <mergeCell ref="F89:G89"/>
    <mergeCell ref="F88:G88"/>
    <mergeCell ref="C88:E88"/>
    <mergeCell ref="C91:E91"/>
    <mergeCell ref="C97:E97"/>
    <mergeCell ref="F96:G96"/>
    <mergeCell ref="C86:E86"/>
    <mergeCell ref="C84:E84"/>
    <mergeCell ref="F92:G92"/>
    <mergeCell ref="C83:E83"/>
    <mergeCell ref="H91:I91"/>
    <mergeCell ref="H88:I88"/>
    <mergeCell ref="H126:I126"/>
    <mergeCell ref="H121:I121"/>
    <mergeCell ref="H128:I128"/>
    <mergeCell ref="H108:I108"/>
    <mergeCell ref="H110:I110"/>
    <mergeCell ref="F110:G110"/>
    <mergeCell ref="F108:G108"/>
    <mergeCell ref="H111:I111"/>
    <mergeCell ref="F123:G123"/>
    <mergeCell ref="F112:G112"/>
    <mergeCell ref="F120:G120"/>
    <mergeCell ref="F101:G101"/>
    <mergeCell ref="H118:I118"/>
    <mergeCell ref="H119:I119"/>
    <mergeCell ref="F125:G125"/>
    <mergeCell ref="F126:G126"/>
    <mergeCell ref="H109:I109"/>
    <mergeCell ref="F103:G103"/>
    <mergeCell ref="H115:I115"/>
    <mergeCell ref="H116:I116"/>
    <mergeCell ref="H107:I107"/>
    <mergeCell ref="F129:G129"/>
    <mergeCell ref="F127:G127"/>
    <mergeCell ref="F168:G168"/>
    <mergeCell ref="C164:E164"/>
    <mergeCell ref="C155:E155"/>
    <mergeCell ref="F152:G152"/>
    <mergeCell ref="F148:G148"/>
    <mergeCell ref="F153:G153"/>
    <mergeCell ref="C148:E148"/>
    <mergeCell ref="F156:G156"/>
    <mergeCell ref="C136:E136"/>
    <mergeCell ref="F141:G141"/>
    <mergeCell ref="F131:G131"/>
    <mergeCell ref="F135:G135"/>
    <mergeCell ref="C145:E145"/>
    <mergeCell ref="F145:G145"/>
    <mergeCell ref="F133:G133"/>
    <mergeCell ref="F137:G137"/>
    <mergeCell ref="F132:G132"/>
    <mergeCell ref="F134:G134"/>
    <mergeCell ref="F128:G128"/>
    <mergeCell ref="F160:G160"/>
    <mergeCell ref="C150:E150"/>
    <mergeCell ref="F154:G154"/>
    <mergeCell ref="F159:G159"/>
    <mergeCell ref="F155:G155"/>
    <mergeCell ref="F164:G164"/>
    <mergeCell ref="C184:E184"/>
    <mergeCell ref="C195:E195"/>
    <mergeCell ref="C187:E187"/>
    <mergeCell ref="F199:G199"/>
    <mergeCell ref="C203:E203"/>
    <mergeCell ref="C192:E192"/>
    <mergeCell ref="C191:E191"/>
    <mergeCell ref="C193:E193"/>
    <mergeCell ref="F193:G193"/>
    <mergeCell ref="C186:E186"/>
    <mergeCell ref="F179:G179"/>
    <mergeCell ref="F181:G181"/>
    <mergeCell ref="C188:E188"/>
    <mergeCell ref="F192:G192"/>
    <mergeCell ref="F188:G188"/>
    <mergeCell ref="C189:E189"/>
    <mergeCell ref="F175:G175"/>
    <mergeCell ref="C178:E178"/>
    <mergeCell ref="F185:G185"/>
    <mergeCell ref="C175:E175"/>
    <mergeCell ref="F178:G178"/>
    <mergeCell ref="C183:E183"/>
    <mergeCell ref="C176:E176"/>
    <mergeCell ref="F177:G177"/>
    <mergeCell ref="C180:E180"/>
    <mergeCell ref="C181:E181"/>
    <mergeCell ref="C179:E179"/>
    <mergeCell ref="F189:G189"/>
    <mergeCell ref="C197:E197"/>
    <mergeCell ref="F197:G197"/>
    <mergeCell ref="C185:E185"/>
    <mergeCell ref="C182:E182"/>
    <mergeCell ref="C208:E208"/>
    <mergeCell ref="F206:G206"/>
    <mergeCell ref="H204:I204"/>
    <mergeCell ref="H207:I207"/>
    <mergeCell ref="H210:I210"/>
    <mergeCell ref="C207:E207"/>
    <mergeCell ref="H206:I206"/>
    <mergeCell ref="F207:G207"/>
    <mergeCell ref="F187:G187"/>
    <mergeCell ref="C190:E190"/>
    <mergeCell ref="C200:E200"/>
    <mergeCell ref="F196:G196"/>
    <mergeCell ref="F198:G198"/>
    <mergeCell ref="C206:E206"/>
    <mergeCell ref="F200:G200"/>
    <mergeCell ref="C199:E199"/>
    <mergeCell ref="C202:E202"/>
    <mergeCell ref="C204:E204"/>
    <mergeCell ref="F201:G201"/>
    <mergeCell ref="H191:I191"/>
    <mergeCell ref="C194:E194"/>
    <mergeCell ref="H240:I240"/>
    <mergeCell ref="F240:G240"/>
    <mergeCell ref="H232:I232"/>
    <mergeCell ref="H215:I215"/>
    <mergeCell ref="F215:G215"/>
    <mergeCell ref="H222:I222"/>
    <mergeCell ref="H223:I223"/>
    <mergeCell ref="H217:I217"/>
    <mergeCell ref="H228:I228"/>
    <mergeCell ref="F227:G227"/>
    <mergeCell ref="H218:I218"/>
    <mergeCell ref="H216:I216"/>
    <mergeCell ref="F239:G239"/>
    <mergeCell ref="F238:G238"/>
    <mergeCell ref="F236:G236"/>
    <mergeCell ref="F237:G237"/>
    <mergeCell ref="H220:I220"/>
    <mergeCell ref="F224:G224"/>
    <mergeCell ref="H233:I233"/>
    <mergeCell ref="H236:I236"/>
    <mergeCell ref="H231:I231"/>
    <mergeCell ref="H237:I237"/>
    <mergeCell ref="H234:I234"/>
    <mergeCell ref="H235:I235"/>
    <mergeCell ref="H239:I239"/>
    <mergeCell ref="H229:I229"/>
    <mergeCell ref="F228:G228"/>
    <mergeCell ref="H224:I224"/>
    <mergeCell ref="H238:I238"/>
    <mergeCell ref="F233:G233"/>
    <mergeCell ref="F230:G230"/>
    <mergeCell ref="F231:G231"/>
    <mergeCell ref="H246:I246"/>
    <mergeCell ref="H247:I247"/>
    <mergeCell ref="H248:I248"/>
    <mergeCell ref="H257:I257"/>
    <mergeCell ref="F256:G256"/>
    <mergeCell ref="H263:I263"/>
    <mergeCell ref="F263:G263"/>
    <mergeCell ref="H261:I261"/>
    <mergeCell ref="H249:I249"/>
    <mergeCell ref="H251:I251"/>
    <mergeCell ref="H250:I250"/>
    <mergeCell ref="H254:I254"/>
    <mergeCell ref="F259:G259"/>
    <mergeCell ref="H259:I259"/>
    <mergeCell ref="H258:I258"/>
    <mergeCell ref="H241:I241"/>
    <mergeCell ref="F242:G242"/>
    <mergeCell ref="H242:I242"/>
    <mergeCell ref="H245:I245"/>
    <mergeCell ref="H243:I243"/>
    <mergeCell ref="F241:G241"/>
    <mergeCell ref="H244:I244"/>
    <mergeCell ref="F245:G245"/>
    <mergeCell ref="F243:G243"/>
    <mergeCell ref="F244:G244"/>
    <mergeCell ref="H270:I270"/>
    <mergeCell ref="H280:I280"/>
    <mergeCell ref="H272:I272"/>
    <mergeCell ref="H278:I278"/>
    <mergeCell ref="H273:I273"/>
    <mergeCell ref="H277:I277"/>
    <mergeCell ref="H279:I279"/>
    <mergeCell ref="H276:I276"/>
    <mergeCell ref="H266:I266"/>
    <mergeCell ref="F253:G253"/>
    <mergeCell ref="H252:I252"/>
    <mergeCell ref="F251:G251"/>
    <mergeCell ref="F254:G254"/>
    <mergeCell ref="F252:G252"/>
    <mergeCell ref="F264:G264"/>
    <mergeCell ref="F262:G262"/>
    <mergeCell ref="F266:G266"/>
    <mergeCell ref="H265:I265"/>
    <mergeCell ref="H264:I264"/>
    <mergeCell ref="H262:I262"/>
    <mergeCell ref="H255:I255"/>
    <mergeCell ref="H260:I260"/>
    <mergeCell ref="H256:I256"/>
    <mergeCell ref="H253:I253"/>
    <mergeCell ref="H275:I275"/>
    <mergeCell ref="H268:I268"/>
    <mergeCell ref="H269:I269"/>
    <mergeCell ref="H267:I267"/>
    <mergeCell ref="F278:G278"/>
    <mergeCell ref="F277:G277"/>
    <mergeCell ref="F273:G273"/>
    <mergeCell ref="F272:G272"/>
    <mergeCell ref="F316:G316"/>
    <mergeCell ref="H328:I328"/>
    <mergeCell ref="F317:G317"/>
    <mergeCell ref="F325:G325"/>
    <mergeCell ref="F323:G323"/>
    <mergeCell ref="F318:G318"/>
    <mergeCell ref="H313:I313"/>
    <mergeCell ref="F314:G314"/>
    <mergeCell ref="F312:G312"/>
    <mergeCell ref="F311:G311"/>
    <mergeCell ref="H308:I308"/>
    <mergeCell ref="F310:G310"/>
    <mergeCell ref="F282:G282"/>
    <mergeCell ref="F294:G294"/>
    <mergeCell ref="H285:I285"/>
    <mergeCell ref="H283:I283"/>
    <mergeCell ref="F287:G287"/>
    <mergeCell ref="F285:G285"/>
    <mergeCell ref="H284:I284"/>
    <mergeCell ref="H287:I287"/>
    <mergeCell ref="H292:I292"/>
    <mergeCell ref="H306:I306"/>
    <mergeCell ref="H295:I295"/>
    <mergeCell ref="H298:I298"/>
    <mergeCell ref="H314:I314"/>
    <mergeCell ref="H296:I296"/>
    <mergeCell ref="H309:I309"/>
    <mergeCell ref="H318:I318"/>
    <mergeCell ref="H315:I315"/>
    <mergeCell ref="H312:I312"/>
    <mergeCell ref="F308:G308"/>
    <mergeCell ref="F313:G313"/>
    <mergeCell ref="F333:G333"/>
    <mergeCell ref="H331:I331"/>
    <mergeCell ref="F331:G331"/>
    <mergeCell ref="H329:I329"/>
    <mergeCell ref="H330:I330"/>
    <mergeCell ref="F326:G326"/>
    <mergeCell ref="F328:G328"/>
    <mergeCell ref="H326:I326"/>
    <mergeCell ref="H327:I327"/>
    <mergeCell ref="F321:G321"/>
    <mergeCell ref="F319:G319"/>
    <mergeCell ref="F329:G329"/>
    <mergeCell ref="F327:G327"/>
    <mergeCell ref="F330:G330"/>
    <mergeCell ref="F320:G320"/>
    <mergeCell ref="H325:I325"/>
    <mergeCell ref="F322:G322"/>
    <mergeCell ref="H319:I319"/>
    <mergeCell ref="F324:G324"/>
    <mergeCell ref="F356:G356"/>
    <mergeCell ref="H385:I385"/>
    <mergeCell ref="H365:I365"/>
    <mergeCell ref="H359:I359"/>
    <mergeCell ref="H363:I363"/>
    <mergeCell ref="F376:G376"/>
    <mergeCell ref="H361:I361"/>
    <mergeCell ref="H352:I352"/>
    <mergeCell ref="H351:I351"/>
    <mergeCell ref="H382:I382"/>
    <mergeCell ref="H379:I379"/>
    <mergeCell ref="H355:I355"/>
    <mergeCell ref="F355:G355"/>
    <mergeCell ref="F352:G352"/>
    <mergeCell ref="F358:G358"/>
    <mergeCell ref="H353:I353"/>
    <mergeCell ref="H360:I360"/>
    <mergeCell ref="H384:I384"/>
    <mergeCell ref="H383:I383"/>
    <mergeCell ref="H372:I372"/>
    <mergeCell ref="H354:I354"/>
    <mergeCell ref="H357:I357"/>
    <mergeCell ref="F362:G362"/>
    <mergeCell ref="F364:G364"/>
    <mergeCell ref="H391:I391"/>
    <mergeCell ref="F394:G394"/>
    <mergeCell ref="H399:I399"/>
    <mergeCell ref="F392:G392"/>
    <mergeCell ref="F398:G398"/>
    <mergeCell ref="H398:I398"/>
    <mergeCell ref="F397:G397"/>
    <mergeCell ref="F396:G396"/>
    <mergeCell ref="H386:I386"/>
    <mergeCell ref="F388:G388"/>
    <mergeCell ref="H392:I392"/>
    <mergeCell ref="F387:G387"/>
    <mergeCell ref="F378:G378"/>
    <mergeCell ref="H389:I389"/>
    <mergeCell ref="F380:G380"/>
    <mergeCell ref="H393:I393"/>
    <mergeCell ref="F391:G391"/>
    <mergeCell ref="H396:I396"/>
    <mergeCell ref="H378:I378"/>
    <mergeCell ref="H390:I390"/>
    <mergeCell ref="H388:I388"/>
    <mergeCell ref="F393:G393"/>
    <mergeCell ref="H380:I380"/>
    <mergeCell ref="H387:I387"/>
    <mergeCell ref="F386:G386"/>
    <mergeCell ref="F385:G385"/>
    <mergeCell ref="F404:G404"/>
    <mergeCell ref="F406:G406"/>
    <mergeCell ref="F402:G402"/>
    <mergeCell ref="F400:G400"/>
    <mergeCell ref="H409:I409"/>
    <mergeCell ref="H407:I407"/>
    <mergeCell ref="F403:G403"/>
    <mergeCell ref="H402:I402"/>
    <mergeCell ref="F399:G399"/>
    <mergeCell ref="H397:I397"/>
    <mergeCell ref="H404:I404"/>
    <mergeCell ref="H403:I403"/>
    <mergeCell ref="F401:G401"/>
    <mergeCell ref="H401:I401"/>
    <mergeCell ref="H400:I400"/>
    <mergeCell ref="H395:I395"/>
    <mergeCell ref="H394:I394"/>
    <mergeCell ref="H411:I411"/>
    <mergeCell ref="H424:I424"/>
    <mergeCell ref="H419:I419"/>
    <mergeCell ref="H421:I421"/>
    <mergeCell ref="F414:G414"/>
    <mergeCell ref="F416:G416"/>
    <mergeCell ref="H417:I417"/>
    <mergeCell ref="H414:I414"/>
    <mergeCell ref="H416:I416"/>
    <mergeCell ref="H415:I415"/>
    <mergeCell ref="F413:G413"/>
    <mergeCell ref="H413:I413"/>
    <mergeCell ref="F411:G411"/>
    <mergeCell ref="C421:E421"/>
    <mergeCell ref="F410:G410"/>
    <mergeCell ref="H405:I405"/>
    <mergeCell ref="H406:I406"/>
    <mergeCell ref="F409:G409"/>
    <mergeCell ref="F405:G405"/>
    <mergeCell ref="F407:G407"/>
    <mergeCell ref="F408:G408"/>
    <mergeCell ref="H408:I408"/>
    <mergeCell ref="F412:G412"/>
    <mergeCell ref="H412:I412"/>
    <mergeCell ref="H410:I410"/>
    <mergeCell ref="H425:I425"/>
    <mergeCell ref="F427:G427"/>
    <mergeCell ref="F426:G426"/>
    <mergeCell ref="F428:G428"/>
    <mergeCell ref="H426:I426"/>
    <mergeCell ref="H429:I429"/>
    <mergeCell ref="F425:G425"/>
    <mergeCell ref="H427:I427"/>
    <mergeCell ref="C424:E424"/>
    <mergeCell ref="F417:G417"/>
    <mergeCell ref="H418:I418"/>
    <mergeCell ref="F422:G422"/>
    <mergeCell ref="F419:G419"/>
    <mergeCell ref="F418:G418"/>
    <mergeCell ref="F420:G420"/>
    <mergeCell ref="H420:I420"/>
    <mergeCell ref="F423:G423"/>
    <mergeCell ref="C423:E423"/>
    <mergeCell ref="C422:E422"/>
    <mergeCell ref="H422:I422"/>
    <mergeCell ref="F421:G421"/>
    <mergeCell ref="H423:I423"/>
    <mergeCell ref="F458:G458"/>
    <mergeCell ref="F439:G439"/>
    <mergeCell ref="H436:I436"/>
    <mergeCell ref="F433:G433"/>
    <mergeCell ref="H433:I433"/>
    <mergeCell ref="H439:I439"/>
    <mergeCell ref="H435:I435"/>
    <mergeCell ref="F438:G438"/>
    <mergeCell ref="F436:G436"/>
    <mergeCell ref="H437:I437"/>
    <mergeCell ref="H438:I438"/>
    <mergeCell ref="F447:G447"/>
    <mergeCell ref="H430:I430"/>
    <mergeCell ref="F435:G435"/>
    <mergeCell ref="H432:I432"/>
    <mergeCell ref="C433:E433"/>
    <mergeCell ref="C434:E434"/>
    <mergeCell ref="H434:I434"/>
    <mergeCell ref="F434:G434"/>
    <mergeCell ref="F430:G430"/>
    <mergeCell ref="F437:G437"/>
    <mergeCell ref="H428:I428"/>
    <mergeCell ref="F429:G429"/>
    <mergeCell ref="F443:G443"/>
    <mergeCell ref="F446:G446"/>
    <mergeCell ref="C481:E481"/>
    <mergeCell ref="C475:E475"/>
    <mergeCell ref="F477:G477"/>
    <mergeCell ref="C478:E478"/>
    <mergeCell ref="F469:G469"/>
    <mergeCell ref="H470:I470"/>
    <mergeCell ref="F472:G472"/>
    <mergeCell ref="F471:G471"/>
    <mergeCell ref="F473:G473"/>
    <mergeCell ref="F470:G470"/>
    <mergeCell ref="H472:I472"/>
    <mergeCell ref="C487:E487"/>
    <mergeCell ref="C486:E486"/>
    <mergeCell ref="C484:E484"/>
    <mergeCell ref="F486:G486"/>
    <mergeCell ref="C485:E485"/>
    <mergeCell ref="F482:G482"/>
    <mergeCell ref="C483:E483"/>
    <mergeCell ref="C482:E482"/>
    <mergeCell ref="F487:G487"/>
    <mergeCell ref="F480:G480"/>
    <mergeCell ref="H471:I471"/>
    <mergeCell ref="F460:G460"/>
    <mergeCell ref="H440:I440"/>
    <mergeCell ref="F444:G444"/>
    <mergeCell ref="H453:I453"/>
    <mergeCell ref="F441:G441"/>
    <mergeCell ref="H460:I460"/>
    <mergeCell ref="H452:I452"/>
    <mergeCell ref="H449:I449"/>
    <mergeCell ref="H451:I451"/>
    <mergeCell ref="H447:I447"/>
    <mergeCell ref="F452:G452"/>
    <mergeCell ref="F445:G445"/>
    <mergeCell ref="H446:I446"/>
    <mergeCell ref="F450:G450"/>
    <mergeCell ref="H454:I454"/>
    <mergeCell ref="H457:I457"/>
    <mergeCell ref="H441:I441"/>
    <mergeCell ref="H448:I448"/>
    <mergeCell ref="H442:I442"/>
    <mergeCell ref="H445:I445"/>
    <mergeCell ref="H450:I450"/>
    <mergeCell ref="H443:I443"/>
    <mergeCell ref="H455:I455"/>
    <mergeCell ref="H444:I444"/>
    <mergeCell ref="F453:G453"/>
    <mergeCell ref="F456:G456"/>
    <mergeCell ref="F457:G457"/>
    <mergeCell ref="F455:G455"/>
    <mergeCell ref="H456:I456"/>
    <mergeCell ref="H370:I370"/>
    <mergeCell ref="C370:E370"/>
    <mergeCell ref="F370:G370"/>
    <mergeCell ref="F374:G374"/>
    <mergeCell ref="H371:I371"/>
    <mergeCell ref="H381:I381"/>
    <mergeCell ref="C377:E377"/>
    <mergeCell ref="C374:E374"/>
    <mergeCell ref="F389:G389"/>
    <mergeCell ref="F384:G384"/>
    <mergeCell ref="F381:G381"/>
    <mergeCell ref="F379:G379"/>
    <mergeCell ref="F382:G382"/>
    <mergeCell ref="F373:G373"/>
    <mergeCell ref="H368:I368"/>
    <mergeCell ref="F377:G377"/>
    <mergeCell ref="H375:I375"/>
    <mergeCell ref="H373:I373"/>
    <mergeCell ref="H377:I377"/>
    <mergeCell ref="H369:I369"/>
    <mergeCell ref="F375:G375"/>
    <mergeCell ref="F371:G371"/>
    <mergeCell ref="F372:G372"/>
    <mergeCell ref="C376:E376"/>
    <mergeCell ref="C379:E379"/>
    <mergeCell ref="C371:E371"/>
    <mergeCell ref="H374:I374"/>
    <mergeCell ref="H376:I376"/>
    <mergeCell ref="H347:I347"/>
    <mergeCell ref="H343:I343"/>
    <mergeCell ref="F347:G347"/>
    <mergeCell ref="H341:I341"/>
    <mergeCell ref="C356:E356"/>
    <mergeCell ref="F354:G354"/>
    <mergeCell ref="F353:G353"/>
    <mergeCell ref="F349:G349"/>
    <mergeCell ref="H367:I367"/>
    <mergeCell ref="F369:G369"/>
    <mergeCell ref="C367:E367"/>
    <mergeCell ref="H358:I358"/>
    <mergeCell ref="C355:E355"/>
    <mergeCell ref="C359:E359"/>
    <mergeCell ref="F367:G367"/>
    <mergeCell ref="C361:E361"/>
    <mergeCell ref="C364:E364"/>
    <mergeCell ref="H364:I364"/>
    <mergeCell ref="H350:I350"/>
    <mergeCell ref="F346:G346"/>
    <mergeCell ref="H349:I349"/>
    <mergeCell ref="H342:I342"/>
    <mergeCell ref="H348:I348"/>
    <mergeCell ref="C344:E344"/>
    <mergeCell ref="C363:E363"/>
    <mergeCell ref="C365:E365"/>
    <mergeCell ref="C366:E366"/>
    <mergeCell ref="F368:G368"/>
    <mergeCell ref="H366:I366"/>
    <mergeCell ref="H356:I356"/>
    <mergeCell ref="F357:G357"/>
    <mergeCell ref="H362:I362"/>
    <mergeCell ref="H316:I316"/>
    <mergeCell ref="H311:I311"/>
    <mergeCell ref="F345:G345"/>
    <mergeCell ref="F341:G341"/>
    <mergeCell ref="F344:G344"/>
    <mergeCell ref="F343:G343"/>
    <mergeCell ref="F337:G337"/>
    <mergeCell ref="F336:G336"/>
    <mergeCell ref="F339:G339"/>
    <mergeCell ref="H346:I346"/>
    <mergeCell ref="H345:I345"/>
    <mergeCell ref="H321:I321"/>
    <mergeCell ref="H322:I322"/>
    <mergeCell ref="H320:I320"/>
    <mergeCell ref="H323:I323"/>
    <mergeCell ref="H337:I337"/>
    <mergeCell ref="H339:I339"/>
    <mergeCell ref="H336:I336"/>
    <mergeCell ref="H324:I324"/>
    <mergeCell ref="H335:I335"/>
    <mergeCell ref="H334:I334"/>
    <mergeCell ref="F335:G335"/>
    <mergeCell ref="F332:G332"/>
    <mergeCell ref="F334:G334"/>
    <mergeCell ref="H332:I332"/>
    <mergeCell ref="H333:I333"/>
    <mergeCell ref="F338:G338"/>
    <mergeCell ref="F340:G340"/>
    <mergeCell ref="F342:G342"/>
    <mergeCell ref="H344:I344"/>
    <mergeCell ref="H340:I340"/>
    <mergeCell ref="H338:I338"/>
    <mergeCell ref="F279:G279"/>
    <mergeCell ref="F290:G290"/>
    <mergeCell ref="F284:G284"/>
    <mergeCell ref="F280:G280"/>
    <mergeCell ref="F283:G283"/>
    <mergeCell ref="H307:I307"/>
    <mergeCell ref="F303:G303"/>
    <mergeCell ref="F304:G304"/>
    <mergeCell ref="H305:I305"/>
    <mergeCell ref="F281:G281"/>
    <mergeCell ref="F302:G302"/>
    <mergeCell ref="H302:I302"/>
    <mergeCell ref="H274:I274"/>
    <mergeCell ref="H281:I281"/>
    <mergeCell ref="F305:G305"/>
    <mergeCell ref="F296:G296"/>
    <mergeCell ref="F307:G307"/>
    <mergeCell ref="F298:G298"/>
    <mergeCell ref="F300:G300"/>
    <mergeCell ref="F301:G301"/>
    <mergeCell ref="F306:G306"/>
    <mergeCell ref="F295:G295"/>
    <mergeCell ref="F299:G299"/>
    <mergeCell ref="H226:I226"/>
    <mergeCell ref="H219:I219"/>
    <mergeCell ref="F217:G217"/>
    <mergeCell ref="H225:I225"/>
    <mergeCell ref="F222:G222"/>
    <mergeCell ref="H227:I227"/>
    <mergeCell ref="F226:G226"/>
    <mergeCell ref="F220:G220"/>
    <mergeCell ref="F208:G208"/>
    <mergeCell ref="H209:I209"/>
    <mergeCell ref="H194:I194"/>
    <mergeCell ref="H198:I198"/>
    <mergeCell ref="F190:G190"/>
    <mergeCell ref="H202:I202"/>
    <mergeCell ref="H205:I205"/>
    <mergeCell ref="F203:G203"/>
    <mergeCell ref="F205:G205"/>
    <mergeCell ref="H203:I203"/>
    <mergeCell ref="F214:G214"/>
    <mergeCell ref="F218:G218"/>
    <mergeCell ref="H213:I213"/>
    <mergeCell ref="F211:G211"/>
    <mergeCell ref="H221:I221"/>
    <mergeCell ref="H199:I199"/>
    <mergeCell ref="F216:G216"/>
    <mergeCell ref="F212:G212"/>
    <mergeCell ref="H200:I200"/>
    <mergeCell ref="F202:G202"/>
    <mergeCell ref="F209:G209"/>
    <mergeCell ref="H212:I212"/>
    <mergeCell ref="H214:I214"/>
    <mergeCell ref="H181:I181"/>
    <mergeCell ref="H193:I193"/>
    <mergeCell ref="H196:I196"/>
    <mergeCell ref="F182:G182"/>
    <mergeCell ref="F195:G195"/>
    <mergeCell ref="H185:I185"/>
    <mergeCell ref="H182:I182"/>
    <mergeCell ref="F183:G183"/>
    <mergeCell ref="F191:G191"/>
    <mergeCell ref="H188:I188"/>
    <mergeCell ref="H186:I186"/>
    <mergeCell ref="H190:I190"/>
    <mergeCell ref="H195:I195"/>
    <mergeCell ref="H187:I187"/>
    <mergeCell ref="H201:I201"/>
    <mergeCell ref="H192:I192"/>
    <mergeCell ref="H189:I189"/>
    <mergeCell ref="F186:G186"/>
    <mergeCell ref="H183:I183"/>
    <mergeCell ref="H184:I184"/>
    <mergeCell ref="F194:G194"/>
    <mergeCell ref="H174:I174"/>
    <mergeCell ref="H168:I168"/>
    <mergeCell ref="H166:I166"/>
    <mergeCell ref="H171:I171"/>
    <mergeCell ref="H169:I169"/>
    <mergeCell ref="H175:I175"/>
    <mergeCell ref="H177:I177"/>
    <mergeCell ref="H173:I173"/>
    <mergeCell ref="H179:I179"/>
    <mergeCell ref="H178:I178"/>
    <mergeCell ref="H176:I176"/>
    <mergeCell ref="H180:I180"/>
    <mergeCell ref="H164:I164"/>
    <mergeCell ref="H167:I167"/>
    <mergeCell ref="H211:I211"/>
    <mergeCell ref="F213:G213"/>
    <mergeCell ref="H208:I208"/>
    <mergeCell ref="F210:G210"/>
    <mergeCell ref="F174:G174"/>
    <mergeCell ref="F180:G180"/>
    <mergeCell ref="F172:G172"/>
    <mergeCell ref="F173:G173"/>
    <mergeCell ref="F176:G176"/>
    <mergeCell ref="F140:G140"/>
    <mergeCell ref="H141:I141"/>
    <mergeCell ref="C137:E137"/>
    <mergeCell ref="H150:I150"/>
    <mergeCell ref="C163:E163"/>
    <mergeCell ref="F158:G158"/>
    <mergeCell ref="C153:E153"/>
    <mergeCell ref="C147:E147"/>
    <mergeCell ref="C146:E146"/>
    <mergeCell ref="F147:G147"/>
    <mergeCell ref="H146:I146"/>
    <mergeCell ref="H149:I149"/>
    <mergeCell ref="C149:E149"/>
    <mergeCell ref="H148:I148"/>
    <mergeCell ref="F144:G144"/>
    <mergeCell ref="F146:G146"/>
    <mergeCell ref="H162:I162"/>
    <mergeCell ref="H158:I158"/>
    <mergeCell ref="H161:I161"/>
    <mergeCell ref="H142:I142"/>
    <mergeCell ref="H157:I157"/>
    <mergeCell ref="C154:E154"/>
    <mergeCell ref="C162:E162"/>
    <mergeCell ref="F150:G150"/>
    <mergeCell ref="F142:G142"/>
    <mergeCell ref="H144:I144"/>
    <mergeCell ref="H140:I140"/>
    <mergeCell ref="H143:I143"/>
    <mergeCell ref="C139:E139"/>
    <mergeCell ref="F139:G139"/>
    <mergeCell ref="F138:G138"/>
    <mergeCell ref="H163:I163"/>
    <mergeCell ref="F167:G167"/>
    <mergeCell ref="C152:E152"/>
    <mergeCell ref="H165:I165"/>
    <mergeCell ref="H151:I151"/>
    <mergeCell ref="C165:E165"/>
    <mergeCell ref="C177:E177"/>
    <mergeCell ref="C171:E171"/>
    <mergeCell ref="C159:E159"/>
    <mergeCell ref="H153:I153"/>
    <mergeCell ref="H156:I156"/>
    <mergeCell ref="H154:I154"/>
    <mergeCell ref="H152:I152"/>
    <mergeCell ref="H147:I147"/>
    <mergeCell ref="F149:G149"/>
    <mergeCell ref="H145:I145"/>
    <mergeCell ref="C151:E151"/>
    <mergeCell ref="F171:G171"/>
    <mergeCell ref="F170:G170"/>
    <mergeCell ref="F165:G165"/>
    <mergeCell ref="H170:I170"/>
    <mergeCell ref="F157:G157"/>
    <mergeCell ref="F151:G151"/>
    <mergeCell ref="F169:G169"/>
    <mergeCell ref="F163:G163"/>
    <mergeCell ref="F162:G162"/>
    <mergeCell ref="F161:G161"/>
    <mergeCell ref="C156:E156"/>
    <mergeCell ref="F166:G166"/>
    <mergeCell ref="H172:I172"/>
    <mergeCell ref="H159:I159"/>
    <mergeCell ref="H155:I155"/>
    <mergeCell ref="H160:I160"/>
    <mergeCell ref="C124:E124"/>
    <mergeCell ref="C116:E116"/>
    <mergeCell ref="H80:I80"/>
    <mergeCell ref="C104:E104"/>
    <mergeCell ref="C108:E108"/>
    <mergeCell ref="F118:G118"/>
    <mergeCell ref="C103:E103"/>
    <mergeCell ref="F115:G115"/>
    <mergeCell ref="C105:E105"/>
    <mergeCell ref="F109:G109"/>
    <mergeCell ref="F116:G116"/>
    <mergeCell ref="C111:E111"/>
    <mergeCell ref="C109:E109"/>
    <mergeCell ref="F107:G107"/>
    <mergeCell ref="C110:E110"/>
    <mergeCell ref="C112:E112"/>
    <mergeCell ref="F117:G117"/>
    <mergeCell ref="F104:G104"/>
    <mergeCell ref="C95:E95"/>
    <mergeCell ref="C82:E82"/>
    <mergeCell ref="C90:E90"/>
    <mergeCell ref="C98:E98"/>
    <mergeCell ref="F81:G81"/>
    <mergeCell ref="H117:I117"/>
    <mergeCell ref="H122:I122"/>
    <mergeCell ref="F113:G113"/>
    <mergeCell ref="F119:G119"/>
    <mergeCell ref="H96:I96"/>
    <mergeCell ref="H97:I97"/>
    <mergeCell ref="F97:G97"/>
    <mergeCell ref="H93:I93"/>
    <mergeCell ref="F100:G100"/>
    <mergeCell ref="F136:G136"/>
    <mergeCell ref="H114:I114"/>
    <mergeCell ref="H130:I130"/>
    <mergeCell ref="H136:I136"/>
    <mergeCell ref="H120:I120"/>
    <mergeCell ref="H127:I127"/>
    <mergeCell ref="H131:I131"/>
    <mergeCell ref="H123:I123"/>
    <mergeCell ref="H138:I138"/>
    <mergeCell ref="H135:I135"/>
    <mergeCell ref="H124:I124"/>
    <mergeCell ref="F30:G30"/>
    <mergeCell ref="C30:E30"/>
    <mergeCell ref="C31:E31"/>
    <mergeCell ref="F40:G40"/>
    <mergeCell ref="C38:E38"/>
    <mergeCell ref="C40:E40"/>
    <mergeCell ref="C34:E34"/>
    <mergeCell ref="F33:G33"/>
    <mergeCell ref="F38:G38"/>
    <mergeCell ref="F37:G37"/>
    <mergeCell ref="C42:E42"/>
    <mergeCell ref="C35:E35"/>
    <mergeCell ref="C36:E36"/>
    <mergeCell ref="C33:E33"/>
    <mergeCell ref="C100:E100"/>
    <mergeCell ref="C102:E102"/>
    <mergeCell ref="C71:E71"/>
    <mergeCell ref="C92:E92"/>
    <mergeCell ref="C78:E78"/>
    <mergeCell ref="C80:E80"/>
    <mergeCell ref="C44:E44"/>
    <mergeCell ref="C79:E79"/>
    <mergeCell ref="C81:E81"/>
    <mergeCell ref="C101:E101"/>
    <mergeCell ref="C70:E70"/>
    <mergeCell ref="C74:E74"/>
    <mergeCell ref="C94:E94"/>
    <mergeCell ref="F84:G84"/>
    <mergeCell ref="C99:E99"/>
    <mergeCell ref="C76:E76"/>
    <mergeCell ref="F79:G79"/>
    <mergeCell ref="F11:G11"/>
    <mergeCell ref="H13:I13"/>
    <mergeCell ref="F12:G12"/>
    <mergeCell ref="H12:I12"/>
    <mergeCell ref="H11:I11"/>
    <mergeCell ref="H34:I34"/>
    <mergeCell ref="F13:G13"/>
    <mergeCell ref="F14:G14"/>
    <mergeCell ref="F32:G32"/>
    <mergeCell ref="F31:G31"/>
    <mergeCell ref="H38:I38"/>
    <mergeCell ref="F19:G19"/>
    <mergeCell ref="C29:E29"/>
    <mergeCell ref="C32:E32"/>
    <mergeCell ref="F49:G49"/>
    <mergeCell ref="F68:G68"/>
    <mergeCell ref="F80:G80"/>
    <mergeCell ref="F50:G50"/>
    <mergeCell ref="H44:I44"/>
    <mergeCell ref="H43:I43"/>
    <mergeCell ref="C49:E49"/>
    <mergeCell ref="C50:E50"/>
    <mergeCell ref="H9:I9"/>
    <mergeCell ref="H15:I15"/>
    <mergeCell ref="H10:I10"/>
    <mergeCell ref="C9:E9"/>
    <mergeCell ref="F9:G9"/>
    <mergeCell ref="C10:E10"/>
    <mergeCell ref="F10:G10"/>
    <mergeCell ref="C11:E11"/>
    <mergeCell ref="C16:E16"/>
    <mergeCell ref="F16:G16"/>
    <mergeCell ref="F15:G15"/>
    <mergeCell ref="C17:E17"/>
    <mergeCell ref="C15:E15"/>
    <mergeCell ref="C28:E28"/>
    <mergeCell ref="F28:G28"/>
    <mergeCell ref="C21:E21"/>
    <mergeCell ref="F26:G26"/>
    <mergeCell ref="F24:G24"/>
    <mergeCell ref="H14:I14"/>
    <mergeCell ref="H23:I23"/>
    <mergeCell ref="F23:G23"/>
    <mergeCell ref="C12:E12"/>
    <mergeCell ref="C13:E13"/>
    <mergeCell ref="C23:E23"/>
    <mergeCell ref="C14:E14"/>
    <mergeCell ref="C26:E26"/>
    <mergeCell ref="C25:E25"/>
    <mergeCell ref="C24:E24"/>
    <mergeCell ref="H21:I21"/>
    <mergeCell ref="C27:E27"/>
    <mergeCell ref="F17:G17"/>
    <mergeCell ref="F27:G27"/>
    <mergeCell ref="F48:G48"/>
    <mergeCell ref="F45:G45"/>
    <mergeCell ref="F46:G46"/>
    <mergeCell ref="C47:E47"/>
    <mergeCell ref="C46:E46"/>
    <mergeCell ref="F44:G44"/>
    <mergeCell ref="F34:G34"/>
    <mergeCell ref="C37:E37"/>
    <mergeCell ref="C39:E39"/>
    <mergeCell ref="F41:G41"/>
    <mergeCell ref="F35:G35"/>
    <mergeCell ref="F36:G36"/>
    <mergeCell ref="F39:G39"/>
    <mergeCell ref="C45:E45"/>
    <mergeCell ref="C43:E43"/>
    <mergeCell ref="F42:G42"/>
    <mergeCell ref="F43:G43"/>
    <mergeCell ref="C227:E227"/>
    <mergeCell ref="F225:G225"/>
    <mergeCell ref="C230:E230"/>
    <mergeCell ref="F229:G229"/>
    <mergeCell ref="C231:E231"/>
    <mergeCell ref="C225:E225"/>
    <mergeCell ref="C218:E218"/>
    <mergeCell ref="H89:I89"/>
    <mergeCell ref="H72:I72"/>
    <mergeCell ref="F74:G74"/>
    <mergeCell ref="F67:G67"/>
    <mergeCell ref="H85:I85"/>
    <mergeCell ref="F86:G86"/>
    <mergeCell ref="F83:G83"/>
    <mergeCell ref="F69:G69"/>
    <mergeCell ref="H68:I68"/>
    <mergeCell ref="F72:G72"/>
    <mergeCell ref="C198:E198"/>
    <mergeCell ref="C219:E219"/>
    <mergeCell ref="F221:G221"/>
    <mergeCell ref="F223:G223"/>
    <mergeCell ref="C214:E214"/>
    <mergeCell ref="C215:E215"/>
    <mergeCell ref="C216:E216"/>
    <mergeCell ref="F219:G219"/>
    <mergeCell ref="C222:E222"/>
    <mergeCell ref="C223:E223"/>
    <mergeCell ref="C220:E220"/>
    <mergeCell ref="C125:E125"/>
    <mergeCell ref="C126:E126"/>
    <mergeCell ref="C122:E122"/>
    <mergeCell ref="C117:E117"/>
    <mergeCell ref="C249:E249"/>
    <mergeCell ref="F232:G232"/>
    <mergeCell ref="F265:G265"/>
    <mergeCell ref="F267:G267"/>
    <mergeCell ref="F248:G248"/>
    <mergeCell ref="F255:G255"/>
    <mergeCell ref="F258:G258"/>
    <mergeCell ref="F261:G261"/>
    <mergeCell ref="F257:G257"/>
    <mergeCell ref="F260:G260"/>
    <mergeCell ref="F269:G269"/>
    <mergeCell ref="F276:G276"/>
    <mergeCell ref="F270:G270"/>
    <mergeCell ref="F246:G246"/>
    <mergeCell ref="F249:G249"/>
    <mergeCell ref="F250:G250"/>
    <mergeCell ref="F247:G247"/>
    <mergeCell ref="F235:G235"/>
    <mergeCell ref="F234:G234"/>
    <mergeCell ref="F271:G271"/>
    <mergeCell ref="F274:G274"/>
    <mergeCell ref="F275:G275"/>
    <mergeCell ref="C346:E346"/>
    <mergeCell ref="C338:E338"/>
    <mergeCell ref="C332:E332"/>
    <mergeCell ref="C345:E345"/>
    <mergeCell ref="C288:E288"/>
    <mergeCell ref="C270:E270"/>
    <mergeCell ref="C295:E295"/>
    <mergeCell ref="C285:E285"/>
    <mergeCell ref="C286:E286"/>
    <mergeCell ref="C283:E283"/>
    <mergeCell ref="C279:E279"/>
    <mergeCell ref="C292:E292"/>
    <mergeCell ref="C282:E282"/>
    <mergeCell ref="C280:E280"/>
    <mergeCell ref="C281:E281"/>
    <mergeCell ref="C284:E284"/>
    <mergeCell ref="C276:E276"/>
    <mergeCell ref="C275:E275"/>
    <mergeCell ref="C278:E278"/>
    <mergeCell ref="C289:E289"/>
    <mergeCell ref="C299:E299"/>
    <mergeCell ref="C330:E330"/>
    <mergeCell ref="C326:E326"/>
    <mergeCell ref="C339:E339"/>
    <mergeCell ref="C333:E333"/>
    <mergeCell ref="C334:E334"/>
    <mergeCell ref="C324:E324"/>
    <mergeCell ref="C328:E328"/>
    <mergeCell ref="C290:E290"/>
    <mergeCell ref="C305:E305"/>
    <mergeCell ref="C311:E311"/>
    <mergeCell ref="C277:E277"/>
    <mergeCell ref="C416:E416"/>
    <mergeCell ref="C369:E369"/>
    <mergeCell ref="F348:G348"/>
    <mergeCell ref="F350:G350"/>
    <mergeCell ref="F366:G366"/>
    <mergeCell ref="F361:G361"/>
    <mergeCell ref="F359:G359"/>
    <mergeCell ref="F365:G365"/>
    <mergeCell ref="F363:G363"/>
    <mergeCell ref="F360:G360"/>
    <mergeCell ref="C347:E347"/>
    <mergeCell ref="C348:E348"/>
    <mergeCell ref="F351:G351"/>
    <mergeCell ref="C357:E357"/>
    <mergeCell ref="C352:E352"/>
    <mergeCell ref="C351:E351"/>
    <mergeCell ref="C358:E358"/>
    <mergeCell ref="C350:E350"/>
    <mergeCell ref="C349:E349"/>
    <mergeCell ref="C362:E362"/>
    <mergeCell ref="C360:E360"/>
    <mergeCell ref="C353:E353"/>
    <mergeCell ref="C354:E354"/>
    <mergeCell ref="C372:E372"/>
    <mergeCell ref="C386:E386"/>
    <mergeCell ref="C375:E375"/>
    <mergeCell ref="C408:E408"/>
    <mergeCell ref="C409:E409"/>
    <mergeCell ref="C411:E411"/>
    <mergeCell ref="C404:E404"/>
    <mergeCell ref="F415:G415"/>
    <mergeCell ref="F395:G395"/>
    <mergeCell ref="C429:E429"/>
    <mergeCell ref="C436:E436"/>
    <mergeCell ref="F432:G432"/>
    <mergeCell ref="F454:G454"/>
    <mergeCell ref="C454:E454"/>
    <mergeCell ref="F440:G440"/>
    <mergeCell ref="F448:G448"/>
    <mergeCell ref="C443:E443"/>
    <mergeCell ref="C451:E451"/>
    <mergeCell ref="F451:G451"/>
    <mergeCell ref="F449:G449"/>
    <mergeCell ref="C447:E447"/>
    <mergeCell ref="F442:G442"/>
    <mergeCell ref="C441:E441"/>
    <mergeCell ref="C442:E442"/>
    <mergeCell ref="C419:E419"/>
    <mergeCell ref="C417:E417"/>
    <mergeCell ref="C418:E418"/>
    <mergeCell ref="C430:E430"/>
    <mergeCell ref="C432:E432"/>
    <mergeCell ref="C435:E435"/>
    <mergeCell ref="C440:E440"/>
    <mergeCell ref="C427:E427"/>
    <mergeCell ref="C425:E425"/>
    <mergeCell ref="C438:E438"/>
    <mergeCell ref="C420:E420"/>
    <mergeCell ref="F424:G424"/>
    <mergeCell ref="F466:G466"/>
    <mergeCell ref="H469:I469"/>
    <mergeCell ref="H468:I468"/>
    <mergeCell ref="H465:I465"/>
    <mergeCell ref="H466:I466"/>
    <mergeCell ref="F464:G464"/>
    <mergeCell ref="C450:E450"/>
    <mergeCell ref="C457:E457"/>
    <mergeCell ref="C455:E455"/>
    <mergeCell ref="C452:E452"/>
    <mergeCell ref="C453:E453"/>
    <mergeCell ref="H474:I474"/>
    <mergeCell ref="C470:E470"/>
    <mergeCell ref="C469:E469"/>
    <mergeCell ref="C463:E463"/>
    <mergeCell ref="F463:G463"/>
    <mergeCell ref="C461:E461"/>
    <mergeCell ref="C459:E459"/>
    <mergeCell ref="C456:E456"/>
    <mergeCell ref="C460:E460"/>
    <mergeCell ref="C458:E458"/>
    <mergeCell ref="F459:G459"/>
    <mergeCell ref="F467:G467"/>
    <mergeCell ref="H467:I467"/>
    <mergeCell ref="H463:I463"/>
    <mergeCell ref="H458:I458"/>
    <mergeCell ref="F465:G465"/>
    <mergeCell ref="F462:G462"/>
    <mergeCell ref="H464:I464"/>
    <mergeCell ref="F461:G461"/>
    <mergeCell ref="H461:I461"/>
    <mergeCell ref="H459:I459"/>
    <mergeCell ref="C495:I495"/>
    <mergeCell ref="E489:G489"/>
    <mergeCell ref="F483:G483"/>
    <mergeCell ref="C479:E479"/>
    <mergeCell ref="H475:I475"/>
    <mergeCell ref="H487:I487"/>
    <mergeCell ref="H486:I486"/>
    <mergeCell ref="C480:E480"/>
    <mergeCell ref="C449:E449"/>
    <mergeCell ref="F478:G478"/>
    <mergeCell ref="F485:G485"/>
    <mergeCell ref="H483:I483"/>
    <mergeCell ref="H482:I482"/>
    <mergeCell ref="H478:I478"/>
    <mergeCell ref="F484:G484"/>
    <mergeCell ref="H484:I484"/>
    <mergeCell ref="H485:I485"/>
    <mergeCell ref="C473:E473"/>
    <mergeCell ref="H481:I481"/>
    <mergeCell ref="H480:I480"/>
    <mergeCell ref="H479:I479"/>
    <mergeCell ref="H476:I476"/>
    <mergeCell ref="F474:G474"/>
    <mergeCell ref="H477:I477"/>
    <mergeCell ref="F476:G476"/>
    <mergeCell ref="F481:G481"/>
    <mergeCell ref="F479:G479"/>
    <mergeCell ref="F475:G475"/>
    <mergeCell ref="C462:E462"/>
    <mergeCell ref="F468:G468"/>
    <mergeCell ref="H473:I473"/>
    <mergeCell ref="H462:I462"/>
    <mergeCell ref="C403:E403"/>
    <mergeCell ref="C392:E392"/>
    <mergeCell ref="C477:E477"/>
    <mergeCell ref="C466:E466"/>
    <mergeCell ref="C465:E465"/>
    <mergeCell ref="C467:E467"/>
    <mergeCell ref="C471:E471"/>
    <mergeCell ref="C464:E464"/>
    <mergeCell ref="C476:E476"/>
    <mergeCell ref="C472:E472"/>
    <mergeCell ref="C468:E468"/>
    <mergeCell ref="C474:E474"/>
    <mergeCell ref="C445:E445"/>
    <mergeCell ref="C444:E444"/>
    <mergeCell ref="C412:E412"/>
    <mergeCell ref="C410:E410"/>
    <mergeCell ref="C414:E414"/>
    <mergeCell ref="C407:E407"/>
    <mergeCell ref="C415:E415"/>
    <mergeCell ref="C395:E395"/>
    <mergeCell ref="C396:E396"/>
    <mergeCell ref="C437:E437"/>
    <mergeCell ref="C428:E428"/>
    <mergeCell ref="C426:E426"/>
    <mergeCell ref="C431:E431"/>
    <mergeCell ref="C439:E439"/>
    <mergeCell ref="C394:E394"/>
    <mergeCell ref="C405:E405"/>
    <mergeCell ref="C446:E446"/>
    <mergeCell ref="C448:E448"/>
    <mergeCell ref="C406:E406"/>
    <mergeCell ref="C413:E413"/>
    <mergeCell ref="C402:E402"/>
    <mergeCell ref="C384:E384"/>
    <mergeCell ref="C393:E393"/>
    <mergeCell ref="C382:E382"/>
    <mergeCell ref="C368:E368"/>
    <mergeCell ref="C387:E387"/>
    <mergeCell ref="C400:E400"/>
    <mergeCell ref="C389:E389"/>
    <mergeCell ref="C398:E398"/>
    <mergeCell ref="C385:E385"/>
    <mergeCell ref="F383:G383"/>
    <mergeCell ref="C373:E373"/>
    <mergeCell ref="F390:G390"/>
    <mergeCell ref="C401:E401"/>
    <mergeCell ref="C378:E378"/>
    <mergeCell ref="C383:E383"/>
    <mergeCell ref="C388:E388"/>
    <mergeCell ref="C381:E381"/>
    <mergeCell ref="C380:E380"/>
    <mergeCell ref="C397:E397"/>
    <mergeCell ref="C399:E399"/>
    <mergeCell ref="C390:E390"/>
    <mergeCell ref="C391:E391"/>
    <mergeCell ref="C314:E314"/>
    <mergeCell ref="C211:E211"/>
    <mergeCell ref="C212:E212"/>
    <mergeCell ref="C331:E331"/>
    <mergeCell ref="C318:E318"/>
    <mergeCell ref="C310:E310"/>
    <mergeCell ref="C300:E300"/>
    <mergeCell ref="C294:E294"/>
    <mergeCell ref="C248:E248"/>
    <mergeCell ref="C253:E253"/>
    <mergeCell ref="C343:E343"/>
    <mergeCell ref="C340:E340"/>
    <mergeCell ref="C327:E327"/>
    <mergeCell ref="C342:E342"/>
    <mergeCell ref="C329:E329"/>
    <mergeCell ref="C323:E323"/>
    <mergeCell ref="C341:E341"/>
    <mergeCell ref="C325:E325"/>
    <mergeCell ref="C335:E335"/>
    <mergeCell ref="C293:E293"/>
    <mergeCell ref="C307:E307"/>
    <mergeCell ref="C301:E301"/>
    <mergeCell ref="C336:E336"/>
    <mergeCell ref="C265:E265"/>
    <mergeCell ref="C266:E266"/>
    <mergeCell ref="C268:E268"/>
    <mergeCell ref="C267:E267"/>
    <mergeCell ref="C259:E259"/>
    <mergeCell ref="C260:E260"/>
    <mergeCell ref="C258:E258"/>
    <mergeCell ref="C251:E251"/>
    <mergeCell ref="C337:E337"/>
    <mergeCell ref="C316:E316"/>
    <mergeCell ref="C319:E319"/>
    <mergeCell ref="C315:E315"/>
    <mergeCell ref="C313:E313"/>
    <mergeCell ref="C308:E308"/>
    <mergeCell ref="C304:E304"/>
    <mergeCell ref="C291:E291"/>
    <mergeCell ref="C144:E144"/>
    <mergeCell ref="C217:E217"/>
    <mergeCell ref="C196:E196"/>
    <mergeCell ref="C174:E174"/>
    <mergeCell ref="C322:E322"/>
    <mergeCell ref="C209:E209"/>
    <mergeCell ref="C213:E213"/>
    <mergeCell ref="C201:E201"/>
    <mergeCell ref="C232:E232"/>
    <mergeCell ref="F204:G204"/>
    <mergeCell ref="C234:E234"/>
    <mergeCell ref="C205:E205"/>
    <mergeCell ref="C210:E210"/>
    <mergeCell ref="C226:E226"/>
    <mergeCell ref="C320:E320"/>
    <mergeCell ref="C317:E317"/>
    <mergeCell ref="C321:E321"/>
    <mergeCell ref="C274:E274"/>
    <mergeCell ref="C271:E271"/>
    <mergeCell ref="C269:E269"/>
    <mergeCell ref="C264:E264"/>
    <mergeCell ref="C262:E262"/>
    <mergeCell ref="C273:E273"/>
    <mergeCell ref="C250:E250"/>
    <mergeCell ref="C237:E237"/>
    <mergeCell ref="C239:E239"/>
    <mergeCell ref="C236:E236"/>
    <mergeCell ref="C235:E235"/>
    <mergeCell ref="C224:E224"/>
    <mergeCell ref="C245:E245"/>
    <mergeCell ref="C229:E229"/>
    <mergeCell ref="C228:E228"/>
    <mergeCell ref="C312:E312"/>
    <mergeCell ref="F297:G297"/>
    <mergeCell ref="F309:G309"/>
    <mergeCell ref="C309:E309"/>
    <mergeCell ref="C296:E296"/>
    <mergeCell ref="C297:E297"/>
    <mergeCell ref="C298:E298"/>
    <mergeCell ref="C306:E306"/>
    <mergeCell ref="C303:E303"/>
    <mergeCell ref="C302:E302"/>
    <mergeCell ref="C233:E233"/>
    <mergeCell ref="C254:E254"/>
    <mergeCell ref="C263:E263"/>
    <mergeCell ref="C261:E261"/>
    <mergeCell ref="C272:E272"/>
    <mergeCell ref="C252:E252"/>
    <mergeCell ref="C257:E257"/>
    <mergeCell ref="C256:E256"/>
    <mergeCell ref="C255:E255"/>
    <mergeCell ref="C238:E238"/>
    <mergeCell ref="C240:E240"/>
    <mergeCell ref="C244:E244"/>
    <mergeCell ref="C243:E243"/>
    <mergeCell ref="C241:E241"/>
    <mergeCell ref="C246:E246"/>
    <mergeCell ref="H61:I61"/>
    <mergeCell ref="H39:I39"/>
    <mergeCell ref="C72:E72"/>
    <mergeCell ref="H41:I41"/>
    <mergeCell ref="H52:I52"/>
    <mergeCell ref="H58:I58"/>
    <mergeCell ref="H66:I66"/>
    <mergeCell ref="H60:I60"/>
    <mergeCell ref="H70:I70"/>
    <mergeCell ref="H48:I48"/>
    <mergeCell ref="F47:G47"/>
    <mergeCell ref="H51:I51"/>
    <mergeCell ref="H74:I74"/>
    <mergeCell ref="H56:I56"/>
    <mergeCell ref="H55:I55"/>
    <mergeCell ref="H47:I47"/>
    <mergeCell ref="H63:I63"/>
    <mergeCell ref="F53:G53"/>
    <mergeCell ref="F71:G71"/>
    <mergeCell ref="H53:I53"/>
    <mergeCell ref="H67:I67"/>
    <mergeCell ref="F59:G59"/>
    <mergeCell ref="C52:E52"/>
    <mergeCell ref="C41:E41"/>
    <mergeCell ref="C58:E58"/>
    <mergeCell ref="F51:G51"/>
    <mergeCell ref="C54:E54"/>
    <mergeCell ref="F54:G54"/>
    <mergeCell ref="F60:G60"/>
    <mergeCell ref="F56:G56"/>
    <mergeCell ref="F52:G52"/>
    <mergeCell ref="C53:E53"/>
    <mergeCell ref="F77:G77"/>
    <mergeCell ref="C287:E287"/>
    <mergeCell ref="C118:E118"/>
    <mergeCell ref="C142:E142"/>
    <mergeCell ref="C132:E132"/>
    <mergeCell ref="F70:G70"/>
    <mergeCell ref="H69:I69"/>
    <mergeCell ref="F130:G130"/>
    <mergeCell ref="F114:G114"/>
    <mergeCell ref="H71:I71"/>
    <mergeCell ref="C167:E167"/>
    <mergeCell ref="C135:E135"/>
    <mergeCell ref="C133:E133"/>
    <mergeCell ref="C247:E247"/>
    <mergeCell ref="C242:E242"/>
    <mergeCell ref="C119:E119"/>
    <mergeCell ref="C115:E115"/>
    <mergeCell ref="C123:E123"/>
    <mergeCell ref="C172:E172"/>
    <mergeCell ref="C169:E169"/>
    <mergeCell ref="C173:E173"/>
    <mergeCell ref="C128:E128"/>
    <mergeCell ref="C113:E113"/>
    <mergeCell ref="C106:E106"/>
    <mergeCell ref="C121:E121"/>
    <mergeCell ref="C120:E120"/>
    <mergeCell ref="C127:E127"/>
    <mergeCell ref="H112:I112"/>
    <mergeCell ref="H77:I77"/>
    <mergeCell ref="C221:E221"/>
    <mergeCell ref="C141:E141"/>
    <mergeCell ref="C138:E138"/>
    <mergeCell ref="F57:G57"/>
    <mergeCell ref="H49:I49"/>
    <mergeCell ref="H65:I65"/>
    <mergeCell ref="C161:E161"/>
    <mergeCell ref="C157:E157"/>
    <mergeCell ref="C170:E170"/>
    <mergeCell ref="C158:E158"/>
    <mergeCell ref="C168:E168"/>
    <mergeCell ref="C160:E160"/>
    <mergeCell ref="H54:I54"/>
    <mergeCell ref="H31:I31"/>
    <mergeCell ref="H42:I42"/>
    <mergeCell ref="H29:I29"/>
    <mergeCell ref="H33:I33"/>
    <mergeCell ref="H35:I35"/>
    <mergeCell ref="H37:I37"/>
    <mergeCell ref="H36:I36"/>
    <mergeCell ref="H45:I45"/>
    <mergeCell ref="H40:I40"/>
    <mergeCell ref="F78:G78"/>
    <mergeCell ref="H84:I84"/>
    <mergeCell ref="H73:I73"/>
    <mergeCell ref="F76:G76"/>
    <mergeCell ref="C77:E77"/>
    <mergeCell ref="H57:I57"/>
    <mergeCell ref="C64:E64"/>
    <mergeCell ref="C62:E62"/>
    <mergeCell ref="C63:E63"/>
    <mergeCell ref="F62:G62"/>
    <mergeCell ref="C51:E51"/>
    <mergeCell ref="C48:E48"/>
    <mergeCell ref="H50:I50"/>
    <mergeCell ref="H46:I46"/>
    <mergeCell ref="C166:E166"/>
    <mergeCell ref="C140:E140"/>
    <mergeCell ref="F55:G55"/>
    <mergeCell ref="F64:G64"/>
    <mergeCell ref="F58:G58"/>
    <mergeCell ref="C67:E67"/>
    <mergeCell ref="C65:E65"/>
    <mergeCell ref="C55:E55"/>
    <mergeCell ref="C60:E60"/>
    <mergeCell ref="C59:E59"/>
    <mergeCell ref="H16:I16"/>
    <mergeCell ref="C87:E87"/>
    <mergeCell ref="F87:G87"/>
    <mergeCell ref="H87:I87"/>
    <mergeCell ref="C73:E73"/>
    <mergeCell ref="H76:I76"/>
    <mergeCell ref="F73:G73"/>
    <mergeCell ref="H32:I32"/>
    <mergeCell ref="C61:E61"/>
    <mergeCell ref="H28:I28"/>
    <mergeCell ref="H26:I26"/>
    <mergeCell ref="F21:G21"/>
    <mergeCell ref="H19:I19"/>
    <mergeCell ref="C20:E20"/>
    <mergeCell ref="F20:G20"/>
    <mergeCell ref="H20:I20"/>
    <mergeCell ref="H24:I24"/>
    <mergeCell ref="C22:E22"/>
    <mergeCell ref="F22:G22"/>
    <mergeCell ref="H22:I22"/>
    <mergeCell ref="H25:I25"/>
    <mergeCell ref="H59:I59"/>
    <mergeCell ref="C131:E131"/>
    <mergeCell ref="C143:E143"/>
    <mergeCell ref="C107:E107"/>
    <mergeCell ref="C114:E114"/>
    <mergeCell ref="F111:G111"/>
    <mergeCell ref="C89:E89"/>
    <mergeCell ref="C129:E129"/>
    <mergeCell ref="C134:E134"/>
    <mergeCell ref="C130:E130"/>
    <mergeCell ref="F122:G122"/>
    <mergeCell ref="H64:I64"/>
    <mergeCell ref="C66:E66"/>
    <mergeCell ref="C56:E56"/>
    <mergeCell ref="F61:G61"/>
    <mergeCell ref="C57:E57"/>
    <mergeCell ref="H79:I79"/>
    <mergeCell ref="C69:E69"/>
    <mergeCell ref="C68:E68"/>
    <mergeCell ref="F63:G63"/>
    <mergeCell ref="F65:G65"/>
    <mergeCell ref="F66:G66"/>
    <mergeCell ref="H62:I62"/>
    <mergeCell ref="H137:I137"/>
    <mergeCell ref="H133:I133"/>
    <mergeCell ref="H134:I134"/>
    <mergeCell ref="H129:I129"/>
    <mergeCell ref="H132:I132"/>
    <mergeCell ref="F124:G124"/>
    <mergeCell ref="F121:G121"/>
    <mergeCell ref="H113:I113"/>
    <mergeCell ref="H125:I125"/>
  </mergeCells>
  <phoneticPr fontId="15" type="noConversion"/>
  <hyperlinks>
    <hyperlink ref="D5" r:id="rId1" xr:uid="{00000000-0004-0000-0400-000000000000}"/>
    <hyperlink ref="D7" r:id="rId2" display="Наш сайт: https://usm.dp.ua/ua/" xr:uid="{00000000-0004-0000-0400-000001000000}"/>
  </hyperlinks>
  <pageMargins left="0" right="0" top="0" bottom="0" header="0.51181102362204722" footer="0.51181102362204722"/>
  <pageSetup paperSize="9" orientation="portrait" r:id="rId3"/>
  <headerFooter alignWithMargins="0"/>
  <drawing r:id="rId4"/>
  <legacy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5"/>
  <sheetViews>
    <sheetView zoomScale="120" zoomScaleNormal="120" workbookViewId="0">
      <pane ySplit="1" topLeftCell="A2" activePane="bottomLeft" state="frozen"/>
      <selection pane="bottomLeft" activeCell="D3" sqref="D3:H3"/>
    </sheetView>
  </sheetViews>
  <sheetFormatPr defaultColWidth="9.140625" defaultRowHeight="12.75" x14ac:dyDescent="0.2"/>
  <cols>
    <col min="1" max="2" width="4" style="8" customWidth="1"/>
    <col min="3" max="4" width="9.140625" style="8"/>
    <col min="5" max="5" width="39.140625" style="8" customWidth="1"/>
    <col min="6" max="6" width="4" style="8" customWidth="1"/>
    <col min="7" max="7" width="7" style="8" customWidth="1"/>
    <col min="8" max="8" width="9.140625" style="8"/>
    <col min="9" max="9" width="0.140625" style="8" customWidth="1"/>
    <col min="10" max="16384" width="9.140625" style="8"/>
  </cols>
  <sheetData>
    <row r="1" spans="1:9" ht="20.100000000000001" customHeight="1" x14ac:dyDescent="0.2">
      <c r="C1" s="181" t="s">
        <v>5410</v>
      </c>
      <c r="D1" s="309"/>
      <c r="E1" s="309"/>
      <c r="F1" s="309"/>
      <c r="G1" s="309"/>
      <c r="H1" s="309"/>
    </row>
    <row r="2" spans="1:9" ht="24" customHeight="1" x14ac:dyDescent="0.2">
      <c r="C2" s="184" t="s">
        <v>5411</v>
      </c>
      <c r="D2" s="309"/>
      <c r="E2" s="309"/>
      <c r="F2" s="309"/>
      <c r="G2" s="309"/>
      <c r="H2" s="309"/>
    </row>
    <row r="3" spans="1:9" ht="23.1" customHeight="1" x14ac:dyDescent="0.2">
      <c r="D3" s="185"/>
      <c r="E3" s="309"/>
      <c r="F3" s="309"/>
      <c r="G3" s="309"/>
      <c r="H3" s="309"/>
    </row>
    <row r="4" spans="1:9" ht="21.95" customHeight="1" x14ac:dyDescent="0.2">
      <c r="D4" s="185" t="s">
        <v>5412</v>
      </c>
      <c r="E4" s="309"/>
      <c r="F4" s="309"/>
      <c r="G4" s="309"/>
      <c r="H4" s="309"/>
    </row>
    <row r="5" spans="1:9" ht="23.1" customHeight="1" x14ac:dyDescent="0.2">
      <c r="D5" s="186" t="s">
        <v>5413</v>
      </c>
      <c r="E5" s="309"/>
      <c r="F5" s="309"/>
      <c r="G5" s="309"/>
      <c r="H5" s="309"/>
    </row>
    <row r="6" spans="1:9" ht="14.1" customHeight="1" x14ac:dyDescent="0.2"/>
    <row r="7" spans="1:9" ht="21.95" customHeight="1" x14ac:dyDescent="0.2">
      <c r="D7" s="186" t="s">
        <v>5418</v>
      </c>
      <c r="E7" s="309"/>
      <c r="F7" s="309"/>
      <c r="G7" s="309"/>
      <c r="H7" s="309"/>
    </row>
    <row r="8" spans="1:9" ht="12.95" customHeight="1" x14ac:dyDescent="0.2"/>
    <row r="9" spans="1:9" ht="18.75" thickBot="1" x14ac:dyDescent="0.3">
      <c r="A9" s="67"/>
      <c r="B9" s="67"/>
      <c r="C9" s="67"/>
      <c r="D9" s="67"/>
      <c r="E9" s="354" t="s">
        <v>5416</v>
      </c>
      <c r="F9" s="355"/>
      <c r="G9" s="355"/>
      <c r="H9" s="67"/>
    </row>
    <row r="10" spans="1:9" ht="13.5" thickBot="1" x14ac:dyDescent="0.25">
      <c r="A10" s="352" t="s">
        <v>78</v>
      </c>
      <c r="B10" s="353"/>
      <c r="C10" s="339" t="s">
        <v>20</v>
      </c>
      <c r="D10" s="308"/>
      <c r="E10" s="308"/>
      <c r="F10" s="339" t="s">
        <v>77</v>
      </c>
      <c r="G10" s="340"/>
      <c r="H10" s="341" t="s">
        <v>79</v>
      </c>
      <c r="I10" s="307"/>
    </row>
    <row r="11" spans="1:9" s="33" customFormat="1" x14ac:dyDescent="0.2">
      <c r="A11" s="67">
        <v>1</v>
      </c>
      <c r="B11" s="66"/>
      <c r="C11" s="274" t="s">
        <v>661</v>
      </c>
      <c r="D11" s="228"/>
      <c r="E11" s="272"/>
      <c r="F11" s="261" t="s">
        <v>662</v>
      </c>
      <c r="G11" s="306"/>
      <c r="H11" s="40">
        <v>12.3</v>
      </c>
      <c r="I11" s="39"/>
    </row>
    <row r="12" spans="1:9" s="33" customFormat="1" x14ac:dyDescent="0.2">
      <c r="A12" s="67">
        <v>2</v>
      </c>
      <c r="B12" s="66"/>
      <c r="C12" s="274" t="s">
        <v>3145</v>
      </c>
      <c r="D12" s="228"/>
      <c r="E12" s="272"/>
      <c r="F12" s="261" t="s">
        <v>66</v>
      </c>
      <c r="G12" s="306"/>
      <c r="H12" s="40">
        <v>14.7</v>
      </c>
      <c r="I12" s="39"/>
    </row>
    <row r="13" spans="1:9" s="33" customFormat="1" x14ac:dyDescent="0.2">
      <c r="A13" s="67">
        <v>3</v>
      </c>
      <c r="B13" s="66"/>
      <c r="C13" s="274" t="s">
        <v>258</v>
      </c>
      <c r="D13" s="228"/>
      <c r="E13" s="272"/>
      <c r="F13" s="261" t="s">
        <v>66</v>
      </c>
      <c r="G13" s="306"/>
      <c r="H13" s="31">
        <v>16.2</v>
      </c>
      <c r="I13" s="32"/>
    </row>
    <row r="14" spans="1:9" s="33" customFormat="1" x14ac:dyDescent="0.2">
      <c r="A14" s="67">
        <v>4</v>
      </c>
      <c r="B14" s="66" t="s">
        <v>3676</v>
      </c>
      <c r="C14" s="274" t="s">
        <v>2892</v>
      </c>
      <c r="D14" s="228"/>
      <c r="E14" s="272"/>
      <c r="F14" s="261" t="s">
        <v>66</v>
      </c>
      <c r="G14" s="306"/>
      <c r="H14" s="40">
        <v>107</v>
      </c>
      <c r="I14" s="39"/>
    </row>
    <row r="15" spans="1:9" s="33" customFormat="1" x14ac:dyDescent="0.2">
      <c r="A15" s="67">
        <v>5</v>
      </c>
      <c r="B15" s="66"/>
      <c r="C15" s="274" t="s">
        <v>417</v>
      </c>
      <c r="D15" s="228"/>
      <c r="E15" s="272"/>
      <c r="F15" s="261" t="s">
        <v>66</v>
      </c>
      <c r="G15" s="306"/>
      <c r="H15" s="36">
        <v>15.2</v>
      </c>
      <c r="I15" s="37"/>
    </row>
    <row r="16" spans="1:9" s="33" customFormat="1" x14ac:dyDescent="0.2">
      <c r="A16" s="67">
        <v>6</v>
      </c>
      <c r="B16" s="66"/>
      <c r="C16" s="274" t="s">
        <v>416</v>
      </c>
      <c r="D16" s="228"/>
      <c r="E16" s="272"/>
      <c r="F16" s="261" t="s">
        <v>66</v>
      </c>
      <c r="G16" s="306"/>
      <c r="H16" s="36">
        <v>15.4</v>
      </c>
      <c r="I16" s="37"/>
    </row>
    <row r="17" spans="1:10" s="3" customFormat="1" ht="15.75" x14ac:dyDescent="0.25">
      <c r="A17" s="11"/>
      <c r="B17" s="11"/>
      <c r="C17" s="12"/>
      <c r="D17" s="12"/>
      <c r="E17" s="30"/>
      <c r="F17" s="13"/>
      <c r="G17" s="13"/>
      <c r="H17" s="14"/>
      <c r="I17" s="14"/>
      <c r="J17" s="17"/>
    </row>
    <row r="18" spans="1:10" s="3" customFormat="1" ht="13.5" customHeight="1" x14ac:dyDescent="0.2">
      <c r="A18" s="4"/>
      <c r="B18" s="4"/>
      <c r="C18" s="4"/>
      <c r="D18" s="6"/>
      <c r="E18" s="304"/>
      <c r="F18" s="304"/>
      <c r="G18" s="304"/>
      <c r="H18" s="6"/>
      <c r="I18" s="4"/>
      <c r="J18" s="17"/>
    </row>
    <row r="19" spans="1:10" s="3" customFormat="1" ht="13.5" customHeight="1" x14ac:dyDescent="0.2">
      <c r="A19" s="4"/>
      <c r="B19" s="4"/>
      <c r="C19" s="4"/>
      <c r="D19" s="4"/>
      <c r="E19" s="21"/>
      <c r="F19" s="4"/>
      <c r="G19" s="4"/>
      <c r="H19" s="7"/>
      <c r="I19" s="4"/>
      <c r="J19" s="17"/>
    </row>
    <row r="20" spans="1:10" s="3" customFormat="1" ht="15.75" x14ac:dyDescent="0.2">
      <c r="A20" s="4"/>
      <c r="B20" s="4"/>
      <c r="C20" s="4"/>
      <c r="D20" s="305"/>
      <c r="E20" s="305"/>
      <c r="F20" s="305"/>
      <c r="G20" s="305"/>
      <c r="H20" s="305"/>
      <c r="I20" s="305"/>
      <c r="J20" s="17"/>
    </row>
    <row r="21" spans="1:10" s="3" customFormat="1" ht="15.75" x14ac:dyDescent="0.2">
      <c r="A21" s="4"/>
      <c r="B21" s="4"/>
      <c r="C21" s="4"/>
      <c r="D21" s="5"/>
      <c r="E21" s="21"/>
      <c r="F21" s="5"/>
      <c r="G21" s="5"/>
      <c r="H21" s="5"/>
      <c r="I21" s="5"/>
      <c r="J21" s="17"/>
    </row>
    <row r="22" spans="1:10" s="3" customFormat="1" ht="15.75" x14ac:dyDescent="0.2">
      <c r="A22" s="4"/>
      <c r="B22" s="4"/>
      <c r="C22" s="4"/>
      <c r="D22" s="305"/>
      <c r="E22" s="305"/>
      <c r="F22" s="305"/>
      <c r="G22" s="305"/>
      <c r="H22" s="305"/>
      <c r="I22" s="305"/>
      <c r="J22" s="17"/>
    </row>
    <row r="23" spans="1:10" s="3" customFormat="1" ht="19.5" customHeight="1" x14ac:dyDescent="0.2">
      <c r="A23" s="4"/>
      <c r="B23" s="4"/>
      <c r="C23" s="4"/>
      <c r="D23" s="4"/>
      <c r="E23" s="21"/>
      <c r="F23" s="4"/>
      <c r="G23" s="4"/>
      <c r="H23" s="4"/>
      <c r="I23" s="4"/>
      <c r="J23" s="17"/>
    </row>
    <row r="24" spans="1:10" s="3" customFormat="1" ht="13.5" customHeight="1" x14ac:dyDescent="0.2">
      <c r="A24" s="4"/>
      <c r="B24" s="4"/>
      <c r="C24" s="304"/>
      <c r="D24" s="304"/>
      <c r="E24" s="304"/>
      <c r="F24" s="304"/>
      <c r="G24" s="304"/>
      <c r="H24" s="304"/>
      <c r="I24" s="304"/>
      <c r="J24" s="17"/>
    </row>
    <row r="25" spans="1:10" s="3" customFormat="1" ht="13.5" customHeight="1" x14ac:dyDescent="0.2">
      <c r="A25" s="4"/>
      <c r="B25" s="4"/>
      <c r="C25" s="6"/>
      <c r="D25" s="6"/>
      <c r="E25" s="21"/>
      <c r="F25" s="6"/>
      <c r="G25" s="6"/>
      <c r="H25" s="6"/>
      <c r="I25" s="6"/>
      <c r="J25" s="17"/>
    </row>
  </sheetData>
  <autoFilter ref="A10:I13" xr:uid="{00000000-0009-0000-0000-000005000000}">
    <filterColumn colId="2" showButton="0"/>
    <filterColumn colId="3" showButton="0"/>
    <filterColumn colId="5" showButton="0"/>
    <filterColumn colId="7" showButton="0"/>
  </autoFilter>
  <mergeCells count="26">
    <mergeCell ref="D7:H7"/>
    <mergeCell ref="C1:H1"/>
    <mergeCell ref="C2:H2"/>
    <mergeCell ref="D3:H3"/>
    <mergeCell ref="D4:H4"/>
    <mergeCell ref="D5:H5"/>
    <mergeCell ref="E9:G9"/>
    <mergeCell ref="C10:E10"/>
    <mergeCell ref="F10:G10"/>
    <mergeCell ref="C11:E11"/>
    <mergeCell ref="C12:E12"/>
    <mergeCell ref="H10:I10"/>
    <mergeCell ref="F11:G11"/>
    <mergeCell ref="C15:E15"/>
    <mergeCell ref="C14:E14"/>
    <mergeCell ref="F14:G14"/>
    <mergeCell ref="F12:G12"/>
    <mergeCell ref="C24:I24"/>
    <mergeCell ref="D22:I22"/>
    <mergeCell ref="F13:G13"/>
    <mergeCell ref="C13:E13"/>
    <mergeCell ref="D20:I20"/>
    <mergeCell ref="E18:G18"/>
    <mergeCell ref="C16:E16"/>
    <mergeCell ref="F16:G16"/>
    <mergeCell ref="F15:G15"/>
  </mergeCells>
  <phoneticPr fontId="15" type="noConversion"/>
  <hyperlinks>
    <hyperlink ref="D5" r:id="rId1" xr:uid="{00000000-0004-0000-0500-000000000000}"/>
    <hyperlink ref="D7" r:id="rId2" display="Наш сайт: https://usm.dp.ua/ua/" xr:uid="{00000000-0004-0000-0500-000001000000}"/>
  </hyperlinks>
  <pageMargins left="0.75" right="0.75" top="1" bottom="1" header="0.5" footer="0.5"/>
  <pageSetup paperSize="9" orientation="portrait" r:id="rId3"/>
  <headerFooter alignWithMargins="0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3"/>
  <sheetViews>
    <sheetView zoomScale="120" zoomScaleNormal="120" workbookViewId="0">
      <pane ySplit="1" topLeftCell="A2" activePane="bottomLeft" state="frozen"/>
      <selection pane="bottomLeft" activeCell="D3" sqref="D3:H3"/>
    </sheetView>
  </sheetViews>
  <sheetFormatPr defaultColWidth="9.140625" defaultRowHeight="12.75" x14ac:dyDescent="0.2"/>
  <cols>
    <col min="1" max="1" width="4" style="8" customWidth="1"/>
    <col min="2" max="3" width="9.140625" style="8"/>
    <col min="4" max="4" width="39.140625" style="8" customWidth="1"/>
    <col min="5" max="5" width="9.140625" style="8"/>
    <col min="6" max="6" width="4.85546875" style="8" customWidth="1"/>
    <col min="7" max="7" width="11.28515625" style="8" customWidth="1"/>
    <col min="8" max="8" width="2.140625" style="8" hidden="1" customWidth="1"/>
    <col min="9" max="16384" width="9.140625" style="8"/>
  </cols>
  <sheetData>
    <row r="1" spans="1:15" ht="20.100000000000001" customHeight="1" x14ac:dyDescent="0.2">
      <c r="C1" s="181" t="s">
        <v>5410</v>
      </c>
      <c r="D1" s="309"/>
      <c r="E1" s="309"/>
      <c r="F1" s="309"/>
      <c r="G1" s="309"/>
      <c r="H1" s="309"/>
    </row>
    <row r="2" spans="1:15" ht="24" customHeight="1" x14ac:dyDescent="0.2">
      <c r="C2" s="184" t="s">
        <v>5411</v>
      </c>
      <c r="D2" s="309"/>
      <c r="E2" s="309"/>
      <c r="F2" s="309"/>
      <c r="G2" s="309"/>
      <c r="H2" s="309"/>
    </row>
    <row r="3" spans="1:15" ht="23.1" customHeight="1" x14ac:dyDescent="0.2">
      <c r="D3" s="185"/>
      <c r="E3" s="309"/>
      <c r="F3" s="309"/>
      <c r="G3" s="309"/>
      <c r="H3" s="309"/>
    </row>
    <row r="4" spans="1:15" ht="21.95" customHeight="1" x14ac:dyDescent="0.2">
      <c r="D4" s="185" t="s">
        <v>5412</v>
      </c>
      <c r="E4" s="309"/>
      <c r="F4" s="309"/>
      <c r="G4" s="309"/>
      <c r="H4" s="309"/>
    </row>
    <row r="5" spans="1:15" ht="23.1" customHeight="1" x14ac:dyDescent="0.2">
      <c r="D5" s="186" t="s">
        <v>5413</v>
      </c>
      <c r="E5" s="309"/>
      <c r="F5" s="309"/>
      <c r="G5" s="309"/>
      <c r="H5" s="309"/>
    </row>
    <row r="6" spans="1:15" ht="14.1" customHeight="1" x14ac:dyDescent="0.2"/>
    <row r="7" spans="1:15" ht="21.95" customHeight="1" x14ac:dyDescent="0.2">
      <c r="D7" s="186" t="s">
        <v>5419</v>
      </c>
      <c r="E7" s="309"/>
      <c r="F7" s="309"/>
      <c r="G7" s="309"/>
      <c r="H7" s="309"/>
    </row>
    <row r="8" spans="1:15" ht="12.95" customHeight="1" x14ac:dyDescent="0.2"/>
    <row r="9" spans="1:15" ht="18.75" thickBot="1" x14ac:dyDescent="0.3">
      <c r="A9" s="342"/>
      <c r="B9" s="343"/>
      <c r="C9" s="343"/>
      <c r="D9" s="344" t="s">
        <v>5415</v>
      </c>
      <c r="E9" s="345"/>
      <c r="F9" s="345"/>
      <c r="G9" s="346"/>
    </row>
    <row r="10" spans="1:15" ht="13.5" thickBot="1" x14ac:dyDescent="0.25">
      <c r="A10" s="338" t="s">
        <v>78</v>
      </c>
      <c r="B10" s="339" t="s">
        <v>20</v>
      </c>
      <c r="C10" s="308"/>
      <c r="D10" s="308"/>
      <c r="E10" s="339" t="s">
        <v>77</v>
      </c>
      <c r="F10" s="340"/>
      <c r="G10" s="341" t="s">
        <v>22</v>
      </c>
      <c r="H10" s="307"/>
    </row>
    <row r="11" spans="1:15" x14ac:dyDescent="0.2">
      <c r="A11" s="9">
        <v>1</v>
      </c>
      <c r="B11" s="310" t="s">
        <v>108</v>
      </c>
      <c r="C11" s="311"/>
      <c r="D11" s="312"/>
      <c r="E11" s="313" t="s">
        <v>76</v>
      </c>
      <c r="F11" s="314"/>
      <c r="G11" s="318">
        <v>1</v>
      </c>
      <c r="H11" s="317"/>
      <c r="M11" s="35"/>
      <c r="N11" s="35"/>
      <c r="O11" s="34"/>
    </row>
    <row r="12" spans="1:15" x14ac:dyDescent="0.2">
      <c r="A12" s="10">
        <v>2</v>
      </c>
      <c r="B12" s="319" t="s">
        <v>60</v>
      </c>
      <c r="C12" s="311"/>
      <c r="D12" s="312"/>
      <c r="E12" s="313" t="s">
        <v>76</v>
      </c>
      <c r="F12" s="314"/>
      <c r="G12" s="318">
        <v>2</v>
      </c>
      <c r="H12" s="317"/>
    </row>
    <row r="13" spans="1:15" x14ac:dyDescent="0.2">
      <c r="A13" s="10">
        <v>3</v>
      </c>
      <c r="B13" s="310" t="s">
        <v>181</v>
      </c>
      <c r="C13" s="311"/>
      <c r="D13" s="312"/>
      <c r="E13" s="313" t="s">
        <v>57</v>
      </c>
      <c r="F13" s="314"/>
      <c r="G13" s="318">
        <v>2</v>
      </c>
      <c r="H13" s="317"/>
    </row>
    <row r="14" spans="1:15" x14ac:dyDescent="0.2">
      <c r="A14" s="10">
        <v>4</v>
      </c>
      <c r="B14" s="310" t="s">
        <v>325</v>
      </c>
      <c r="C14" s="311"/>
      <c r="D14" s="312"/>
      <c r="E14" s="315" t="s">
        <v>76</v>
      </c>
      <c r="F14" s="314"/>
      <c r="G14" s="316">
        <v>1</v>
      </c>
      <c r="H14" s="317"/>
    </row>
    <row r="15" spans="1:15" s="3" customFormat="1" ht="15.75" x14ac:dyDescent="0.25">
      <c r="A15" s="11"/>
      <c r="B15" s="12"/>
      <c r="C15" s="12"/>
      <c r="D15" s="30"/>
      <c r="E15" s="13"/>
      <c r="F15" s="13"/>
      <c r="G15" s="14"/>
      <c r="H15" s="14"/>
      <c r="I15" s="24"/>
      <c r="J15" s="16"/>
      <c r="K15" s="17"/>
    </row>
    <row r="16" spans="1:15" s="3" customFormat="1" ht="13.5" customHeight="1" x14ac:dyDescent="0.2">
      <c r="A16" s="4"/>
      <c r="B16" s="4"/>
      <c r="C16" s="6"/>
      <c r="D16" s="304"/>
      <c r="E16" s="304"/>
      <c r="F16" s="304"/>
      <c r="G16" s="6"/>
      <c r="H16" s="4"/>
      <c r="I16" s="24"/>
      <c r="J16" s="17"/>
      <c r="K16" s="17"/>
    </row>
    <row r="17" spans="1:11" s="3" customFormat="1" ht="13.5" customHeight="1" x14ac:dyDescent="0.2">
      <c r="A17" s="4"/>
      <c r="B17" s="4"/>
      <c r="C17" s="4"/>
      <c r="D17" s="21"/>
      <c r="E17" s="4"/>
      <c r="F17" s="4"/>
      <c r="G17" s="7"/>
      <c r="H17" s="4"/>
      <c r="I17" s="24"/>
      <c r="J17" s="17"/>
      <c r="K17" s="17"/>
    </row>
    <row r="18" spans="1:11" s="3" customFormat="1" ht="13.5" customHeight="1" x14ac:dyDescent="0.2">
      <c r="A18" s="4"/>
      <c r="B18" s="304"/>
      <c r="C18" s="304"/>
      <c r="D18" s="304"/>
      <c r="E18" s="304"/>
      <c r="F18" s="304"/>
      <c r="G18" s="304"/>
      <c r="H18" s="304"/>
      <c r="I18" s="24"/>
      <c r="J18" s="17"/>
      <c r="K18" s="17"/>
    </row>
    <row r="19" spans="1:11" s="3" customFormat="1" ht="13.5" customHeight="1" x14ac:dyDescent="0.2">
      <c r="A19" s="4"/>
      <c r="B19" s="6"/>
      <c r="C19" s="6"/>
      <c r="D19" s="21"/>
      <c r="E19" s="6"/>
      <c r="F19" s="6"/>
      <c r="G19" s="6"/>
      <c r="H19" s="6"/>
      <c r="I19" s="24"/>
      <c r="J19" s="17"/>
      <c r="K19" s="17"/>
    </row>
    <row r="20" spans="1:11" s="3" customFormat="1" ht="15.75" x14ac:dyDescent="0.2">
      <c r="A20" s="4"/>
      <c r="B20" s="4"/>
      <c r="C20" s="305"/>
      <c r="D20" s="305"/>
      <c r="E20" s="305"/>
      <c r="F20" s="305"/>
      <c r="G20" s="305"/>
      <c r="H20" s="4"/>
      <c r="I20" s="24"/>
      <c r="J20" s="17"/>
      <c r="K20" s="17"/>
    </row>
    <row r="21" spans="1:11" s="3" customFormat="1" ht="15.75" x14ac:dyDescent="0.2">
      <c r="A21" s="4"/>
      <c r="B21" s="4"/>
      <c r="C21" s="5"/>
      <c r="D21" s="21"/>
      <c r="E21" s="5"/>
      <c r="F21" s="5"/>
      <c r="G21" s="5"/>
      <c r="H21" s="4"/>
      <c r="I21" s="24"/>
      <c r="J21" s="17"/>
      <c r="K21" s="17"/>
    </row>
    <row r="22" spans="1:11" s="3" customFormat="1" ht="20.25" customHeight="1" x14ac:dyDescent="0.2">
      <c r="A22" s="4"/>
      <c r="B22" s="4"/>
      <c r="C22" s="4"/>
      <c r="D22" s="5"/>
      <c r="E22" s="4"/>
      <c r="F22" s="4"/>
      <c r="G22" s="4"/>
      <c r="H22" s="4"/>
      <c r="I22" s="24"/>
      <c r="J22" s="17"/>
      <c r="K22" s="17"/>
    </row>
    <row r="23" spans="1:11" s="3" customFormat="1" ht="19.5" customHeight="1" x14ac:dyDescent="0.2">
      <c r="A23" s="4"/>
      <c r="B23" s="4"/>
      <c r="C23" s="4"/>
      <c r="D23" s="21"/>
      <c r="E23" s="4"/>
      <c r="F23" s="4"/>
      <c r="G23" s="4"/>
      <c r="H23" s="4"/>
      <c r="I23" s="24"/>
      <c r="J23" s="17"/>
      <c r="K23" s="17"/>
    </row>
  </sheetData>
  <autoFilter ref="A10:H11" xr:uid="{00000000-0009-0000-0000-000006000000}">
    <filterColumn colId="1" showButton="0"/>
    <filterColumn colId="2" showButton="0"/>
    <filterColumn colId="4" showButton="0"/>
    <filterColumn colId="6" showButton="0"/>
  </autoFilter>
  <mergeCells count="25">
    <mergeCell ref="D7:H7"/>
    <mergeCell ref="C1:H1"/>
    <mergeCell ref="C2:H2"/>
    <mergeCell ref="D3:H3"/>
    <mergeCell ref="D4:H4"/>
    <mergeCell ref="D5:H5"/>
    <mergeCell ref="E12:F12"/>
    <mergeCell ref="G12:H12"/>
    <mergeCell ref="D9:F9"/>
    <mergeCell ref="B10:D10"/>
    <mergeCell ref="E10:F10"/>
    <mergeCell ref="E11:F11"/>
    <mergeCell ref="G11:H11"/>
    <mergeCell ref="G10:H10"/>
    <mergeCell ref="B11:D11"/>
    <mergeCell ref="B12:D12"/>
    <mergeCell ref="C20:G20"/>
    <mergeCell ref="B18:H18"/>
    <mergeCell ref="D16:F16"/>
    <mergeCell ref="B13:D13"/>
    <mergeCell ref="E13:F13"/>
    <mergeCell ref="B14:D14"/>
    <mergeCell ref="E14:F14"/>
    <mergeCell ref="G14:H14"/>
    <mergeCell ref="G13:H13"/>
  </mergeCells>
  <phoneticPr fontId="15" type="noConversion"/>
  <hyperlinks>
    <hyperlink ref="D5" r:id="rId1" xr:uid="{00000000-0004-0000-0600-000000000000}"/>
    <hyperlink ref="D7" r:id="rId2" display="Наш сайт: https://usm.dp.ua/ua/" xr:uid="{00000000-0004-0000-0600-000001000000}"/>
  </hyperlinks>
  <pageMargins left="0.75" right="0.75" top="1" bottom="1" header="0.5" footer="0.5"/>
  <pageSetup paperSize="9" orientation="portrait" r:id="rId3"/>
  <headerFooter alignWithMargins="0"/>
  <drawing r:id="rId4"/>
  <legacyDrawing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7"/>
  <sheetViews>
    <sheetView zoomScale="120" zoomScaleNormal="120" workbookViewId="0">
      <pane ySplit="1" topLeftCell="A2" activePane="bottomLeft" state="frozen"/>
      <selection pane="bottomLeft" activeCell="D3" sqref="D3:H3"/>
    </sheetView>
  </sheetViews>
  <sheetFormatPr defaultColWidth="9.140625" defaultRowHeight="11.25" x14ac:dyDescent="0.2"/>
  <cols>
    <col min="1" max="1" width="4.28515625" style="3" customWidth="1"/>
    <col min="2" max="3" width="9.140625" style="3"/>
    <col min="4" max="4" width="40.5703125" style="3" customWidth="1"/>
    <col min="5" max="5" width="10.42578125" style="3" customWidth="1"/>
    <col min="6" max="6" width="5" style="3" customWidth="1"/>
    <col min="7" max="7" width="9.7109375" style="7" customWidth="1"/>
    <col min="8" max="8" width="1.140625" style="3" hidden="1" customWidth="1"/>
    <col min="9" max="16384" width="9.140625" style="3"/>
  </cols>
  <sheetData>
    <row r="1" spans="1:8" ht="20.100000000000001" customHeight="1" x14ac:dyDescent="0.2">
      <c r="C1" s="181" t="s">
        <v>5410</v>
      </c>
      <c r="D1" s="329"/>
      <c r="E1" s="329"/>
      <c r="F1" s="329"/>
      <c r="G1" s="330"/>
      <c r="H1" s="329"/>
    </row>
    <row r="2" spans="1:8" ht="24" customHeight="1" x14ac:dyDescent="0.2">
      <c r="C2" s="184" t="s">
        <v>5411</v>
      </c>
      <c r="D2" s="329"/>
      <c r="E2" s="329"/>
      <c r="F2" s="329"/>
      <c r="G2" s="330"/>
      <c r="H2" s="329"/>
    </row>
    <row r="3" spans="1:8" ht="23.1" customHeight="1" x14ac:dyDescent="0.2">
      <c r="D3" s="185"/>
      <c r="E3" s="329"/>
      <c r="F3" s="329"/>
      <c r="G3" s="330"/>
      <c r="H3" s="329"/>
    </row>
    <row r="4" spans="1:8" ht="21.95" customHeight="1" x14ac:dyDescent="0.2">
      <c r="D4" s="185" t="s">
        <v>5412</v>
      </c>
      <c r="E4" s="329"/>
      <c r="F4" s="329"/>
      <c r="G4" s="330"/>
      <c r="H4" s="329"/>
    </row>
    <row r="5" spans="1:8" ht="23.1" customHeight="1" x14ac:dyDescent="0.2">
      <c r="D5" s="186" t="s">
        <v>5413</v>
      </c>
      <c r="E5" s="329"/>
      <c r="F5" s="329"/>
      <c r="G5" s="330"/>
      <c r="H5" s="329"/>
    </row>
    <row r="6" spans="1:8" ht="14.1" customHeight="1" x14ac:dyDescent="0.2"/>
    <row r="7" spans="1:8" ht="21.95" customHeight="1" x14ac:dyDescent="0.2">
      <c r="D7" s="186" t="s">
        <v>5418</v>
      </c>
      <c r="E7" s="329"/>
      <c r="F7" s="329"/>
      <c r="G7" s="330"/>
      <c r="H7" s="329"/>
    </row>
    <row r="8" spans="1:8" ht="12.95" customHeight="1" thickBot="1" x14ac:dyDescent="0.25"/>
    <row r="9" spans="1:8" s="1" customFormat="1" ht="15" customHeight="1" thickBot="1" x14ac:dyDescent="0.3">
      <c r="A9" s="2" t="s">
        <v>78</v>
      </c>
      <c r="B9" s="325" t="s">
        <v>5414</v>
      </c>
      <c r="C9" s="326"/>
      <c r="D9" s="326"/>
      <c r="E9" s="327" t="s">
        <v>77</v>
      </c>
      <c r="F9" s="347"/>
      <c r="G9" s="350" t="s">
        <v>79</v>
      </c>
      <c r="H9" s="350"/>
    </row>
    <row r="10" spans="1:8" s="17" customFormat="1" ht="12.75" x14ac:dyDescent="0.2">
      <c r="A10" s="19">
        <v>1</v>
      </c>
      <c r="B10" s="275" t="s">
        <v>340</v>
      </c>
      <c r="C10" s="232"/>
      <c r="D10" s="276"/>
      <c r="E10" s="223" t="s">
        <v>284</v>
      </c>
      <c r="F10" s="348"/>
      <c r="G10" s="230"/>
      <c r="H10" s="230"/>
    </row>
    <row r="11" spans="1:8" s="17" customFormat="1" ht="12.75" x14ac:dyDescent="0.2">
      <c r="A11" s="19">
        <v>2</v>
      </c>
      <c r="B11" s="275" t="s">
        <v>307</v>
      </c>
      <c r="C11" s="232"/>
      <c r="D11" s="276"/>
      <c r="E11" s="223" t="s">
        <v>284</v>
      </c>
      <c r="F11" s="348"/>
      <c r="G11" s="230"/>
      <c r="H11" s="230"/>
    </row>
    <row r="12" spans="1:8" s="17" customFormat="1" ht="12.75" x14ac:dyDescent="0.2">
      <c r="A12" s="19">
        <v>3</v>
      </c>
      <c r="B12" s="275" t="s">
        <v>266</v>
      </c>
      <c r="C12" s="232"/>
      <c r="D12" s="276"/>
      <c r="E12" s="223" t="s">
        <v>172</v>
      </c>
      <c r="F12" s="348"/>
      <c r="G12" s="230">
        <f>42.4+9.5</f>
        <v>51.9</v>
      </c>
      <c r="H12" s="230"/>
    </row>
    <row r="13" spans="1:8" s="17" customFormat="1" ht="12.75" x14ac:dyDescent="0.2">
      <c r="A13" s="19">
        <v>4</v>
      </c>
      <c r="B13" s="275" t="s">
        <v>1248</v>
      </c>
      <c r="C13" s="232"/>
      <c r="D13" s="276"/>
      <c r="E13" s="223" t="s">
        <v>172</v>
      </c>
      <c r="F13" s="348"/>
      <c r="G13" s="230"/>
      <c r="H13" s="230"/>
    </row>
    <row r="14" spans="1:8" ht="12.75" x14ac:dyDescent="0.2">
      <c r="A14" s="19">
        <v>5</v>
      </c>
      <c r="B14" s="320" t="s">
        <v>906</v>
      </c>
      <c r="C14" s="321"/>
      <c r="D14" s="322"/>
      <c r="E14" s="323" t="s">
        <v>907</v>
      </c>
      <c r="F14" s="349"/>
      <c r="G14" s="351"/>
      <c r="H14" s="351"/>
    </row>
    <row r="15" spans="1:8" ht="12.75" x14ac:dyDescent="0.2">
      <c r="A15" s="19">
        <v>6</v>
      </c>
      <c r="B15" s="320" t="s">
        <v>1229</v>
      </c>
      <c r="C15" s="321"/>
      <c r="D15" s="322"/>
      <c r="E15" s="323" t="s">
        <v>1230</v>
      </c>
      <c r="F15" s="349"/>
      <c r="G15" s="351"/>
      <c r="H15" s="351"/>
    </row>
    <row r="16" spans="1:8" s="17" customFormat="1" ht="12.75" x14ac:dyDescent="0.2">
      <c r="A16" s="19">
        <v>7</v>
      </c>
      <c r="B16" s="275" t="s">
        <v>263</v>
      </c>
      <c r="C16" s="232"/>
      <c r="D16" s="276"/>
      <c r="E16" s="223" t="s">
        <v>208</v>
      </c>
      <c r="F16" s="348"/>
      <c r="G16" s="230"/>
      <c r="H16" s="230"/>
    </row>
    <row r="17" spans="1:8" ht="12.75" x14ac:dyDescent="0.2">
      <c r="A17" s="19">
        <v>8</v>
      </c>
      <c r="B17" s="320" t="s">
        <v>262</v>
      </c>
      <c r="C17" s="321"/>
      <c r="D17" s="322"/>
      <c r="E17" s="323" t="s">
        <v>191</v>
      </c>
      <c r="F17" s="349"/>
      <c r="G17" s="351">
        <v>3.6</v>
      </c>
      <c r="H17" s="351"/>
    </row>
    <row r="18" spans="1:8" ht="12.75" x14ac:dyDescent="0.2">
      <c r="A18" s="19">
        <v>9</v>
      </c>
      <c r="B18" s="320" t="s">
        <v>1794</v>
      </c>
      <c r="C18" s="321"/>
      <c r="D18" s="322"/>
      <c r="E18" s="323" t="s">
        <v>228</v>
      </c>
      <c r="F18" s="349"/>
      <c r="G18" s="351">
        <v>6.5</v>
      </c>
      <c r="H18" s="351"/>
    </row>
    <row r="19" spans="1:8" s="17" customFormat="1" ht="12.75" x14ac:dyDescent="0.2">
      <c r="A19" s="19">
        <v>10</v>
      </c>
      <c r="B19" s="275" t="s">
        <v>264</v>
      </c>
      <c r="C19" s="232"/>
      <c r="D19" s="276"/>
      <c r="E19" s="223" t="s">
        <v>204</v>
      </c>
      <c r="F19" s="348"/>
      <c r="G19" s="230">
        <f>53+15.5-68.5</f>
        <v>0</v>
      </c>
      <c r="H19" s="230"/>
    </row>
    <row r="20" spans="1:8" ht="12.75" x14ac:dyDescent="0.2">
      <c r="A20" s="19">
        <v>11</v>
      </c>
      <c r="B20" s="320" t="s">
        <v>265</v>
      </c>
      <c r="C20" s="321"/>
      <c r="D20" s="322"/>
      <c r="E20" s="323" t="s">
        <v>206</v>
      </c>
      <c r="F20" s="349"/>
      <c r="G20" s="351"/>
      <c r="H20" s="351"/>
    </row>
    <row r="21" spans="1:8" ht="12.75" x14ac:dyDescent="0.2">
      <c r="A21" s="19">
        <v>12</v>
      </c>
      <c r="B21" s="320" t="s">
        <v>1481</v>
      </c>
      <c r="C21" s="321"/>
      <c r="D21" s="322"/>
      <c r="E21" s="323" t="s">
        <v>1824</v>
      </c>
      <c r="F21" s="349"/>
      <c r="G21" s="351">
        <v>101</v>
      </c>
      <c r="H21" s="351"/>
    </row>
    <row r="22" spans="1:8" ht="12.75" x14ac:dyDescent="0.2">
      <c r="A22" s="19">
        <v>13</v>
      </c>
      <c r="B22" s="320" t="s">
        <v>1255</v>
      </c>
      <c r="C22" s="321"/>
      <c r="D22" s="322"/>
      <c r="E22" s="323" t="s">
        <v>1256</v>
      </c>
      <c r="F22" s="349"/>
      <c r="G22" s="351">
        <f>402-10-2</f>
        <v>390</v>
      </c>
      <c r="H22" s="351"/>
    </row>
    <row r="23" spans="1:8" ht="12.75" x14ac:dyDescent="0.2">
      <c r="A23" s="19">
        <v>14</v>
      </c>
      <c r="B23" s="275" t="s">
        <v>1231</v>
      </c>
      <c r="C23" s="232"/>
      <c r="D23" s="276"/>
      <c r="E23" s="223" t="s">
        <v>1482</v>
      </c>
      <c r="F23" s="348"/>
      <c r="G23" s="230"/>
      <c r="H23" s="230"/>
    </row>
    <row r="24" spans="1:8" s="17" customFormat="1" ht="12.75" x14ac:dyDescent="0.2">
      <c r="A24" s="19">
        <v>15</v>
      </c>
      <c r="B24" s="220" t="s">
        <v>269</v>
      </c>
      <c r="C24" s="220"/>
      <c r="D24" s="220"/>
      <c r="E24" s="222" t="s">
        <v>148</v>
      </c>
      <c r="F24" s="223"/>
      <c r="G24" s="230"/>
      <c r="H24" s="230"/>
    </row>
    <row r="25" spans="1:8" s="17" customFormat="1" ht="12.75" x14ac:dyDescent="0.2">
      <c r="A25" s="19">
        <v>16</v>
      </c>
      <c r="B25" s="220" t="s">
        <v>724</v>
      </c>
      <c r="C25" s="220"/>
      <c r="D25" s="220"/>
      <c r="E25" s="222" t="s">
        <v>725</v>
      </c>
      <c r="F25" s="223"/>
      <c r="G25" s="230"/>
      <c r="H25" s="230"/>
    </row>
    <row r="26" spans="1:8" s="17" customFormat="1" ht="12.75" x14ac:dyDescent="0.2">
      <c r="A26" s="19">
        <v>17</v>
      </c>
      <c r="B26" s="220" t="s">
        <v>270</v>
      </c>
      <c r="C26" s="220"/>
      <c r="D26" s="220"/>
      <c r="E26" s="222" t="s">
        <v>170</v>
      </c>
      <c r="F26" s="223"/>
      <c r="G26" s="230"/>
      <c r="H26" s="230"/>
    </row>
    <row r="27" spans="1:8" ht="12.75" x14ac:dyDescent="0.2">
      <c r="A27" s="19">
        <v>18</v>
      </c>
      <c r="B27" s="328" t="s">
        <v>290</v>
      </c>
      <c r="C27" s="328"/>
      <c r="D27" s="328"/>
      <c r="E27" s="324" t="s">
        <v>171</v>
      </c>
      <c r="F27" s="323"/>
      <c r="G27" s="351"/>
      <c r="H27" s="351"/>
    </row>
    <row r="28" spans="1:8" ht="15.75" x14ac:dyDescent="0.25">
      <c r="A28" s="11"/>
      <c r="B28" s="12"/>
      <c r="C28" s="12"/>
      <c r="D28" s="30"/>
      <c r="E28" s="13"/>
      <c r="F28" s="13"/>
      <c r="G28" s="14"/>
      <c r="H28" s="14"/>
    </row>
    <row r="29" spans="1:8" ht="13.5" customHeight="1" x14ac:dyDescent="0.2">
      <c r="A29" s="4"/>
      <c r="B29" s="4"/>
      <c r="C29" s="6"/>
      <c r="D29" s="304"/>
      <c r="E29" s="304"/>
      <c r="F29" s="304"/>
      <c r="G29" s="6"/>
      <c r="H29" s="4"/>
    </row>
    <row r="30" spans="1:8" ht="13.5" customHeight="1" x14ac:dyDescent="0.2">
      <c r="A30" s="4"/>
      <c r="B30" s="4"/>
      <c r="C30" s="4"/>
      <c r="D30" s="21"/>
      <c r="E30" s="4"/>
      <c r="F30" s="4"/>
      <c r="H30" s="4"/>
    </row>
    <row r="31" spans="1:8" ht="13.5" customHeight="1" x14ac:dyDescent="0.2">
      <c r="A31" s="4"/>
      <c r="B31" s="304"/>
      <c r="C31" s="304"/>
      <c r="D31" s="304"/>
      <c r="E31" s="304"/>
      <c r="F31" s="304"/>
      <c r="G31" s="304"/>
      <c r="H31" s="304"/>
    </row>
    <row r="32" spans="1:8" ht="13.5" customHeight="1" x14ac:dyDescent="0.2">
      <c r="A32" s="4"/>
      <c r="B32" s="6"/>
      <c r="C32" s="6"/>
      <c r="D32" s="21"/>
      <c r="E32" s="6"/>
      <c r="F32" s="6"/>
      <c r="G32" s="6"/>
      <c r="H32" s="6"/>
    </row>
    <row r="33" spans="1:8" ht="15.75" x14ac:dyDescent="0.2">
      <c r="A33" s="4"/>
      <c r="B33" s="4"/>
      <c r="C33" s="4"/>
      <c r="D33" s="305"/>
      <c r="E33" s="305"/>
      <c r="F33" s="305"/>
      <c r="G33" s="305"/>
      <c r="H33" s="4"/>
    </row>
    <row r="34" spans="1:8" ht="15.75" x14ac:dyDescent="0.2">
      <c r="A34" s="4"/>
      <c r="B34" s="4"/>
      <c r="C34" s="4"/>
      <c r="D34" s="21"/>
      <c r="E34" s="5"/>
      <c r="F34" s="5"/>
      <c r="G34" s="5"/>
      <c r="H34" s="4"/>
    </row>
    <row r="35" spans="1:8" ht="20.25" customHeight="1" x14ac:dyDescent="0.2">
      <c r="A35" s="4"/>
      <c r="B35" s="4"/>
      <c r="C35" s="4"/>
      <c r="D35" s="5"/>
      <c r="E35" s="4"/>
      <c r="F35" s="4"/>
      <c r="G35" s="4"/>
      <c r="H35" s="4"/>
    </row>
    <row r="36" spans="1:8" ht="19.5" customHeight="1" x14ac:dyDescent="0.2">
      <c r="A36" s="4"/>
      <c r="B36" s="4"/>
      <c r="C36" s="4"/>
      <c r="D36" s="21"/>
      <c r="E36" s="4"/>
      <c r="F36" s="4"/>
      <c r="G36" s="4"/>
      <c r="H36" s="4"/>
    </row>
    <row r="37" spans="1:8" ht="12" customHeight="1" x14ac:dyDescent="0.2">
      <c r="A37" s="11"/>
      <c r="B37" s="12"/>
      <c r="C37" s="12"/>
      <c r="D37" s="12"/>
      <c r="E37" s="13"/>
      <c r="F37" s="13"/>
      <c r="G37" s="14"/>
      <c r="H37" s="14"/>
    </row>
  </sheetData>
  <autoFilter ref="A9:H37" xr:uid="{00000000-0009-0000-0000-000007000000}">
    <filterColumn colId="1" showButton="0"/>
    <filterColumn colId="2" showButton="0"/>
    <filterColumn colId="4" showButton="0"/>
    <filterColumn colId="6" showButton="0"/>
  </autoFilter>
  <mergeCells count="66">
    <mergeCell ref="D7:H7"/>
    <mergeCell ref="C1:H1"/>
    <mergeCell ref="C2:H2"/>
    <mergeCell ref="D3:H3"/>
    <mergeCell ref="D4:H4"/>
    <mergeCell ref="D5:H5"/>
    <mergeCell ref="B22:D22"/>
    <mergeCell ref="E22:F22"/>
    <mergeCell ref="E19:F19"/>
    <mergeCell ref="B23:D23"/>
    <mergeCell ref="E23:F23"/>
    <mergeCell ref="B20:D20"/>
    <mergeCell ref="B19:D19"/>
    <mergeCell ref="B31:H31"/>
    <mergeCell ref="B26:D26"/>
    <mergeCell ref="E26:F26"/>
    <mergeCell ref="B24:D24"/>
    <mergeCell ref="B25:D25"/>
    <mergeCell ref="G24:H24"/>
    <mergeCell ref="E25:F25"/>
    <mergeCell ref="G26:H26"/>
    <mergeCell ref="D29:F29"/>
    <mergeCell ref="G27:H27"/>
    <mergeCell ref="B27:D27"/>
    <mergeCell ref="E27:F27"/>
    <mergeCell ref="E24:F24"/>
    <mergeCell ref="B16:D16"/>
    <mergeCell ref="G18:H18"/>
    <mergeCell ref="E20:F20"/>
    <mergeCell ref="G25:H25"/>
    <mergeCell ref="G17:H17"/>
    <mergeCell ref="E16:F16"/>
    <mergeCell ref="G16:H16"/>
    <mergeCell ref="B18:D18"/>
    <mergeCell ref="E18:F18"/>
    <mergeCell ref="G23:H23"/>
    <mergeCell ref="G19:H19"/>
    <mergeCell ref="G20:H20"/>
    <mergeCell ref="B21:D21"/>
    <mergeCell ref="E21:F21"/>
    <mergeCell ref="G21:H21"/>
    <mergeCell ref="G22:H22"/>
    <mergeCell ref="G12:H12"/>
    <mergeCell ref="E9:F9"/>
    <mergeCell ref="B13:D13"/>
    <mergeCell ref="E14:F14"/>
    <mergeCell ref="B15:D15"/>
    <mergeCell ref="E15:F15"/>
    <mergeCell ref="G15:H15"/>
    <mergeCell ref="E13:F13"/>
    <mergeCell ref="D33:G33"/>
    <mergeCell ref="B17:D17"/>
    <mergeCell ref="E17:F17"/>
    <mergeCell ref="G9:H9"/>
    <mergeCell ref="G10:H10"/>
    <mergeCell ref="G11:H11"/>
    <mergeCell ref="B10:D10"/>
    <mergeCell ref="E10:F10"/>
    <mergeCell ref="E12:F12"/>
    <mergeCell ref="B11:D11"/>
    <mergeCell ref="B12:D12"/>
    <mergeCell ref="E11:F11"/>
    <mergeCell ref="B9:D9"/>
    <mergeCell ref="G14:H14"/>
    <mergeCell ref="B14:D14"/>
    <mergeCell ref="G13:H13"/>
  </mergeCells>
  <hyperlinks>
    <hyperlink ref="D5" r:id="rId1" xr:uid="{00000000-0004-0000-0700-000000000000}"/>
    <hyperlink ref="D7" r:id="rId2" display="Наш сайт: https://usm.dp.ua/ua/" xr:uid="{00000000-0004-0000-0700-000001000000}"/>
  </hyperlinks>
  <pageMargins left="0.39370078740157483" right="0.19685039370078741" top="0" bottom="0" header="0" footer="0"/>
  <pageSetup paperSize="9" orientation="portrait" verticalDpi="360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Нерж</vt:lpstr>
      <vt:lpstr>Цветн</vt:lpstr>
      <vt:lpstr>прецизионные сплавы</vt:lpstr>
      <vt:lpstr>молибден, вольф, никель, ниобий</vt:lpstr>
      <vt:lpstr>титан</vt:lpstr>
      <vt:lpstr>быстрорез</vt:lpstr>
      <vt:lpstr>задвижки, фланцы, сетка, гайки</vt:lpstr>
      <vt:lpstr>ферросплавы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Александр Харьковский</cp:lastModifiedBy>
  <cp:lastPrinted>2019-01-25T20:20:12Z</cp:lastPrinted>
  <dcterms:created xsi:type="dcterms:W3CDTF">1996-10-08T23:32:33Z</dcterms:created>
  <dcterms:modified xsi:type="dcterms:W3CDTF">2026-10-20T16:39:03Z</dcterms:modified>
</cp:coreProperties>
</file>