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Vlado\Downloads\"/>
    </mc:Choice>
  </mc:AlternateContent>
  <xr:revisionPtr revIDLastSave="0" documentId="8_{095F7E78-422E-427B-9908-FBCF227EF4E4}" xr6:coauthVersionLast="47" xr6:coauthVersionMax="47" xr10:uidLastSave="{00000000-0000-0000-0000-000000000000}"/>
  <bookViews>
    <workbookView xWindow="-108" yWindow="-108" windowWidth="23256" windowHeight="12456" tabRatio="500" firstSheet="2" activeTab="2" xr2:uid="{00000000-000D-0000-FFFF-FFFF00000000}"/>
  </bookViews>
  <sheets>
    <sheet name="обложка" sheetId="1" r:id="rId1"/>
    <sheet name="зміст" sheetId="2" r:id="rId2"/>
    <sheet name="прайс" sheetId="3" r:id="rId3"/>
  </sheets>
  <definedNames>
    <definedName name="Excel_BuiltIn_Print_Area" localSheetId="2">прайс!$A$1:$R$2260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370" i="3" l="1"/>
  <c r="R1370" i="3" s="1"/>
  <c r="G1371" i="3"/>
  <c r="H1371" i="3" s="1"/>
  <c r="Q1388" i="3"/>
  <c r="R1388" i="3" s="1"/>
  <c r="G128" i="3"/>
  <c r="H128" i="3" s="1"/>
  <c r="G129" i="3"/>
  <c r="H129" i="3" s="1"/>
  <c r="G130" i="3"/>
  <c r="H130" i="3" s="1"/>
  <c r="G131" i="3"/>
  <c r="H131" i="3" s="1"/>
  <c r="G132" i="3"/>
  <c r="H132" i="3" s="1"/>
  <c r="G133" i="3"/>
  <c r="H133" i="3" s="1"/>
  <c r="G134" i="3"/>
  <c r="H134" i="3" s="1"/>
  <c r="G135" i="3"/>
  <c r="H135" i="3" s="1"/>
  <c r="G136" i="3"/>
  <c r="H136" i="3" s="1"/>
  <c r="G137" i="3"/>
  <c r="H137" i="3" s="1"/>
  <c r="G113" i="3"/>
  <c r="H113" i="3" s="1"/>
  <c r="G114" i="3"/>
  <c r="H114" i="3" s="1"/>
  <c r="G115" i="3"/>
  <c r="H115" i="3" s="1"/>
  <c r="Q139" i="3"/>
  <c r="R139" i="3" s="1"/>
  <c r="Q140" i="3"/>
  <c r="R140" i="3" s="1"/>
  <c r="Q141" i="3"/>
  <c r="R141" i="3" s="1"/>
  <c r="Q142" i="3"/>
  <c r="R142" i="3" s="1"/>
  <c r="Q143" i="3"/>
  <c r="R143" i="3" s="1"/>
  <c r="Q144" i="3"/>
  <c r="R144" i="3" s="1"/>
  <c r="Q138" i="3"/>
  <c r="R138" i="3" s="1"/>
  <c r="Q137" i="3"/>
  <c r="R137" i="3" s="1"/>
  <c r="Q136" i="3"/>
  <c r="R136" i="3" s="1"/>
  <c r="Q135" i="3"/>
  <c r="R135" i="3" s="1"/>
  <c r="Q134" i="3"/>
  <c r="R134" i="3" s="1"/>
  <c r="Q133" i="3"/>
  <c r="R133" i="3" s="1"/>
  <c r="Q132" i="3"/>
  <c r="R132" i="3" s="1"/>
  <c r="Q131" i="3"/>
  <c r="R131" i="3" s="1"/>
  <c r="Q130" i="3"/>
  <c r="R130" i="3" s="1"/>
  <c r="Q129" i="3"/>
  <c r="R129" i="3" s="1"/>
  <c r="Q128" i="3"/>
  <c r="R128" i="3" s="1"/>
  <c r="Q127" i="3"/>
  <c r="R127" i="3" s="1"/>
  <c r="Q126" i="3"/>
  <c r="R126" i="3" s="1"/>
  <c r="Q125" i="3"/>
  <c r="R125" i="3" s="1"/>
  <c r="Q124" i="3"/>
  <c r="R124" i="3" s="1"/>
  <c r="Q123" i="3"/>
  <c r="R123" i="3" s="1"/>
  <c r="Q122" i="3"/>
  <c r="R122" i="3" s="1"/>
  <c r="Q121" i="3"/>
  <c r="R121" i="3" s="1"/>
  <c r="Q120" i="3"/>
  <c r="R120" i="3" s="1"/>
  <c r="Q119" i="3"/>
  <c r="R119" i="3" s="1"/>
  <c r="Q118" i="3"/>
  <c r="R118" i="3" s="1"/>
  <c r="Q117" i="3"/>
  <c r="R117" i="3" s="1"/>
  <c r="Q116" i="3"/>
  <c r="R116" i="3" s="1"/>
  <c r="Q115" i="3"/>
  <c r="R115" i="3" s="1"/>
  <c r="Q114" i="3"/>
  <c r="R114" i="3" s="1"/>
  <c r="Q113" i="3"/>
  <c r="R113" i="3" s="1"/>
  <c r="A2170" i="3"/>
  <c r="G302" i="3"/>
  <c r="H302" i="3" s="1"/>
  <c r="Q166" i="3"/>
  <c r="R166" i="3" s="1"/>
  <c r="Q165" i="3"/>
  <c r="R165" i="3" s="1"/>
  <c r="Q157" i="3"/>
  <c r="R157" i="3" s="1"/>
  <c r="Q156" i="3"/>
  <c r="R156" i="3" s="1"/>
  <c r="G164" i="3"/>
  <c r="H164" i="3" s="1"/>
  <c r="G157" i="3"/>
  <c r="H157" i="3" s="1"/>
  <c r="G156" i="3"/>
  <c r="H156" i="3" s="1"/>
  <c r="G125" i="3"/>
  <c r="H125" i="3" s="1"/>
  <c r="G123" i="3"/>
  <c r="H123" i="3" s="1"/>
  <c r="G121" i="3"/>
  <c r="H121" i="3" s="1"/>
  <c r="G119" i="3"/>
  <c r="H119" i="3" s="1"/>
  <c r="G118" i="3"/>
  <c r="H118" i="3" s="1"/>
  <c r="G117" i="3"/>
  <c r="H117" i="3" s="1"/>
  <c r="G116" i="3"/>
  <c r="H116" i="3" s="1"/>
  <c r="Q1484" i="3"/>
  <c r="R1484" i="3" s="1"/>
  <c r="Q1483" i="3"/>
  <c r="R1483" i="3" s="1"/>
  <c r="Q1478" i="3"/>
  <c r="R1478" i="3" s="1"/>
  <c r="Q1517" i="3"/>
  <c r="R1517" i="3" s="1"/>
  <c r="Q1523" i="3"/>
  <c r="R1523" i="3" s="1"/>
  <c r="Q1522" i="3"/>
  <c r="R1522" i="3" s="1"/>
  <c r="Q1465" i="3"/>
  <c r="R1465" i="3" s="1"/>
  <c r="Q1463" i="3"/>
  <c r="R1463" i="3" s="1"/>
  <c r="Q1458" i="3"/>
  <c r="R1458" i="3" s="1"/>
  <c r="Q1376" i="3"/>
  <c r="R1376" i="3" s="1"/>
  <c r="Q1377" i="3"/>
  <c r="R1377" i="3" s="1"/>
  <c r="Q1005" i="3"/>
  <c r="R1005" i="3" s="1"/>
  <c r="Q383" i="3"/>
  <c r="R383" i="3" s="1"/>
  <c r="Q8" i="3"/>
  <c r="R8" i="3" s="1"/>
  <c r="Q2081" i="3"/>
  <c r="R2081" i="3" s="1"/>
  <c r="Q997" i="3"/>
  <c r="R997" i="3" s="1"/>
  <c r="Q998" i="3"/>
  <c r="R998" i="3" s="1"/>
  <c r="Q999" i="3"/>
  <c r="R999" i="3" s="1"/>
  <c r="Q1000" i="3"/>
  <c r="R1000" i="3" s="1"/>
  <c r="Q1001" i="3"/>
  <c r="R1001" i="3" s="1"/>
  <c r="Q1002" i="3"/>
  <c r="R1002" i="3" s="1"/>
  <c r="Q1003" i="3"/>
  <c r="R1003" i="3" s="1"/>
  <c r="Q1004" i="3"/>
  <c r="R1004" i="3" s="1"/>
  <c r="Q1006" i="3"/>
  <c r="R1006" i="3" s="1"/>
  <c r="Q1007" i="3"/>
  <c r="R1007" i="3" s="1"/>
  <c r="Q1008" i="3"/>
  <c r="R1008" i="3" s="1"/>
  <c r="Q1009" i="3"/>
  <c r="R1009" i="3" s="1"/>
  <c r="G13" i="3"/>
  <c r="H13" i="3" s="1"/>
  <c r="G1075" i="3"/>
  <c r="H1075" i="3" s="1"/>
  <c r="G1076" i="3"/>
  <c r="H1076" i="3" s="1"/>
  <c r="G1077" i="3"/>
  <c r="H1077" i="3" s="1"/>
  <c r="G1078" i="3"/>
  <c r="H1078" i="3" s="1"/>
  <c r="G1079" i="3"/>
  <c r="H1079" i="3" s="1"/>
  <c r="G1080" i="3"/>
  <c r="H1080" i="3" s="1"/>
  <c r="G1081" i="3"/>
  <c r="H1081" i="3" s="1"/>
  <c r="G1082" i="3"/>
  <c r="G1083" i="3"/>
  <c r="H1083" i="3" s="1"/>
  <c r="G1084" i="3"/>
  <c r="H1084" i="3" s="1"/>
  <c r="G1085" i="3"/>
  <c r="H1085" i="3" s="1"/>
  <c r="G1086" i="3"/>
  <c r="H1086" i="3" s="1"/>
  <c r="G1087" i="3"/>
  <c r="H1087" i="3" s="1"/>
  <c r="G1088" i="3"/>
  <c r="H1088" i="3" s="1"/>
  <c r="G1089" i="3"/>
  <c r="H1089" i="3" s="1"/>
  <c r="G1090" i="3"/>
  <c r="H1090" i="3" s="1"/>
  <c r="G1091" i="3"/>
  <c r="H1091" i="3" s="1"/>
  <c r="G1092" i="3"/>
  <c r="H1092" i="3" s="1"/>
  <c r="G1155" i="3"/>
  <c r="H1155" i="3" s="1"/>
  <c r="G1156" i="3"/>
  <c r="H1156" i="3" s="1"/>
  <c r="G1157" i="3"/>
  <c r="H1157" i="3" s="1"/>
  <c r="G1158" i="3"/>
  <c r="H1158" i="3" s="1"/>
  <c r="G1159" i="3"/>
  <c r="H1159" i="3" s="1"/>
  <c r="G1160" i="3"/>
  <c r="H1160" i="3" s="1"/>
  <c r="G1161" i="3"/>
  <c r="H1161" i="3" s="1"/>
  <c r="G1162" i="3"/>
  <c r="H1162" i="3" s="1"/>
  <c r="G1163" i="3"/>
  <c r="H1163" i="3" s="1"/>
  <c r="G1164" i="3"/>
  <c r="H1164" i="3" s="1"/>
  <c r="G1165" i="3"/>
  <c r="H1165" i="3" s="1"/>
  <c r="G1166" i="3"/>
  <c r="H1166" i="3" s="1"/>
  <c r="G1167" i="3"/>
  <c r="H1167" i="3" s="1"/>
  <c r="G1168" i="3"/>
  <c r="H1168" i="3" s="1"/>
  <c r="G1169" i="3"/>
  <c r="H1169" i="3" s="1"/>
  <c r="G1170" i="3"/>
  <c r="H1170" i="3" s="1"/>
  <c r="G1171" i="3"/>
  <c r="H1171" i="3" s="1"/>
  <c r="G1172" i="3"/>
  <c r="H1172" i="3" s="1"/>
  <c r="G1173" i="3"/>
  <c r="H1173" i="3" s="1"/>
  <c r="G1174" i="3"/>
  <c r="H1174" i="3" s="1"/>
  <c r="G1175" i="3"/>
  <c r="H1175" i="3" s="1"/>
  <c r="G1176" i="3"/>
  <c r="H1176" i="3" s="1"/>
  <c r="G1177" i="3"/>
  <c r="H1177" i="3" s="1"/>
  <c r="G1178" i="3"/>
  <c r="H1178" i="3" s="1"/>
  <c r="G1179" i="3"/>
  <c r="H1179" i="3" s="1"/>
  <c r="G1180" i="3"/>
  <c r="G1181" i="3"/>
  <c r="H1181" i="3" s="1"/>
  <c r="G1182" i="3"/>
  <c r="H1182" i="3" s="1"/>
  <c r="G1183" i="3"/>
  <c r="H1183" i="3" s="1"/>
  <c r="G1360" i="3"/>
  <c r="H1360" i="3" s="1"/>
  <c r="G1361" i="3"/>
  <c r="H1361" i="3" s="1"/>
  <c r="G1362" i="3"/>
  <c r="H1362" i="3" s="1"/>
  <c r="G1363" i="3"/>
  <c r="H1363" i="3" s="1"/>
  <c r="G1364" i="3"/>
  <c r="H1364" i="3" s="1"/>
  <c r="G1365" i="3"/>
  <c r="H1365" i="3" s="1"/>
  <c r="G1366" i="3"/>
  <c r="H1366" i="3" s="1"/>
  <c r="G1367" i="3"/>
  <c r="H1367" i="3" s="1"/>
  <c r="Q1359" i="3"/>
  <c r="R1359" i="3" s="1"/>
  <c r="Q1360" i="3"/>
  <c r="R1360" i="3" s="1"/>
  <c r="Q1361" i="3"/>
  <c r="R1361" i="3" s="1"/>
  <c r="Q1362" i="3"/>
  <c r="R1362" i="3" s="1"/>
  <c r="Q1363" i="3"/>
  <c r="R1363" i="3" s="1"/>
  <c r="Q1364" i="3"/>
  <c r="R1364" i="3" s="1"/>
  <c r="Q1365" i="3"/>
  <c r="R1365" i="3" s="1"/>
  <c r="G305" i="3"/>
  <c r="H305" i="3" s="1"/>
  <c r="Q5" i="3"/>
  <c r="R5" i="3" s="1"/>
  <c r="Q6" i="3"/>
  <c r="R6" i="3" s="1"/>
  <c r="Q7" i="3"/>
  <c r="R7" i="3" s="1"/>
  <c r="Q9" i="3"/>
  <c r="R9" i="3" s="1"/>
  <c r="Q10" i="3"/>
  <c r="R10" i="3" s="1"/>
  <c r="Q11" i="3"/>
  <c r="R11" i="3" s="1"/>
  <c r="G12" i="3"/>
  <c r="H12" i="3" s="1"/>
  <c r="Q12" i="3"/>
  <c r="R12" i="3" s="1"/>
  <c r="Q13" i="3"/>
  <c r="R13" i="3" s="1"/>
  <c r="G14" i="3"/>
  <c r="H14" i="3" s="1"/>
  <c r="Q14" i="3"/>
  <c r="R14" i="3" s="1"/>
  <c r="G15" i="3"/>
  <c r="H15" i="3" s="1"/>
  <c r="Q15" i="3"/>
  <c r="R15" i="3" s="1"/>
  <c r="G16" i="3"/>
  <c r="H16" i="3" s="1"/>
  <c r="Q16" i="3"/>
  <c r="R16" i="3" s="1"/>
  <c r="G17" i="3"/>
  <c r="H17" i="3" s="1"/>
  <c r="Q17" i="3"/>
  <c r="R17" i="3" s="1"/>
  <c r="G18" i="3"/>
  <c r="H18" i="3" s="1"/>
  <c r="Q18" i="3"/>
  <c r="R18" i="3" s="1"/>
  <c r="G19" i="3"/>
  <c r="H19" i="3" s="1"/>
  <c r="Q19" i="3"/>
  <c r="R19" i="3" s="1"/>
  <c r="G20" i="3"/>
  <c r="H20" i="3" s="1"/>
  <c r="Q20" i="3"/>
  <c r="R20" i="3" s="1"/>
  <c r="G21" i="3"/>
  <c r="H21" i="3" s="1"/>
  <c r="Q21" i="3"/>
  <c r="R21" i="3" s="1"/>
  <c r="G22" i="3"/>
  <c r="H22" i="3" s="1"/>
  <c r="Q22" i="3"/>
  <c r="R22" i="3" s="1"/>
  <c r="G23" i="3"/>
  <c r="H23" i="3" s="1"/>
  <c r="Q23" i="3"/>
  <c r="R23" i="3" s="1"/>
  <c r="G24" i="3"/>
  <c r="H24" i="3" s="1"/>
  <c r="Q24" i="3"/>
  <c r="R24" i="3" s="1"/>
  <c r="G25" i="3"/>
  <c r="H25" i="3" s="1"/>
  <c r="Q25" i="3"/>
  <c r="R25" i="3" s="1"/>
  <c r="G26" i="3"/>
  <c r="H26" i="3" s="1"/>
  <c r="Q26" i="3"/>
  <c r="R26" i="3" s="1"/>
  <c r="G27" i="3"/>
  <c r="H27" i="3" s="1"/>
  <c r="Q27" i="3"/>
  <c r="R27" i="3" s="1"/>
  <c r="G28" i="3"/>
  <c r="H28" i="3" s="1"/>
  <c r="Q28" i="3"/>
  <c r="R28" i="3" s="1"/>
  <c r="G29" i="3"/>
  <c r="H29" i="3" s="1"/>
  <c r="Q29" i="3"/>
  <c r="R29" i="3" s="1"/>
  <c r="G30" i="3"/>
  <c r="H30" i="3" s="1"/>
  <c r="Q30" i="3"/>
  <c r="R30" i="3" s="1"/>
  <c r="G31" i="3"/>
  <c r="H31" i="3" s="1"/>
  <c r="Q31" i="3"/>
  <c r="R31" i="3" s="1"/>
  <c r="G32" i="3"/>
  <c r="H32" i="3" s="1"/>
  <c r="Q32" i="3"/>
  <c r="R32" i="3" s="1"/>
  <c r="G33" i="3"/>
  <c r="H33" i="3" s="1"/>
  <c r="Q33" i="3"/>
  <c r="R33" i="3" s="1"/>
  <c r="G34" i="3"/>
  <c r="H34" i="3" s="1"/>
  <c r="Q34" i="3"/>
  <c r="R34" i="3" s="1"/>
  <c r="G35" i="3"/>
  <c r="H35" i="3" s="1"/>
  <c r="Q35" i="3"/>
  <c r="R35" i="3" s="1"/>
  <c r="G36" i="3"/>
  <c r="H36" i="3" s="1"/>
  <c r="Q36" i="3"/>
  <c r="R36" i="3" s="1"/>
  <c r="G37" i="3"/>
  <c r="H37" i="3" s="1"/>
  <c r="Q37" i="3"/>
  <c r="R37" i="3" s="1"/>
  <c r="G38" i="3"/>
  <c r="H38" i="3" s="1"/>
  <c r="Q38" i="3"/>
  <c r="R38" i="3" s="1"/>
  <c r="G39" i="3"/>
  <c r="H39" i="3" s="1"/>
  <c r="Q39" i="3"/>
  <c r="R39" i="3" s="1"/>
  <c r="G40" i="3"/>
  <c r="H40" i="3" s="1"/>
  <c r="Q40" i="3"/>
  <c r="R40" i="3" s="1"/>
  <c r="G41" i="3"/>
  <c r="H41" i="3" s="1"/>
  <c r="Q41" i="3"/>
  <c r="R41" i="3" s="1"/>
  <c r="G42" i="3"/>
  <c r="H42" i="3" s="1"/>
  <c r="Q42" i="3"/>
  <c r="R42" i="3" s="1"/>
  <c r="G43" i="3"/>
  <c r="H43" i="3" s="1"/>
  <c r="Q43" i="3"/>
  <c r="R43" i="3" s="1"/>
  <c r="J48" i="3"/>
  <c r="Q48" i="3"/>
  <c r="R48" i="3" s="1"/>
  <c r="J49" i="3"/>
  <c r="Q49" i="3"/>
  <c r="R49" i="3" s="1"/>
  <c r="J50" i="3"/>
  <c r="Q50" i="3"/>
  <c r="R50" i="3" s="1"/>
  <c r="J51" i="3"/>
  <c r="Q51" i="3"/>
  <c r="R51" i="3" s="1"/>
  <c r="Q52" i="3"/>
  <c r="R52" i="3" s="1"/>
  <c r="Q53" i="3"/>
  <c r="R53" i="3" s="1"/>
  <c r="Q54" i="3"/>
  <c r="R54" i="3" s="1"/>
  <c r="A55" i="3"/>
  <c r="G55" i="3"/>
  <c r="H55" i="3" s="1"/>
  <c r="Q55" i="3"/>
  <c r="R55" i="3" s="1"/>
  <c r="A56" i="3"/>
  <c r="G56" i="3"/>
  <c r="H56" i="3" s="1"/>
  <c r="Q56" i="3"/>
  <c r="R56" i="3" s="1"/>
  <c r="A57" i="3"/>
  <c r="G57" i="3"/>
  <c r="H57" i="3" s="1"/>
  <c r="Q57" i="3"/>
  <c r="R57" i="3" s="1"/>
  <c r="A58" i="3"/>
  <c r="G58" i="3"/>
  <c r="H58" i="3" s="1"/>
  <c r="Q58" i="3"/>
  <c r="R58" i="3" s="1"/>
  <c r="A59" i="3"/>
  <c r="G59" i="3"/>
  <c r="H59" i="3" s="1"/>
  <c r="Q59" i="3"/>
  <c r="R59" i="3" s="1"/>
  <c r="A60" i="3"/>
  <c r="G60" i="3"/>
  <c r="H60" i="3" s="1"/>
  <c r="Q60" i="3"/>
  <c r="R60" i="3" s="1"/>
  <c r="A61" i="3"/>
  <c r="G61" i="3"/>
  <c r="H61" i="3" s="1"/>
  <c r="Q61" i="3"/>
  <c r="R61" i="3" s="1"/>
  <c r="A62" i="3"/>
  <c r="G62" i="3"/>
  <c r="H62" i="3" s="1"/>
  <c r="Q62" i="3"/>
  <c r="R62" i="3" s="1"/>
  <c r="A63" i="3"/>
  <c r="G63" i="3"/>
  <c r="H63" i="3" s="1"/>
  <c r="Q63" i="3"/>
  <c r="R63" i="3" s="1"/>
  <c r="A64" i="3"/>
  <c r="G64" i="3"/>
  <c r="H64" i="3" s="1"/>
  <c r="Q64" i="3"/>
  <c r="R64" i="3" s="1"/>
  <c r="A65" i="3"/>
  <c r="G65" i="3"/>
  <c r="H65" i="3" s="1"/>
  <c r="Q65" i="3"/>
  <c r="R65" i="3" s="1"/>
  <c r="A66" i="3"/>
  <c r="G66" i="3"/>
  <c r="H66" i="3" s="1"/>
  <c r="Q66" i="3"/>
  <c r="R66" i="3" s="1"/>
  <c r="A67" i="3"/>
  <c r="G67" i="3"/>
  <c r="H67" i="3" s="1"/>
  <c r="Q67" i="3"/>
  <c r="R67" i="3" s="1"/>
  <c r="A68" i="3"/>
  <c r="G68" i="3"/>
  <c r="H68" i="3" s="1"/>
  <c r="Q68" i="3"/>
  <c r="R68" i="3" s="1"/>
  <c r="A69" i="3"/>
  <c r="G69" i="3"/>
  <c r="H69" i="3" s="1"/>
  <c r="Q69" i="3"/>
  <c r="R69" i="3" s="1"/>
  <c r="A70" i="3"/>
  <c r="G70" i="3"/>
  <c r="H70" i="3" s="1"/>
  <c r="Q70" i="3"/>
  <c r="R70" i="3" s="1"/>
  <c r="A71" i="3"/>
  <c r="G71" i="3"/>
  <c r="H71" i="3" s="1"/>
  <c r="Q76" i="3"/>
  <c r="R76" i="3" s="1"/>
  <c r="Q77" i="3"/>
  <c r="R77" i="3" s="1"/>
  <c r="Q78" i="3"/>
  <c r="R78" i="3" s="1"/>
  <c r="Q79" i="3"/>
  <c r="R79" i="3" s="1"/>
  <c r="Q80" i="3"/>
  <c r="R80" i="3" s="1"/>
  <c r="Q81" i="3"/>
  <c r="R81" i="3" s="1"/>
  <c r="G82" i="3"/>
  <c r="H82" i="3" s="1"/>
  <c r="Q82" i="3"/>
  <c r="R82" i="3" s="1"/>
  <c r="G83" i="3"/>
  <c r="H83" i="3" s="1"/>
  <c r="Q83" i="3"/>
  <c r="R83" i="3" s="1"/>
  <c r="G84" i="3"/>
  <c r="H84" i="3" s="1"/>
  <c r="Q84" i="3"/>
  <c r="R84" i="3" s="1"/>
  <c r="G85" i="3"/>
  <c r="H85" i="3" s="1"/>
  <c r="Q85" i="3"/>
  <c r="R85" i="3" s="1"/>
  <c r="G86" i="3"/>
  <c r="H86" i="3" s="1"/>
  <c r="Q86" i="3"/>
  <c r="R86" i="3" s="1"/>
  <c r="G87" i="3"/>
  <c r="H87" i="3" s="1"/>
  <c r="Q87" i="3"/>
  <c r="R87" i="3" s="1"/>
  <c r="G88" i="3"/>
  <c r="H88" i="3" s="1"/>
  <c r="Q88" i="3"/>
  <c r="R88" i="3" s="1"/>
  <c r="G89" i="3"/>
  <c r="H89" i="3" s="1"/>
  <c r="Q89" i="3"/>
  <c r="R89" i="3" s="1"/>
  <c r="G90" i="3"/>
  <c r="H90" i="3" s="1"/>
  <c r="Q90" i="3"/>
  <c r="R90" i="3" s="1"/>
  <c r="G91" i="3"/>
  <c r="H91" i="3" s="1"/>
  <c r="Q91" i="3"/>
  <c r="R91" i="3" s="1"/>
  <c r="G92" i="3"/>
  <c r="H92" i="3" s="1"/>
  <c r="Q92" i="3"/>
  <c r="R92" i="3" s="1"/>
  <c r="G93" i="3"/>
  <c r="H93" i="3" s="1"/>
  <c r="Q93" i="3"/>
  <c r="R93" i="3" s="1"/>
  <c r="G94" i="3"/>
  <c r="H94" i="3" s="1"/>
  <c r="Q94" i="3"/>
  <c r="R94" i="3" s="1"/>
  <c r="G95" i="3"/>
  <c r="H95" i="3" s="1"/>
  <c r="Q95" i="3"/>
  <c r="R95" i="3" s="1"/>
  <c r="G96" i="3"/>
  <c r="H96" i="3" s="1"/>
  <c r="Q96" i="3"/>
  <c r="R96" i="3" s="1"/>
  <c r="G97" i="3"/>
  <c r="H97" i="3" s="1"/>
  <c r="Q97" i="3"/>
  <c r="R97" i="3" s="1"/>
  <c r="G98" i="3"/>
  <c r="H98" i="3" s="1"/>
  <c r="Q98" i="3"/>
  <c r="R98" i="3" s="1"/>
  <c r="G99" i="3"/>
  <c r="H99" i="3" s="1"/>
  <c r="Q99" i="3"/>
  <c r="R99" i="3" s="1"/>
  <c r="G100" i="3"/>
  <c r="H100" i="3" s="1"/>
  <c r="Q100" i="3"/>
  <c r="R100" i="3" s="1"/>
  <c r="G101" i="3"/>
  <c r="H101" i="3" s="1"/>
  <c r="Q101" i="3"/>
  <c r="R101" i="3" s="1"/>
  <c r="G102" i="3"/>
  <c r="H102" i="3" s="1"/>
  <c r="Q102" i="3"/>
  <c r="R102" i="3" s="1"/>
  <c r="G103" i="3"/>
  <c r="H103" i="3" s="1"/>
  <c r="Q103" i="3"/>
  <c r="R103" i="3" s="1"/>
  <c r="Q107" i="3"/>
  <c r="R107" i="3" s="1"/>
  <c r="Q108" i="3"/>
  <c r="R108" i="3" s="1"/>
  <c r="Q109" i="3"/>
  <c r="R109" i="3" s="1"/>
  <c r="Q110" i="3"/>
  <c r="R110" i="3" s="1"/>
  <c r="Q111" i="3"/>
  <c r="R111" i="3" s="1"/>
  <c r="Q112" i="3"/>
  <c r="R112" i="3" s="1"/>
  <c r="G120" i="3"/>
  <c r="H120" i="3" s="1"/>
  <c r="G122" i="3"/>
  <c r="H122" i="3" s="1"/>
  <c r="G124" i="3"/>
  <c r="H124" i="3" s="1"/>
  <c r="G126" i="3"/>
  <c r="H126" i="3" s="1"/>
  <c r="G127" i="3"/>
  <c r="H127" i="3" s="1"/>
  <c r="G138" i="3"/>
  <c r="H138" i="3" s="1"/>
  <c r="G139" i="3"/>
  <c r="H139" i="3" s="1"/>
  <c r="G140" i="3"/>
  <c r="H140" i="3" s="1"/>
  <c r="G141" i="3"/>
  <c r="H141" i="3" s="1"/>
  <c r="G142" i="3"/>
  <c r="H142" i="3" s="1"/>
  <c r="G143" i="3"/>
  <c r="H143" i="3" s="1"/>
  <c r="G144" i="3"/>
  <c r="H144" i="3" s="1"/>
  <c r="G145" i="3"/>
  <c r="H145" i="3" s="1"/>
  <c r="Q149" i="3"/>
  <c r="R149" i="3" s="1"/>
  <c r="Q150" i="3"/>
  <c r="R150" i="3" s="1"/>
  <c r="Q151" i="3"/>
  <c r="R151" i="3" s="1"/>
  <c r="Q152" i="3"/>
  <c r="R152" i="3" s="1"/>
  <c r="Q153" i="3"/>
  <c r="R153" i="3" s="1"/>
  <c r="Q154" i="3"/>
  <c r="R154" i="3" s="1"/>
  <c r="G155" i="3"/>
  <c r="H155" i="3" s="1"/>
  <c r="Q155" i="3"/>
  <c r="R155" i="3" s="1"/>
  <c r="G158" i="3"/>
  <c r="H158" i="3" s="1"/>
  <c r="Q158" i="3"/>
  <c r="R158" i="3" s="1"/>
  <c r="G159" i="3"/>
  <c r="H159" i="3" s="1"/>
  <c r="Q159" i="3"/>
  <c r="R159" i="3" s="1"/>
  <c r="G160" i="3"/>
  <c r="H160" i="3" s="1"/>
  <c r="Q160" i="3"/>
  <c r="R160" i="3" s="1"/>
  <c r="G161" i="3"/>
  <c r="H161" i="3" s="1"/>
  <c r="Q161" i="3"/>
  <c r="R161" i="3" s="1"/>
  <c r="G162" i="3"/>
  <c r="H162" i="3" s="1"/>
  <c r="Q162" i="3"/>
  <c r="R162" i="3" s="1"/>
  <c r="G163" i="3"/>
  <c r="H163" i="3" s="1"/>
  <c r="Q163" i="3"/>
  <c r="R163" i="3" s="1"/>
  <c r="G165" i="3"/>
  <c r="H165" i="3" s="1"/>
  <c r="Q164" i="3"/>
  <c r="R164" i="3" s="1"/>
  <c r="G166" i="3"/>
  <c r="H166" i="3" s="1"/>
  <c r="Q170" i="3"/>
  <c r="R170" i="3" s="1"/>
  <c r="Q171" i="3"/>
  <c r="R171" i="3" s="1"/>
  <c r="Q172" i="3"/>
  <c r="R172" i="3" s="1"/>
  <c r="Q173" i="3"/>
  <c r="R173" i="3" s="1"/>
  <c r="Q174" i="3"/>
  <c r="R174" i="3" s="1"/>
  <c r="G175" i="3"/>
  <c r="H175" i="3" s="1"/>
  <c r="Q175" i="3"/>
  <c r="R175" i="3" s="1"/>
  <c r="G176" i="3"/>
  <c r="H176" i="3" s="1"/>
  <c r="Q176" i="3"/>
  <c r="R176" i="3" s="1"/>
  <c r="G177" i="3"/>
  <c r="H177" i="3" s="1"/>
  <c r="Q177" i="3"/>
  <c r="R177" i="3" s="1"/>
  <c r="G178" i="3"/>
  <c r="H178" i="3" s="1"/>
  <c r="Q178" i="3"/>
  <c r="R178" i="3" s="1"/>
  <c r="G179" i="3"/>
  <c r="H179" i="3" s="1"/>
  <c r="Q179" i="3"/>
  <c r="R179" i="3" s="1"/>
  <c r="G180" i="3"/>
  <c r="H180" i="3" s="1"/>
  <c r="Q180" i="3"/>
  <c r="R180" i="3" s="1"/>
  <c r="G181" i="3"/>
  <c r="H181" i="3" s="1"/>
  <c r="Q181" i="3"/>
  <c r="R181" i="3" s="1"/>
  <c r="Q185" i="3"/>
  <c r="R185" i="3" s="1"/>
  <c r="Q186" i="3"/>
  <c r="R186" i="3" s="1"/>
  <c r="Q187" i="3"/>
  <c r="R187" i="3" s="1"/>
  <c r="Q188" i="3"/>
  <c r="R188" i="3" s="1"/>
  <c r="Q189" i="3"/>
  <c r="R189" i="3" s="1"/>
  <c r="G190" i="3"/>
  <c r="H190" i="3" s="1"/>
  <c r="Q190" i="3"/>
  <c r="R190" i="3" s="1"/>
  <c r="G191" i="3"/>
  <c r="H191" i="3" s="1"/>
  <c r="Q191" i="3"/>
  <c r="R191" i="3" s="1"/>
  <c r="G192" i="3"/>
  <c r="H192" i="3" s="1"/>
  <c r="Q192" i="3"/>
  <c r="R192" i="3" s="1"/>
  <c r="G193" i="3"/>
  <c r="H193" i="3" s="1"/>
  <c r="Q193" i="3"/>
  <c r="R193" i="3" s="1"/>
  <c r="G194" i="3"/>
  <c r="H194" i="3" s="1"/>
  <c r="Q194" i="3"/>
  <c r="R194" i="3" s="1"/>
  <c r="G195" i="3"/>
  <c r="H195" i="3" s="1"/>
  <c r="Q195" i="3"/>
  <c r="R195" i="3" s="1"/>
  <c r="G196" i="3"/>
  <c r="H196" i="3" s="1"/>
  <c r="Q196" i="3"/>
  <c r="R196" i="3" s="1"/>
  <c r="G218" i="3"/>
  <c r="H218" i="3" s="1"/>
  <c r="Q218" i="3"/>
  <c r="R218" i="3" s="1"/>
  <c r="G219" i="3"/>
  <c r="H219" i="3" s="1"/>
  <c r="Q219" i="3"/>
  <c r="R219" i="3" s="1"/>
  <c r="G220" i="3"/>
  <c r="H220" i="3" s="1"/>
  <c r="Q220" i="3"/>
  <c r="R220" i="3" s="1"/>
  <c r="G221" i="3"/>
  <c r="H221" i="3" s="1"/>
  <c r="Q221" i="3"/>
  <c r="R221" i="3" s="1"/>
  <c r="G222" i="3"/>
  <c r="H222" i="3" s="1"/>
  <c r="Q222" i="3"/>
  <c r="R222" i="3" s="1"/>
  <c r="G223" i="3"/>
  <c r="H223" i="3" s="1"/>
  <c r="Q223" i="3"/>
  <c r="R223" i="3" s="1"/>
  <c r="Q227" i="3"/>
  <c r="R227" i="3" s="1"/>
  <c r="Q228" i="3"/>
  <c r="R228" i="3" s="1"/>
  <c r="Q229" i="3"/>
  <c r="R229" i="3" s="1"/>
  <c r="Q230" i="3"/>
  <c r="R230" i="3" s="1"/>
  <c r="Q231" i="3"/>
  <c r="R231" i="3" s="1"/>
  <c r="Q232" i="3"/>
  <c r="R232" i="3" s="1"/>
  <c r="Q233" i="3"/>
  <c r="R233" i="3" s="1"/>
  <c r="G234" i="3"/>
  <c r="H234" i="3" s="1"/>
  <c r="Q234" i="3"/>
  <c r="R234" i="3" s="1"/>
  <c r="G235" i="3"/>
  <c r="H235" i="3" s="1"/>
  <c r="Q235" i="3"/>
  <c r="R235" i="3" s="1"/>
  <c r="G236" i="3"/>
  <c r="H236" i="3" s="1"/>
  <c r="Q236" i="3"/>
  <c r="R236" i="3" s="1"/>
  <c r="Q240" i="3"/>
  <c r="R240" i="3" s="1"/>
  <c r="Q241" i="3"/>
  <c r="R241" i="3" s="1"/>
  <c r="Q242" i="3"/>
  <c r="R242" i="3" s="1"/>
  <c r="Q243" i="3"/>
  <c r="R243" i="3" s="1"/>
  <c r="G251" i="3"/>
  <c r="H251" i="3" s="1"/>
  <c r="Q251" i="3"/>
  <c r="R251" i="3" s="1"/>
  <c r="Q264" i="3"/>
  <c r="R264" i="3" s="1"/>
  <c r="G266" i="3"/>
  <c r="H266" i="3" s="1"/>
  <c r="Q266" i="3"/>
  <c r="R266" i="3" s="1"/>
  <c r="G267" i="3"/>
  <c r="H267" i="3" s="1"/>
  <c r="Q267" i="3"/>
  <c r="R267" i="3" s="1"/>
  <c r="G268" i="3"/>
  <c r="H268" i="3" s="1"/>
  <c r="Q269" i="3"/>
  <c r="R269" i="3" s="1"/>
  <c r="Q270" i="3"/>
  <c r="R270" i="3" s="1"/>
  <c r="Q274" i="3"/>
  <c r="R274" i="3" s="1"/>
  <c r="Q275" i="3"/>
  <c r="R275" i="3" s="1"/>
  <c r="Q276" i="3"/>
  <c r="R276" i="3" s="1"/>
  <c r="Q277" i="3"/>
  <c r="R277" i="3" s="1"/>
  <c r="Q278" i="3"/>
  <c r="R278" i="3" s="1"/>
  <c r="G279" i="3"/>
  <c r="H279" i="3" s="1"/>
  <c r="Q279" i="3"/>
  <c r="R279" i="3" s="1"/>
  <c r="G280" i="3"/>
  <c r="H280" i="3" s="1"/>
  <c r="Q285" i="3"/>
  <c r="R285" i="3" s="1"/>
  <c r="Q286" i="3"/>
  <c r="R286" i="3" s="1"/>
  <c r="Q287" i="3"/>
  <c r="R287" i="3" s="1"/>
  <c r="Q288" i="3"/>
  <c r="R288" i="3" s="1"/>
  <c r="Q289" i="3"/>
  <c r="R289" i="3" s="1"/>
  <c r="G290" i="3"/>
  <c r="H290" i="3" s="1"/>
  <c r="Q290" i="3"/>
  <c r="R290" i="3" s="1"/>
  <c r="G291" i="3"/>
  <c r="H291" i="3" s="1"/>
  <c r="J295" i="3"/>
  <c r="Q295" i="3"/>
  <c r="R295" i="3" s="1"/>
  <c r="J296" i="3"/>
  <c r="Q296" i="3"/>
  <c r="R296" i="3" s="1"/>
  <c r="J297" i="3"/>
  <c r="Q297" i="3"/>
  <c r="R297" i="3" s="1"/>
  <c r="J298" i="3"/>
  <c r="Q298" i="3"/>
  <c r="R298" i="3" s="1"/>
  <c r="J299" i="3"/>
  <c r="Q299" i="3"/>
  <c r="R299" i="3" s="1"/>
  <c r="J300" i="3"/>
  <c r="Q300" i="3"/>
  <c r="R300" i="3" s="1"/>
  <c r="J301" i="3"/>
  <c r="Q301" i="3"/>
  <c r="R301" i="3" s="1"/>
  <c r="A302" i="3"/>
  <c r="J302" i="3"/>
  <c r="Q302" i="3"/>
  <c r="R302" i="3" s="1"/>
  <c r="A303" i="3"/>
  <c r="G303" i="3"/>
  <c r="H303" i="3" s="1"/>
  <c r="J303" i="3"/>
  <c r="Q303" i="3"/>
  <c r="R303" i="3" s="1"/>
  <c r="A304" i="3"/>
  <c r="G304" i="3"/>
  <c r="H304" i="3" s="1"/>
  <c r="J304" i="3"/>
  <c r="Q304" i="3"/>
  <c r="R304" i="3" s="1"/>
  <c r="A305" i="3"/>
  <c r="J305" i="3"/>
  <c r="Q305" i="3"/>
  <c r="R305" i="3" s="1"/>
  <c r="A306" i="3"/>
  <c r="G306" i="3"/>
  <c r="H306" i="3" s="1"/>
  <c r="J306" i="3"/>
  <c r="Q306" i="3"/>
  <c r="R306" i="3" s="1"/>
  <c r="J310" i="3"/>
  <c r="Q310" i="3"/>
  <c r="R310" i="3" s="1"/>
  <c r="J311" i="3"/>
  <c r="Q311" i="3"/>
  <c r="R311" i="3" s="1"/>
  <c r="J312" i="3"/>
  <c r="Q312" i="3"/>
  <c r="R312" i="3" s="1"/>
  <c r="J313" i="3"/>
  <c r="Q313" i="3"/>
  <c r="R313" i="3" s="1"/>
  <c r="J314" i="3"/>
  <c r="Q314" i="3"/>
  <c r="R314" i="3" s="1"/>
  <c r="J315" i="3"/>
  <c r="Q315" i="3"/>
  <c r="R315" i="3" s="1"/>
  <c r="J316" i="3"/>
  <c r="Q316" i="3"/>
  <c r="R316" i="3" s="1"/>
  <c r="A317" i="3"/>
  <c r="G317" i="3"/>
  <c r="H317" i="3" s="1"/>
  <c r="J317" i="3"/>
  <c r="Q317" i="3"/>
  <c r="R317" i="3" s="1"/>
  <c r="A318" i="3"/>
  <c r="G318" i="3"/>
  <c r="H318" i="3" s="1"/>
  <c r="J318" i="3"/>
  <c r="Q318" i="3"/>
  <c r="R318" i="3" s="1"/>
  <c r="A319" i="3"/>
  <c r="G319" i="3"/>
  <c r="H319" i="3" s="1"/>
  <c r="J319" i="3"/>
  <c r="Q319" i="3"/>
  <c r="R319" i="3" s="1"/>
  <c r="A320" i="3"/>
  <c r="G320" i="3"/>
  <c r="H320" i="3" s="1"/>
  <c r="J320" i="3"/>
  <c r="Q320" i="3"/>
  <c r="R320" i="3" s="1"/>
  <c r="A321" i="3"/>
  <c r="G321" i="3"/>
  <c r="H321" i="3" s="1"/>
  <c r="J321" i="3"/>
  <c r="Q321" i="3"/>
  <c r="R321" i="3" s="1"/>
  <c r="J325" i="3"/>
  <c r="Q325" i="3"/>
  <c r="R325" i="3" s="1"/>
  <c r="J326" i="3"/>
  <c r="Q326" i="3"/>
  <c r="R326" i="3" s="1"/>
  <c r="J327" i="3"/>
  <c r="Q327" i="3"/>
  <c r="R327" i="3" s="1"/>
  <c r="J328" i="3"/>
  <c r="Q328" i="3"/>
  <c r="R328" i="3" s="1"/>
  <c r="J332" i="3"/>
  <c r="Q332" i="3"/>
  <c r="R332" i="3" s="1"/>
  <c r="J333" i="3"/>
  <c r="Q333" i="3"/>
  <c r="R333" i="3" s="1"/>
  <c r="J334" i="3"/>
  <c r="Q334" i="3"/>
  <c r="R334" i="3" s="1"/>
  <c r="J335" i="3"/>
  <c r="Q335" i="3"/>
  <c r="R335" i="3" s="1"/>
  <c r="J336" i="3"/>
  <c r="Q336" i="3"/>
  <c r="R336" i="3" s="1"/>
  <c r="J337" i="3"/>
  <c r="Q337" i="3"/>
  <c r="R337" i="3" s="1"/>
  <c r="A338" i="3"/>
  <c r="G338" i="3"/>
  <c r="H338" i="3" s="1"/>
  <c r="J338" i="3"/>
  <c r="Q338" i="3"/>
  <c r="R338" i="3" s="1"/>
  <c r="A339" i="3"/>
  <c r="G339" i="3"/>
  <c r="H339" i="3" s="1"/>
  <c r="J339" i="3"/>
  <c r="Q339" i="3"/>
  <c r="R339" i="3" s="1"/>
  <c r="J343" i="3"/>
  <c r="Q343" i="3"/>
  <c r="R343" i="3" s="1"/>
  <c r="J344" i="3"/>
  <c r="Q344" i="3"/>
  <c r="R344" i="3" s="1"/>
  <c r="J345" i="3"/>
  <c r="Q345" i="3"/>
  <c r="R345" i="3" s="1"/>
  <c r="J346" i="3"/>
  <c r="Q346" i="3"/>
  <c r="R346" i="3" s="1"/>
  <c r="J347" i="3"/>
  <c r="Q347" i="3"/>
  <c r="R347" i="3" s="1"/>
  <c r="A348" i="3"/>
  <c r="G348" i="3"/>
  <c r="H348" i="3" s="1"/>
  <c r="J348" i="3"/>
  <c r="Q348" i="3"/>
  <c r="R348" i="3" s="1"/>
  <c r="A349" i="3"/>
  <c r="G349" i="3"/>
  <c r="H349" i="3" s="1"/>
  <c r="J349" i="3"/>
  <c r="Q349" i="3"/>
  <c r="R349" i="3" s="1"/>
  <c r="A350" i="3"/>
  <c r="G350" i="3"/>
  <c r="H350" i="3" s="1"/>
  <c r="Q358" i="3"/>
  <c r="R358" i="3" s="1"/>
  <c r="Q359" i="3"/>
  <c r="R359" i="3" s="1"/>
  <c r="Q360" i="3"/>
  <c r="R360" i="3" s="1"/>
  <c r="Q361" i="3"/>
  <c r="R361" i="3" s="1"/>
  <c r="J365" i="3"/>
  <c r="Q365" i="3"/>
  <c r="R365" i="3" s="1"/>
  <c r="J366" i="3"/>
  <c r="Q366" i="3"/>
  <c r="R366" i="3" s="1"/>
  <c r="J376" i="3"/>
  <c r="Q376" i="3"/>
  <c r="R376" i="3" s="1"/>
  <c r="J377" i="3"/>
  <c r="Q377" i="3"/>
  <c r="R377" i="3" s="1"/>
  <c r="Q384" i="3"/>
  <c r="R384" i="3" s="1"/>
  <c r="Q385" i="3"/>
  <c r="R385" i="3" s="1"/>
  <c r="Q395" i="3"/>
  <c r="R395" i="3" s="1"/>
  <c r="Q396" i="3"/>
  <c r="R396" i="3" s="1"/>
  <c r="Q397" i="3"/>
  <c r="R397" i="3" s="1"/>
  <c r="Q398" i="3"/>
  <c r="R398" i="3" s="1"/>
  <c r="Q399" i="3"/>
  <c r="R399" i="3" s="1"/>
  <c r="Q403" i="3"/>
  <c r="R403" i="3" s="1"/>
  <c r="Q404" i="3"/>
  <c r="R404" i="3" s="1"/>
  <c r="Q405" i="3"/>
  <c r="R405" i="3" s="1"/>
  <c r="Q406" i="3"/>
  <c r="R406" i="3" s="1"/>
  <c r="Q407" i="3"/>
  <c r="R407" i="3" s="1"/>
  <c r="Q408" i="3"/>
  <c r="R408" i="3" s="1"/>
  <c r="Q409" i="3"/>
  <c r="R409" i="3" s="1"/>
  <c r="Q410" i="3"/>
  <c r="R410" i="3" s="1"/>
  <c r="Q414" i="3"/>
  <c r="R414" i="3" s="1"/>
  <c r="Q415" i="3"/>
  <c r="R415" i="3" s="1"/>
  <c r="Q416" i="3"/>
  <c r="R416" i="3" s="1"/>
  <c r="Q417" i="3"/>
  <c r="R417" i="3" s="1"/>
  <c r="Q418" i="3"/>
  <c r="R418" i="3" s="1"/>
  <c r="Q419" i="3"/>
  <c r="R419" i="3" s="1"/>
  <c r="G420" i="3"/>
  <c r="H420" i="3" s="1"/>
  <c r="Q420" i="3"/>
  <c r="R420" i="3" s="1"/>
  <c r="G421" i="3"/>
  <c r="H421" i="3" s="1"/>
  <c r="Q421" i="3"/>
  <c r="R421" i="3" s="1"/>
  <c r="G422" i="3"/>
  <c r="H422" i="3" s="1"/>
  <c r="Q422" i="3"/>
  <c r="R422" i="3" s="1"/>
  <c r="G423" i="3"/>
  <c r="H423" i="3" s="1"/>
  <c r="Q423" i="3"/>
  <c r="R423" i="3" s="1"/>
  <c r="G424" i="3"/>
  <c r="H424" i="3" s="1"/>
  <c r="Q424" i="3"/>
  <c r="R424" i="3" s="1"/>
  <c r="G425" i="3"/>
  <c r="H425" i="3" s="1"/>
  <c r="Q425" i="3"/>
  <c r="R425" i="3" s="1"/>
  <c r="G426" i="3"/>
  <c r="H426" i="3" s="1"/>
  <c r="Q426" i="3"/>
  <c r="R426" i="3" s="1"/>
  <c r="G427" i="3"/>
  <c r="H427" i="3" s="1"/>
  <c r="Q427" i="3"/>
  <c r="R427" i="3" s="1"/>
  <c r="G428" i="3"/>
  <c r="H428" i="3" s="1"/>
  <c r="Q428" i="3"/>
  <c r="R428" i="3" s="1"/>
  <c r="G429" i="3"/>
  <c r="H429" i="3" s="1"/>
  <c r="Q429" i="3"/>
  <c r="R429" i="3" s="1"/>
  <c r="G430" i="3"/>
  <c r="H430" i="3" s="1"/>
  <c r="Q430" i="3"/>
  <c r="R430" i="3" s="1"/>
  <c r="G431" i="3"/>
  <c r="H431" i="3" s="1"/>
  <c r="Q431" i="3"/>
  <c r="R431" i="3" s="1"/>
  <c r="G432" i="3"/>
  <c r="H432" i="3" s="1"/>
  <c r="Q432" i="3"/>
  <c r="R432" i="3" s="1"/>
  <c r="G433" i="3"/>
  <c r="H433" i="3" s="1"/>
  <c r="Q433" i="3"/>
  <c r="R433" i="3" s="1"/>
  <c r="G434" i="3"/>
  <c r="H434" i="3" s="1"/>
  <c r="Q438" i="3"/>
  <c r="R438" i="3" s="1"/>
  <c r="Q439" i="3"/>
  <c r="R439" i="3" s="1"/>
  <c r="Q440" i="3"/>
  <c r="R440" i="3" s="1"/>
  <c r="Q441" i="3"/>
  <c r="R441" i="3" s="1"/>
  <c r="Q442" i="3"/>
  <c r="R442" i="3" s="1"/>
  <c r="Q443" i="3"/>
  <c r="R443" i="3" s="1"/>
  <c r="Q444" i="3"/>
  <c r="R444" i="3" s="1"/>
  <c r="G445" i="3"/>
  <c r="H445" i="3" s="1"/>
  <c r="Q445" i="3"/>
  <c r="R445" i="3" s="1"/>
  <c r="G446" i="3"/>
  <c r="H446" i="3" s="1"/>
  <c r="Q446" i="3"/>
  <c r="R446" i="3" s="1"/>
  <c r="G447" i="3"/>
  <c r="H447" i="3" s="1"/>
  <c r="Q447" i="3"/>
  <c r="R447" i="3" s="1"/>
  <c r="G448" i="3"/>
  <c r="H448" i="3" s="1"/>
  <c r="Q448" i="3"/>
  <c r="R448" i="3" s="1"/>
  <c r="G449" i="3"/>
  <c r="H449" i="3" s="1"/>
  <c r="Q449" i="3"/>
  <c r="R449" i="3" s="1"/>
  <c r="G450" i="3"/>
  <c r="H450" i="3" s="1"/>
  <c r="Q450" i="3"/>
  <c r="R450" i="3" s="1"/>
  <c r="G451" i="3"/>
  <c r="H451" i="3" s="1"/>
  <c r="Q451" i="3"/>
  <c r="R451" i="3" s="1"/>
  <c r="G452" i="3"/>
  <c r="H452" i="3" s="1"/>
  <c r="Q452" i="3"/>
  <c r="R452" i="3" s="1"/>
  <c r="G453" i="3"/>
  <c r="H453" i="3" s="1"/>
  <c r="Q453" i="3"/>
  <c r="R453" i="3" s="1"/>
  <c r="G454" i="3"/>
  <c r="H454" i="3" s="1"/>
  <c r="Q454" i="3"/>
  <c r="R454" i="3" s="1"/>
  <c r="G455" i="3"/>
  <c r="H455" i="3" s="1"/>
  <c r="Q455" i="3"/>
  <c r="R455" i="3" s="1"/>
  <c r="G456" i="3"/>
  <c r="H456" i="3" s="1"/>
  <c r="Q456" i="3"/>
  <c r="R456" i="3" s="1"/>
  <c r="G457" i="3"/>
  <c r="H457" i="3" s="1"/>
  <c r="Q457" i="3"/>
  <c r="R457" i="3" s="1"/>
  <c r="G458" i="3"/>
  <c r="H458" i="3" s="1"/>
  <c r="Q458" i="3"/>
  <c r="R458" i="3" s="1"/>
  <c r="G459" i="3"/>
  <c r="H459" i="3" s="1"/>
  <c r="Q459" i="3"/>
  <c r="R459" i="3" s="1"/>
  <c r="G460" i="3"/>
  <c r="H460" i="3" s="1"/>
  <c r="Q460" i="3"/>
  <c r="R460" i="3" s="1"/>
  <c r="G461" i="3"/>
  <c r="H461" i="3" s="1"/>
  <c r="Q461" i="3"/>
  <c r="R461" i="3" s="1"/>
  <c r="G462" i="3"/>
  <c r="H462" i="3" s="1"/>
  <c r="Q462" i="3"/>
  <c r="R462" i="3" s="1"/>
  <c r="G463" i="3"/>
  <c r="H463" i="3" s="1"/>
  <c r="Q463" i="3"/>
  <c r="R463" i="3" s="1"/>
  <c r="G464" i="3"/>
  <c r="H464" i="3" s="1"/>
  <c r="Q464" i="3"/>
  <c r="R464" i="3" s="1"/>
  <c r="G465" i="3"/>
  <c r="H465" i="3" s="1"/>
  <c r="Q469" i="3"/>
  <c r="R469" i="3" s="1"/>
  <c r="Q470" i="3"/>
  <c r="R470" i="3" s="1"/>
  <c r="Q471" i="3"/>
  <c r="R471" i="3" s="1"/>
  <c r="Q472" i="3"/>
  <c r="R472" i="3" s="1"/>
  <c r="Q473" i="3"/>
  <c r="R473" i="3" s="1"/>
  <c r="Q474" i="3"/>
  <c r="R474" i="3" s="1"/>
  <c r="G475" i="3"/>
  <c r="H475" i="3" s="1"/>
  <c r="Q475" i="3"/>
  <c r="R475" i="3" s="1"/>
  <c r="G476" i="3"/>
  <c r="H476" i="3" s="1"/>
  <c r="Q476" i="3"/>
  <c r="R476" i="3" s="1"/>
  <c r="G477" i="3"/>
  <c r="H477" i="3" s="1"/>
  <c r="Q477" i="3"/>
  <c r="R477" i="3" s="1"/>
  <c r="G478" i="3"/>
  <c r="H478" i="3" s="1"/>
  <c r="Q478" i="3"/>
  <c r="R478" i="3" s="1"/>
  <c r="G479" i="3"/>
  <c r="H479" i="3" s="1"/>
  <c r="Q479" i="3"/>
  <c r="R479" i="3" s="1"/>
  <c r="G480" i="3"/>
  <c r="H480" i="3" s="1"/>
  <c r="Q480" i="3"/>
  <c r="R480" i="3" s="1"/>
  <c r="G481" i="3"/>
  <c r="H481" i="3" s="1"/>
  <c r="Q481" i="3"/>
  <c r="R481" i="3" s="1"/>
  <c r="G482" i="3"/>
  <c r="H482" i="3" s="1"/>
  <c r="Q482" i="3"/>
  <c r="R482" i="3" s="1"/>
  <c r="G483" i="3"/>
  <c r="H483" i="3" s="1"/>
  <c r="Q483" i="3"/>
  <c r="R483" i="3" s="1"/>
  <c r="G484" i="3"/>
  <c r="H484" i="3" s="1"/>
  <c r="Q484" i="3"/>
  <c r="R484" i="3" s="1"/>
  <c r="G485" i="3"/>
  <c r="H485" i="3" s="1"/>
  <c r="Q485" i="3"/>
  <c r="R485" i="3" s="1"/>
  <c r="G486" i="3"/>
  <c r="H486" i="3" s="1"/>
  <c r="Q486" i="3"/>
  <c r="R486" i="3" s="1"/>
  <c r="G487" i="3"/>
  <c r="H487" i="3" s="1"/>
  <c r="Q487" i="3"/>
  <c r="R487" i="3" s="1"/>
  <c r="G488" i="3"/>
  <c r="H488" i="3" s="1"/>
  <c r="Q488" i="3"/>
  <c r="R488" i="3" s="1"/>
  <c r="G489" i="3"/>
  <c r="H489" i="3" s="1"/>
  <c r="Q489" i="3"/>
  <c r="R489" i="3" s="1"/>
  <c r="G490" i="3"/>
  <c r="H490" i="3" s="1"/>
  <c r="Q490" i="3"/>
  <c r="R490" i="3" s="1"/>
  <c r="G491" i="3"/>
  <c r="H491" i="3" s="1"/>
  <c r="Q491" i="3"/>
  <c r="R491" i="3" s="1"/>
  <c r="G492" i="3"/>
  <c r="H492" i="3" s="1"/>
  <c r="Q492" i="3"/>
  <c r="R492" i="3" s="1"/>
  <c r="G493" i="3"/>
  <c r="H493" i="3" s="1"/>
  <c r="Q493" i="3"/>
  <c r="R493" i="3" s="1"/>
  <c r="G494" i="3"/>
  <c r="H494" i="3" s="1"/>
  <c r="Q494" i="3"/>
  <c r="R494" i="3" s="1"/>
  <c r="G495" i="3"/>
  <c r="H495" i="3" s="1"/>
  <c r="Q495" i="3"/>
  <c r="R495" i="3" s="1"/>
  <c r="G496" i="3"/>
  <c r="H496" i="3" s="1"/>
  <c r="Q496" i="3"/>
  <c r="R496" i="3" s="1"/>
  <c r="G497" i="3"/>
  <c r="H497" i="3" s="1"/>
  <c r="Q497" i="3"/>
  <c r="R497" i="3" s="1"/>
  <c r="G498" i="3"/>
  <c r="H498" i="3" s="1"/>
  <c r="Q498" i="3"/>
  <c r="R498" i="3" s="1"/>
  <c r="G499" i="3"/>
  <c r="H499" i="3" s="1"/>
  <c r="Q505" i="3"/>
  <c r="R505" i="3" s="1"/>
  <c r="Q506" i="3"/>
  <c r="R506" i="3" s="1"/>
  <c r="Q507" i="3"/>
  <c r="R507" i="3" s="1"/>
  <c r="Q508" i="3"/>
  <c r="R508" i="3" s="1"/>
  <c r="Q509" i="3"/>
  <c r="R509" i="3" s="1"/>
  <c r="Q510" i="3"/>
  <c r="R510" i="3" s="1"/>
  <c r="Q511" i="3"/>
  <c r="R511" i="3" s="1"/>
  <c r="Q512" i="3"/>
  <c r="R512" i="3" s="1"/>
  <c r="J516" i="3"/>
  <c r="Q516" i="3"/>
  <c r="R516" i="3" s="1"/>
  <c r="J517" i="3"/>
  <c r="Q517" i="3"/>
  <c r="R517" i="3" s="1"/>
  <c r="J518" i="3"/>
  <c r="Q518" i="3"/>
  <c r="R518" i="3" s="1"/>
  <c r="J519" i="3"/>
  <c r="Q519" i="3"/>
  <c r="R519" i="3" s="1"/>
  <c r="J520" i="3"/>
  <c r="Q520" i="3"/>
  <c r="R520" i="3" s="1"/>
  <c r="A521" i="3"/>
  <c r="G521" i="3"/>
  <c r="H521" i="3" s="1"/>
  <c r="J521" i="3"/>
  <c r="Q521" i="3"/>
  <c r="R521" i="3" s="1"/>
  <c r="A522" i="3"/>
  <c r="G522" i="3"/>
  <c r="H522" i="3" s="1"/>
  <c r="J522" i="3"/>
  <c r="Q522" i="3"/>
  <c r="R522" i="3" s="1"/>
  <c r="A523" i="3"/>
  <c r="G523" i="3"/>
  <c r="H523" i="3" s="1"/>
  <c r="J523" i="3"/>
  <c r="Q523" i="3"/>
  <c r="R523" i="3" s="1"/>
  <c r="A524" i="3"/>
  <c r="G524" i="3"/>
  <c r="H524" i="3" s="1"/>
  <c r="J524" i="3"/>
  <c r="Q524" i="3"/>
  <c r="R524" i="3" s="1"/>
  <c r="A525" i="3"/>
  <c r="G525" i="3"/>
  <c r="H525" i="3" s="1"/>
  <c r="J525" i="3"/>
  <c r="Q525" i="3"/>
  <c r="R525" i="3" s="1"/>
  <c r="A526" i="3"/>
  <c r="G526" i="3"/>
  <c r="H526" i="3" s="1"/>
  <c r="J526" i="3"/>
  <c r="Q526" i="3"/>
  <c r="R526" i="3" s="1"/>
  <c r="A527" i="3"/>
  <c r="G527" i="3"/>
  <c r="H527" i="3" s="1"/>
  <c r="J527" i="3"/>
  <c r="Q527" i="3"/>
  <c r="R527" i="3" s="1"/>
  <c r="A528" i="3"/>
  <c r="G528" i="3"/>
  <c r="H528" i="3" s="1"/>
  <c r="J528" i="3"/>
  <c r="Q528" i="3"/>
  <c r="R528" i="3" s="1"/>
  <c r="A529" i="3"/>
  <c r="G529" i="3"/>
  <c r="H529" i="3"/>
  <c r="J529" i="3"/>
  <c r="Q529" i="3"/>
  <c r="R529" i="3" s="1"/>
  <c r="A530" i="3"/>
  <c r="G530" i="3"/>
  <c r="H530" i="3" s="1"/>
  <c r="J530" i="3"/>
  <c r="Q530" i="3"/>
  <c r="R530" i="3" s="1"/>
  <c r="A531" i="3"/>
  <c r="G531" i="3"/>
  <c r="H531" i="3" s="1"/>
  <c r="J531" i="3"/>
  <c r="Q531" i="3"/>
  <c r="R531" i="3" s="1"/>
  <c r="A532" i="3"/>
  <c r="G532" i="3"/>
  <c r="H532" i="3" s="1"/>
  <c r="J532" i="3"/>
  <c r="Q532" i="3"/>
  <c r="R532" i="3" s="1"/>
  <c r="A533" i="3"/>
  <c r="G533" i="3"/>
  <c r="H533" i="3" s="1"/>
  <c r="J533" i="3"/>
  <c r="Q533" i="3"/>
  <c r="R533" i="3" s="1"/>
  <c r="A534" i="3"/>
  <c r="G534" i="3"/>
  <c r="H534" i="3" s="1"/>
  <c r="J534" i="3"/>
  <c r="Q534" i="3"/>
  <c r="R534" i="3" s="1"/>
  <c r="J538" i="3"/>
  <c r="Q538" i="3"/>
  <c r="R538" i="3" s="1"/>
  <c r="J539" i="3"/>
  <c r="Q539" i="3"/>
  <c r="R539" i="3" s="1"/>
  <c r="J540" i="3"/>
  <c r="Q540" i="3"/>
  <c r="R540" i="3" s="1"/>
  <c r="J541" i="3"/>
  <c r="Q541" i="3"/>
  <c r="R541" i="3" s="1"/>
  <c r="J542" i="3"/>
  <c r="Q542" i="3"/>
  <c r="R542" i="3" s="1"/>
  <c r="A543" i="3"/>
  <c r="G543" i="3"/>
  <c r="H543" i="3" s="1"/>
  <c r="J543" i="3"/>
  <c r="Q543" i="3"/>
  <c r="R543" i="3" s="1"/>
  <c r="A544" i="3"/>
  <c r="G544" i="3"/>
  <c r="H544" i="3" s="1"/>
  <c r="J544" i="3"/>
  <c r="Q544" i="3"/>
  <c r="R544" i="3" s="1"/>
  <c r="A545" i="3"/>
  <c r="G545" i="3"/>
  <c r="H545" i="3" s="1"/>
  <c r="J545" i="3"/>
  <c r="Q545" i="3"/>
  <c r="R545" i="3" s="1"/>
  <c r="A546" i="3"/>
  <c r="G546" i="3"/>
  <c r="H546" i="3" s="1"/>
  <c r="J546" i="3"/>
  <c r="Q546" i="3"/>
  <c r="R546" i="3" s="1"/>
  <c r="A547" i="3"/>
  <c r="G547" i="3"/>
  <c r="H547" i="3" s="1"/>
  <c r="J547" i="3"/>
  <c r="Q547" i="3"/>
  <c r="R547" i="3" s="1"/>
  <c r="A548" i="3"/>
  <c r="G548" i="3"/>
  <c r="H548" i="3" s="1"/>
  <c r="J548" i="3"/>
  <c r="Q548" i="3"/>
  <c r="R548" i="3" s="1"/>
  <c r="A549" i="3"/>
  <c r="G549" i="3"/>
  <c r="H549" i="3" s="1"/>
  <c r="J549" i="3"/>
  <c r="Q549" i="3"/>
  <c r="R549" i="3" s="1"/>
  <c r="A550" i="3"/>
  <c r="G550" i="3"/>
  <c r="H550" i="3" s="1"/>
  <c r="J550" i="3"/>
  <c r="Q550" i="3"/>
  <c r="R550" i="3" s="1"/>
  <c r="A551" i="3"/>
  <c r="G551" i="3"/>
  <c r="H551" i="3" s="1"/>
  <c r="J551" i="3"/>
  <c r="Q551" i="3"/>
  <c r="R551" i="3" s="1"/>
  <c r="A552" i="3"/>
  <c r="G552" i="3"/>
  <c r="H552" i="3" s="1"/>
  <c r="J552" i="3"/>
  <c r="Q552" i="3"/>
  <c r="R552" i="3" s="1"/>
  <c r="A553" i="3"/>
  <c r="G553" i="3"/>
  <c r="H553" i="3" s="1"/>
  <c r="J553" i="3"/>
  <c r="Q553" i="3"/>
  <c r="R553" i="3" s="1"/>
  <c r="A554" i="3"/>
  <c r="G554" i="3"/>
  <c r="H554" i="3" s="1"/>
  <c r="J554" i="3"/>
  <c r="Q554" i="3"/>
  <c r="R554" i="3" s="1"/>
  <c r="A555" i="3"/>
  <c r="G555" i="3"/>
  <c r="H555" i="3" s="1"/>
  <c r="J555" i="3"/>
  <c r="Q555" i="3"/>
  <c r="R555" i="3" s="1"/>
  <c r="A556" i="3"/>
  <c r="G556" i="3"/>
  <c r="H556" i="3" s="1"/>
  <c r="J556" i="3"/>
  <c r="Q556" i="3"/>
  <c r="R556" i="3" s="1"/>
  <c r="A557" i="3"/>
  <c r="G557" i="3"/>
  <c r="H557" i="3" s="1"/>
  <c r="J557" i="3"/>
  <c r="Q557" i="3"/>
  <c r="R557" i="3" s="1"/>
  <c r="A558" i="3"/>
  <c r="G558" i="3"/>
  <c r="H558" i="3" s="1"/>
  <c r="J558" i="3"/>
  <c r="Q558" i="3"/>
  <c r="R558" i="3" s="1"/>
  <c r="A559" i="3"/>
  <c r="G559" i="3"/>
  <c r="H559" i="3" s="1"/>
  <c r="J559" i="3"/>
  <c r="Q559" i="3"/>
  <c r="R559" i="3" s="1"/>
  <c r="A560" i="3"/>
  <c r="G560" i="3"/>
  <c r="H560" i="3" s="1"/>
  <c r="J560" i="3"/>
  <c r="Q560" i="3"/>
  <c r="R560" i="3" s="1"/>
  <c r="A561" i="3"/>
  <c r="G561" i="3"/>
  <c r="H561" i="3" s="1"/>
  <c r="J561" i="3"/>
  <c r="Q561" i="3"/>
  <c r="R561" i="3" s="1"/>
  <c r="A562" i="3"/>
  <c r="G562" i="3"/>
  <c r="H562" i="3" s="1"/>
  <c r="J562" i="3"/>
  <c r="Q562" i="3"/>
  <c r="R562" i="3" s="1"/>
  <c r="A563" i="3"/>
  <c r="G563" i="3"/>
  <c r="H563" i="3" s="1"/>
  <c r="J563" i="3"/>
  <c r="Q563" i="3"/>
  <c r="R563" i="3" s="1"/>
  <c r="A564" i="3"/>
  <c r="G564" i="3"/>
  <c r="H564" i="3" s="1"/>
  <c r="J564" i="3"/>
  <c r="Q564" i="3"/>
  <c r="R564" i="3" s="1"/>
  <c r="A565" i="3"/>
  <c r="G565" i="3"/>
  <c r="H565" i="3" s="1"/>
  <c r="J565" i="3"/>
  <c r="Q565" i="3"/>
  <c r="R565" i="3" s="1"/>
  <c r="A566" i="3"/>
  <c r="G566" i="3"/>
  <c r="H566" i="3" s="1"/>
  <c r="J566" i="3"/>
  <c r="Q566" i="3"/>
  <c r="R566" i="3" s="1"/>
  <c r="A567" i="3"/>
  <c r="G567" i="3"/>
  <c r="H567" i="3" s="1"/>
  <c r="J577" i="3"/>
  <c r="Q577" i="3"/>
  <c r="R577" i="3" s="1"/>
  <c r="J578" i="3"/>
  <c r="Q578" i="3"/>
  <c r="R578" i="3" s="1"/>
  <c r="J579" i="3"/>
  <c r="Q579" i="3"/>
  <c r="R579" i="3" s="1"/>
  <c r="J580" i="3"/>
  <c r="Q580" i="3"/>
  <c r="R580" i="3" s="1"/>
  <c r="J581" i="3"/>
  <c r="Q581" i="3"/>
  <c r="R581" i="3" s="1"/>
  <c r="J582" i="3"/>
  <c r="Q582" i="3"/>
  <c r="R582" i="3" s="1"/>
  <c r="A583" i="3"/>
  <c r="G583" i="3"/>
  <c r="H583" i="3" s="1"/>
  <c r="J583" i="3"/>
  <c r="Q583" i="3"/>
  <c r="R583" i="3" s="1"/>
  <c r="A584" i="3"/>
  <c r="G584" i="3"/>
  <c r="H584" i="3" s="1"/>
  <c r="J584" i="3"/>
  <c r="Q584" i="3"/>
  <c r="R584" i="3" s="1"/>
  <c r="A585" i="3"/>
  <c r="G585" i="3"/>
  <c r="H585" i="3" s="1"/>
  <c r="G596" i="3"/>
  <c r="H596" i="3" s="1"/>
  <c r="Q596" i="3"/>
  <c r="R596" i="3" s="1"/>
  <c r="G597" i="3"/>
  <c r="H597" i="3" s="1"/>
  <c r="Q597" i="3"/>
  <c r="R597" i="3" s="1"/>
  <c r="G598" i="3"/>
  <c r="H598" i="3" s="1"/>
  <c r="Q598" i="3"/>
  <c r="R598" i="3" s="1"/>
  <c r="G599" i="3"/>
  <c r="H599" i="3" s="1"/>
  <c r="Q599" i="3"/>
  <c r="R599" i="3" s="1"/>
  <c r="G600" i="3"/>
  <c r="H600" i="3"/>
  <c r="Q600" i="3"/>
  <c r="R600" i="3" s="1"/>
  <c r="G601" i="3"/>
  <c r="H601" i="3" s="1"/>
  <c r="Q601" i="3"/>
  <c r="R601" i="3" s="1"/>
  <c r="G602" i="3"/>
  <c r="H602" i="3" s="1"/>
  <c r="Q602" i="3"/>
  <c r="R602" i="3" s="1"/>
  <c r="G603" i="3"/>
  <c r="H603" i="3" s="1"/>
  <c r="Q603" i="3"/>
  <c r="R603" i="3" s="1"/>
  <c r="G604" i="3"/>
  <c r="H604" i="3" s="1"/>
  <c r="G613" i="3"/>
  <c r="H613" i="3" s="1"/>
  <c r="Q613" i="3"/>
  <c r="R613" i="3" s="1"/>
  <c r="G614" i="3"/>
  <c r="H614" i="3" s="1"/>
  <c r="Q614" i="3"/>
  <c r="R614" i="3" s="1"/>
  <c r="G615" i="3"/>
  <c r="H615" i="3" s="1"/>
  <c r="Q615" i="3"/>
  <c r="R615" i="3" s="1"/>
  <c r="G616" i="3"/>
  <c r="H616" i="3" s="1"/>
  <c r="Q616" i="3"/>
  <c r="R616" i="3" s="1"/>
  <c r="G617" i="3"/>
  <c r="H617" i="3" s="1"/>
  <c r="Q617" i="3"/>
  <c r="R617" i="3" s="1"/>
  <c r="G626" i="3"/>
  <c r="H626" i="3" s="1"/>
  <c r="Q626" i="3"/>
  <c r="R626" i="3" s="1"/>
  <c r="G635" i="3"/>
  <c r="H635" i="3" s="1"/>
  <c r="Q635" i="3"/>
  <c r="R635" i="3" s="1"/>
  <c r="Q639" i="3"/>
  <c r="R639" i="3" s="1"/>
  <c r="Q640" i="3"/>
  <c r="R640" i="3" s="1"/>
  <c r="A656" i="3"/>
  <c r="G656" i="3"/>
  <c r="H656" i="3" s="1"/>
  <c r="Q656" i="3"/>
  <c r="R656" i="3" s="1"/>
  <c r="A657" i="3"/>
  <c r="G657" i="3"/>
  <c r="H657" i="3"/>
  <c r="Q657" i="3"/>
  <c r="R657" i="3" s="1"/>
  <c r="A658" i="3"/>
  <c r="G658" i="3"/>
  <c r="H658" i="3" s="1"/>
  <c r="Q658" i="3"/>
  <c r="R658" i="3" s="1"/>
  <c r="A659" i="3"/>
  <c r="G659" i="3"/>
  <c r="H659" i="3" s="1"/>
  <c r="Q659" i="3"/>
  <c r="R659" i="3" s="1"/>
  <c r="A660" i="3"/>
  <c r="G660" i="3"/>
  <c r="H660" i="3" s="1"/>
  <c r="Q660" i="3"/>
  <c r="R660" i="3" s="1"/>
  <c r="A661" i="3"/>
  <c r="G661" i="3"/>
  <c r="H661" i="3" s="1"/>
  <c r="Q661" i="3"/>
  <c r="R661" i="3" s="1"/>
  <c r="A662" i="3"/>
  <c r="G662" i="3"/>
  <c r="H662" i="3" s="1"/>
  <c r="Q662" i="3"/>
  <c r="R662" i="3" s="1"/>
  <c r="A663" i="3"/>
  <c r="G663" i="3"/>
  <c r="H663" i="3" s="1"/>
  <c r="A664" i="3"/>
  <c r="G664" i="3"/>
  <c r="H664" i="3" s="1"/>
  <c r="A665" i="3"/>
  <c r="G665" i="3"/>
  <c r="H665" i="3" s="1"/>
  <c r="A666" i="3"/>
  <c r="G666" i="3"/>
  <c r="H666" i="3" s="1"/>
  <c r="A667" i="3"/>
  <c r="G667" i="3"/>
  <c r="H667" i="3" s="1"/>
  <c r="A668" i="3"/>
  <c r="G668" i="3"/>
  <c r="H668" i="3" s="1"/>
  <c r="J672" i="3"/>
  <c r="Q672" i="3"/>
  <c r="R672" i="3" s="1"/>
  <c r="J673" i="3"/>
  <c r="Q673" i="3"/>
  <c r="R673" i="3" s="1"/>
  <c r="J674" i="3"/>
  <c r="Q674" i="3"/>
  <c r="R674" i="3" s="1"/>
  <c r="J675" i="3"/>
  <c r="Q675" i="3"/>
  <c r="R675" i="3" s="1"/>
  <c r="J676" i="3"/>
  <c r="Q676" i="3"/>
  <c r="R676" i="3" s="1"/>
  <c r="J677" i="3"/>
  <c r="Q677" i="3"/>
  <c r="R677" i="3" s="1"/>
  <c r="J678" i="3"/>
  <c r="Q678" i="3"/>
  <c r="R678" i="3" s="1"/>
  <c r="Q682" i="3"/>
  <c r="R682" i="3" s="1"/>
  <c r="Q683" i="3"/>
  <c r="R683" i="3" s="1"/>
  <c r="G693" i="3"/>
  <c r="H693" i="3" s="1"/>
  <c r="Q693" i="3"/>
  <c r="R693" i="3" s="1"/>
  <c r="G694" i="3"/>
  <c r="H694" i="3" s="1"/>
  <c r="Q694" i="3"/>
  <c r="R694" i="3" s="1"/>
  <c r="G695" i="3"/>
  <c r="H695" i="3" s="1"/>
  <c r="Q695" i="3"/>
  <c r="R695" i="3" s="1"/>
  <c r="G696" i="3"/>
  <c r="H696" i="3" s="1"/>
  <c r="Q696" i="3"/>
  <c r="R696" i="3" s="1"/>
  <c r="G697" i="3"/>
  <c r="H697" i="3" s="1"/>
  <c r="G698" i="3"/>
  <c r="H698" i="3" s="1"/>
  <c r="G709" i="3"/>
  <c r="H709" i="3" s="1"/>
  <c r="Q709" i="3"/>
  <c r="R709" i="3" s="1"/>
  <c r="G710" i="3"/>
  <c r="H710" i="3" s="1"/>
  <c r="Q710" i="3"/>
  <c r="R710" i="3" s="1"/>
  <c r="G711" i="3"/>
  <c r="H711" i="3" s="1"/>
  <c r="Q711" i="3"/>
  <c r="R711" i="3" s="1"/>
  <c r="G712" i="3"/>
  <c r="H712" i="3" s="1"/>
  <c r="Q712" i="3"/>
  <c r="R712" i="3" s="1"/>
  <c r="G713" i="3"/>
  <c r="H713" i="3" s="1"/>
  <c r="Q713" i="3"/>
  <c r="R713" i="3" s="1"/>
  <c r="G714" i="3"/>
  <c r="H714" i="3" s="1"/>
  <c r="Q714" i="3"/>
  <c r="R714" i="3" s="1"/>
  <c r="G715" i="3"/>
  <c r="H715" i="3" s="1"/>
  <c r="Q715" i="3"/>
  <c r="R715" i="3" s="1"/>
  <c r="G716" i="3"/>
  <c r="H716" i="3" s="1"/>
  <c r="Q716" i="3"/>
  <c r="R716" i="3"/>
  <c r="G717" i="3"/>
  <c r="H717" i="3" s="1"/>
  <c r="Q717" i="3"/>
  <c r="R717" i="3" s="1"/>
  <c r="G718" i="3"/>
  <c r="H718" i="3" s="1"/>
  <c r="Q718" i="3"/>
  <c r="R718" i="3" s="1"/>
  <c r="G730" i="3"/>
  <c r="H730" i="3" s="1"/>
  <c r="Q730" i="3"/>
  <c r="R730" i="3" s="1"/>
  <c r="G731" i="3"/>
  <c r="H731" i="3" s="1"/>
  <c r="Q731" i="3"/>
  <c r="R731" i="3" s="1"/>
  <c r="G732" i="3"/>
  <c r="H732" i="3" s="1"/>
  <c r="Q732" i="3"/>
  <c r="R732" i="3"/>
  <c r="G733" i="3"/>
  <c r="H733" i="3" s="1"/>
  <c r="Q733" i="3"/>
  <c r="R733" i="3" s="1"/>
  <c r="G734" i="3"/>
  <c r="H734" i="3" s="1"/>
  <c r="Q734" i="3"/>
  <c r="R734" i="3" s="1"/>
  <c r="G735" i="3"/>
  <c r="H735" i="3" s="1"/>
  <c r="Q735" i="3"/>
  <c r="R735" i="3" s="1"/>
  <c r="G736" i="3"/>
  <c r="H736" i="3" s="1"/>
  <c r="Q736" i="3"/>
  <c r="R736" i="3" s="1"/>
  <c r="G737" i="3"/>
  <c r="H737" i="3" s="1"/>
  <c r="Q737" i="3"/>
  <c r="R737" i="3" s="1"/>
  <c r="G738" i="3"/>
  <c r="H738" i="3" s="1"/>
  <c r="Q738" i="3"/>
  <c r="R738" i="3" s="1"/>
  <c r="G739" i="3"/>
  <c r="H739" i="3" s="1"/>
  <c r="Q739" i="3"/>
  <c r="R739" i="3" s="1"/>
  <c r="G749" i="3"/>
  <c r="H749" i="3" s="1"/>
  <c r="Q749" i="3"/>
  <c r="R749" i="3" s="1"/>
  <c r="G750" i="3"/>
  <c r="H750" i="3" s="1"/>
  <c r="Q756" i="3"/>
  <c r="R756" i="3" s="1"/>
  <c r="Q757" i="3"/>
  <c r="R757" i="3" s="1"/>
  <c r="Q758" i="3"/>
  <c r="R758" i="3" s="1"/>
  <c r="Q759" i="3"/>
  <c r="R759" i="3" s="1"/>
  <c r="G760" i="3"/>
  <c r="H760" i="3" s="1"/>
  <c r="Q760" i="3"/>
  <c r="R760" i="3" s="1"/>
  <c r="G761" i="3"/>
  <c r="H761" i="3" s="1"/>
  <c r="Q761" i="3"/>
  <c r="R761" i="3" s="1"/>
  <c r="G770" i="3"/>
  <c r="H770" i="3" s="1"/>
  <c r="R770" i="3"/>
  <c r="G771" i="3"/>
  <c r="H771" i="3" s="1"/>
  <c r="R771" i="3"/>
  <c r="G772" i="3"/>
  <c r="H772" i="3" s="1"/>
  <c r="G773" i="3"/>
  <c r="H773" i="3" s="1"/>
  <c r="G782" i="3"/>
  <c r="H782" i="3" s="1"/>
  <c r="Q782" i="3"/>
  <c r="R782" i="3" s="1"/>
  <c r="G783" i="3"/>
  <c r="H783" i="3" s="1"/>
  <c r="J783" i="3"/>
  <c r="Q783" i="3"/>
  <c r="R783" i="3" s="1"/>
  <c r="G784" i="3"/>
  <c r="H784" i="3" s="1"/>
  <c r="G785" i="3"/>
  <c r="H785" i="3" s="1"/>
  <c r="G786" i="3"/>
  <c r="H786" i="3" s="1"/>
  <c r="G787" i="3"/>
  <c r="H787" i="3" s="1"/>
  <c r="G798" i="3"/>
  <c r="H798" i="3" s="1"/>
  <c r="J798" i="3"/>
  <c r="Q798" i="3"/>
  <c r="R798" i="3" s="1"/>
  <c r="G799" i="3"/>
  <c r="H799" i="3" s="1"/>
  <c r="G800" i="3"/>
  <c r="H800" i="3" s="1"/>
  <c r="G801" i="3"/>
  <c r="H801" i="3" s="1"/>
  <c r="G802" i="3"/>
  <c r="H802" i="3" s="1"/>
  <c r="G803" i="3"/>
  <c r="H803" i="3" s="1"/>
  <c r="J803" i="3"/>
  <c r="Q803" i="3"/>
  <c r="R803" i="3" s="1"/>
  <c r="G804" i="3"/>
  <c r="H804" i="3" s="1"/>
  <c r="G805" i="3"/>
  <c r="H805" i="3" s="1"/>
  <c r="G806" i="3"/>
  <c r="H806" i="3" s="1"/>
  <c r="G807" i="3"/>
  <c r="H807" i="3" s="1"/>
  <c r="G808" i="3"/>
  <c r="H808" i="3" s="1"/>
  <c r="G809" i="3"/>
  <c r="H809" i="3" s="1"/>
  <c r="J809" i="3"/>
  <c r="Q809" i="3"/>
  <c r="R809" i="3" s="1"/>
  <c r="G810" i="3"/>
  <c r="H810" i="3" s="1"/>
  <c r="G811" i="3"/>
  <c r="H811" i="3" s="1"/>
  <c r="G818" i="3"/>
  <c r="H818" i="3" s="1"/>
  <c r="Q818" i="3"/>
  <c r="R818" i="3" s="1"/>
  <c r="G819" i="3"/>
  <c r="H819" i="3" s="1"/>
  <c r="Q819" i="3"/>
  <c r="R819" i="3" s="1"/>
  <c r="G820" i="3"/>
  <c r="H820" i="3" s="1"/>
  <c r="Q820" i="3"/>
  <c r="R820" i="3" s="1"/>
  <c r="G821" i="3"/>
  <c r="H821" i="3" s="1"/>
  <c r="Q821" i="3"/>
  <c r="R821" i="3" s="1"/>
  <c r="G822" i="3"/>
  <c r="H822" i="3" s="1"/>
  <c r="Q822" i="3"/>
  <c r="R822" i="3" s="1"/>
  <c r="G823" i="3"/>
  <c r="H823" i="3" s="1"/>
  <c r="Q823" i="3"/>
  <c r="R823" i="3" s="1"/>
  <c r="G824" i="3"/>
  <c r="H824" i="3" s="1"/>
  <c r="G825" i="3"/>
  <c r="H825" i="3" s="1"/>
  <c r="G826" i="3"/>
  <c r="H826" i="3" s="1"/>
  <c r="G827" i="3"/>
  <c r="H827" i="3" s="1"/>
  <c r="G828" i="3"/>
  <c r="H828" i="3" s="1"/>
  <c r="Q828" i="3"/>
  <c r="R828" i="3" s="1"/>
  <c r="G829" i="3"/>
  <c r="H829" i="3" s="1"/>
  <c r="Q829" i="3"/>
  <c r="R829" i="3" s="1"/>
  <c r="G830" i="3"/>
  <c r="H830" i="3" s="1"/>
  <c r="Q830" i="3"/>
  <c r="R830" i="3" s="1"/>
  <c r="G831" i="3"/>
  <c r="H831" i="3" s="1"/>
  <c r="Q831" i="3"/>
  <c r="R831" i="3" s="1"/>
  <c r="G832" i="3"/>
  <c r="H832" i="3" s="1"/>
  <c r="Q832" i="3"/>
  <c r="R832" i="3" s="1"/>
  <c r="G833" i="3"/>
  <c r="H833" i="3" s="1"/>
  <c r="Q833" i="3"/>
  <c r="R833" i="3" s="1"/>
  <c r="G834" i="3"/>
  <c r="H834" i="3" s="1"/>
  <c r="Q834" i="3"/>
  <c r="R834" i="3" s="1"/>
  <c r="G835" i="3"/>
  <c r="H835" i="3" s="1"/>
  <c r="G836" i="3"/>
  <c r="H836" i="3" s="1"/>
  <c r="G837" i="3"/>
  <c r="H837" i="3" s="1"/>
  <c r="G838" i="3"/>
  <c r="H838" i="3" s="1"/>
  <c r="G839" i="3"/>
  <c r="H839" i="3" s="1"/>
  <c r="Q839" i="3"/>
  <c r="R839" i="3" s="1"/>
  <c r="G840" i="3"/>
  <c r="H840" i="3" s="1"/>
  <c r="Q840" i="3"/>
  <c r="R840" i="3" s="1"/>
  <c r="G841" i="3"/>
  <c r="H841" i="3" s="1"/>
  <c r="Q841" i="3"/>
  <c r="R841" i="3" s="1"/>
  <c r="Q842" i="3"/>
  <c r="R842" i="3" s="1"/>
  <c r="Q843" i="3"/>
  <c r="R843" i="3" s="1"/>
  <c r="Q844" i="3"/>
  <c r="R844" i="3" s="1"/>
  <c r="Q848" i="3"/>
  <c r="R848" i="3" s="1"/>
  <c r="Q849" i="3"/>
  <c r="R849" i="3" s="1"/>
  <c r="Q850" i="3"/>
  <c r="R850" i="3" s="1"/>
  <c r="Q851" i="3"/>
  <c r="R851" i="3" s="1"/>
  <c r="Q852" i="3"/>
  <c r="R852" i="3" s="1"/>
  <c r="G853" i="3"/>
  <c r="H853" i="3" s="1"/>
  <c r="Q853" i="3"/>
  <c r="R853" i="3" s="1"/>
  <c r="G854" i="3"/>
  <c r="H854" i="3" s="1"/>
  <c r="Q858" i="3"/>
  <c r="R858" i="3" s="1"/>
  <c r="Q859" i="3"/>
  <c r="R859" i="3" s="1"/>
  <c r="Q860" i="3"/>
  <c r="R860" i="3" s="1"/>
  <c r="Q861" i="3"/>
  <c r="R861" i="3" s="1"/>
  <c r="G862" i="3"/>
  <c r="H862" i="3" s="1"/>
  <c r="Q862" i="3"/>
  <c r="R862" i="3" s="1"/>
  <c r="G863" i="3"/>
  <c r="H863" i="3" s="1"/>
  <c r="Q863" i="3"/>
  <c r="R863" i="3" s="1"/>
  <c r="G864" i="3"/>
  <c r="H864" i="3" s="1"/>
  <c r="Q864" i="3"/>
  <c r="R864" i="3" s="1"/>
  <c r="G865" i="3"/>
  <c r="H865" i="3" s="1"/>
  <c r="Q865" i="3"/>
  <c r="R865" i="3" s="1"/>
  <c r="G866" i="3"/>
  <c r="H866" i="3" s="1"/>
  <c r="Q866" i="3"/>
  <c r="R866" i="3" s="1"/>
  <c r="G867" i="3"/>
  <c r="H867" i="3" s="1"/>
  <c r="Q867" i="3"/>
  <c r="R867" i="3" s="1"/>
  <c r="G868" i="3"/>
  <c r="H868" i="3" s="1"/>
  <c r="Q868" i="3"/>
  <c r="R868" i="3" s="1"/>
  <c r="G869" i="3"/>
  <c r="H869" i="3" s="1"/>
  <c r="Q869" i="3"/>
  <c r="R869" i="3" s="1"/>
  <c r="G870" i="3"/>
  <c r="H870" i="3" s="1"/>
  <c r="Q870" i="3"/>
  <c r="R870" i="3" s="1"/>
  <c r="Q874" i="3"/>
  <c r="R874" i="3" s="1"/>
  <c r="Q875" i="3"/>
  <c r="R875" i="3" s="1"/>
  <c r="Q876" i="3"/>
  <c r="R876" i="3" s="1"/>
  <c r="Q877" i="3"/>
  <c r="R877" i="3" s="1"/>
  <c r="G878" i="3"/>
  <c r="H878" i="3" s="1"/>
  <c r="Q878" i="3"/>
  <c r="R878" i="3" s="1"/>
  <c r="G879" i="3"/>
  <c r="H879" i="3" s="1"/>
  <c r="Q879" i="3"/>
  <c r="R879" i="3" s="1"/>
  <c r="G880" i="3"/>
  <c r="H880" i="3" s="1"/>
  <c r="Q880" i="3"/>
  <c r="R880" i="3" s="1"/>
  <c r="G881" i="3"/>
  <c r="H881" i="3" s="1"/>
  <c r="Q881" i="3"/>
  <c r="R881" i="3" s="1"/>
  <c r="G882" i="3"/>
  <c r="H882" i="3" s="1"/>
  <c r="Q882" i="3"/>
  <c r="R882" i="3" s="1"/>
  <c r="G883" i="3"/>
  <c r="H883" i="3" s="1"/>
  <c r="Q883" i="3"/>
  <c r="R883" i="3" s="1"/>
  <c r="G884" i="3"/>
  <c r="H884" i="3" s="1"/>
  <c r="Q884" i="3"/>
  <c r="R884" i="3" s="1"/>
  <c r="G885" i="3"/>
  <c r="H885" i="3" s="1"/>
  <c r="Q885" i="3"/>
  <c r="R885" i="3" s="1"/>
  <c r="G886" i="3"/>
  <c r="H886" i="3" s="1"/>
  <c r="Q886" i="3"/>
  <c r="R886" i="3" s="1"/>
  <c r="G887" i="3"/>
  <c r="H887" i="3" s="1"/>
  <c r="Q891" i="3"/>
  <c r="R891" i="3" s="1"/>
  <c r="Q892" i="3"/>
  <c r="R892" i="3" s="1"/>
  <c r="Q893" i="3"/>
  <c r="R893" i="3" s="1"/>
  <c r="Q894" i="3"/>
  <c r="R894" i="3" s="1"/>
  <c r="Q895" i="3"/>
  <c r="R895" i="3" s="1"/>
  <c r="J901" i="3"/>
  <c r="Q901" i="3"/>
  <c r="R901" i="3" s="1"/>
  <c r="J902" i="3"/>
  <c r="Q902" i="3"/>
  <c r="R902" i="3" s="1"/>
  <c r="J903" i="3"/>
  <c r="Q903" i="3"/>
  <c r="R903" i="3" s="1"/>
  <c r="J904" i="3"/>
  <c r="Q904" i="3"/>
  <c r="R904" i="3" s="1"/>
  <c r="J905" i="3"/>
  <c r="Q905" i="3"/>
  <c r="R905" i="3" s="1"/>
  <c r="A906" i="3"/>
  <c r="G906" i="3"/>
  <c r="H906" i="3" s="1"/>
  <c r="J906" i="3"/>
  <c r="Q906" i="3"/>
  <c r="R906" i="3" s="1"/>
  <c r="A907" i="3"/>
  <c r="G907" i="3"/>
  <c r="H907" i="3" s="1"/>
  <c r="J907" i="3"/>
  <c r="Q907" i="3"/>
  <c r="R907" i="3" s="1"/>
  <c r="A908" i="3"/>
  <c r="G908" i="3"/>
  <c r="H908" i="3" s="1"/>
  <c r="J908" i="3"/>
  <c r="Q908" i="3"/>
  <c r="R908" i="3" s="1"/>
  <c r="A909" i="3"/>
  <c r="G909" i="3"/>
  <c r="H909" i="3" s="1"/>
  <c r="J909" i="3"/>
  <c r="Q909" i="3"/>
  <c r="R909" i="3" s="1"/>
  <c r="A910" i="3"/>
  <c r="G910" i="3"/>
  <c r="H910" i="3" s="1"/>
  <c r="G920" i="3"/>
  <c r="H920" i="3" s="1"/>
  <c r="J920" i="3"/>
  <c r="Q920" i="3"/>
  <c r="R920" i="3" s="1"/>
  <c r="G921" i="3"/>
  <c r="H921" i="3" s="1"/>
  <c r="J921" i="3"/>
  <c r="Q921" i="3"/>
  <c r="R921" i="3" s="1"/>
  <c r="G922" i="3"/>
  <c r="H922" i="3" s="1"/>
  <c r="J922" i="3"/>
  <c r="Q922" i="3"/>
  <c r="R922" i="3" s="1"/>
  <c r="G923" i="3"/>
  <c r="H923" i="3" s="1"/>
  <c r="J923" i="3"/>
  <c r="Q923" i="3"/>
  <c r="R923" i="3" s="1"/>
  <c r="A924" i="3"/>
  <c r="G924" i="3"/>
  <c r="H924" i="3" s="1"/>
  <c r="J924" i="3"/>
  <c r="Q924" i="3"/>
  <c r="R924" i="3" s="1"/>
  <c r="A925" i="3"/>
  <c r="G925" i="3"/>
  <c r="H925" i="3" s="1"/>
  <c r="J925" i="3"/>
  <c r="Q925" i="3"/>
  <c r="R925" i="3" s="1"/>
  <c r="A926" i="3"/>
  <c r="G926" i="3"/>
  <c r="H926" i="3" s="1"/>
  <c r="J926" i="3"/>
  <c r="Q926" i="3"/>
  <c r="R926" i="3" s="1"/>
  <c r="A927" i="3"/>
  <c r="G927" i="3"/>
  <c r="H927" i="3" s="1"/>
  <c r="J927" i="3"/>
  <c r="Q927" i="3"/>
  <c r="R927" i="3" s="1"/>
  <c r="A928" i="3"/>
  <c r="G928" i="3"/>
  <c r="H928" i="3" s="1"/>
  <c r="J928" i="3"/>
  <c r="Q928" i="3"/>
  <c r="R928" i="3" s="1"/>
  <c r="A929" i="3"/>
  <c r="G929" i="3"/>
  <c r="H929" i="3" s="1"/>
  <c r="A930" i="3"/>
  <c r="G930" i="3"/>
  <c r="H930" i="3" s="1"/>
  <c r="A931" i="3"/>
  <c r="G931" i="3"/>
  <c r="H931" i="3" s="1"/>
  <c r="A932" i="3"/>
  <c r="G932" i="3"/>
  <c r="H932" i="3" s="1"/>
  <c r="A933" i="3"/>
  <c r="G933" i="3"/>
  <c r="H933" i="3" s="1"/>
  <c r="Q940" i="3"/>
  <c r="R940" i="3" s="1"/>
  <c r="Q941" i="3"/>
  <c r="R941" i="3" s="1"/>
  <c r="Q942" i="3"/>
  <c r="R942" i="3" s="1"/>
  <c r="Q943" i="3"/>
  <c r="R943" i="3" s="1"/>
  <c r="Q944" i="3"/>
  <c r="R944" i="3" s="1"/>
  <c r="Q945" i="3"/>
  <c r="R945" i="3" s="1"/>
  <c r="Q946" i="3"/>
  <c r="R946" i="3" s="1"/>
  <c r="G947" i="3"/>
  <c r="H947" i="3" s="1"/>
  <c r="Q947" i="3"/>
  <c r="R947" i="3" s="1"/>
  <c r="G948" i="3"/>
  <c r="H948" i="3" s="1"/>
  <c r="Q948" i="3"/>
  <c r="R948" i="3" s="1"/>
  <c r="G949" i="3"/>
  <c r="H949" i="3" s="1"/>
  <c r="Q949" i="3"/>
  <c r="R949" i="3" s="1"/>
  <c r="G962" i="3"/>
  <c r="H962" i="3" s="1"/>
  <c r="Q962" i="3"/>
  <c r="R962" i="3" s="1"/>
  <c r="G963" i="3"/>
  <c r="H963" i="3" s="1"/>
  <c r="Q963" i="3"/>
  <c r="R963" i="3" s="1"/>
  <c r="G964" i="3"/>
  <c r="H964" i="3" s="1"/>
  <c r="Q964" i="3"/>
  <c r="R964" i="3" s="1"/>
  <c r="G965" i="3"/>
  <c r="H965" i="3" s="1"/>
  <c r="Q965" i="3"/>
  <c r="R965" i="3" s="1"/>
  <c r="G966" i="3"/>
  <c r="H966" i="3" s="1"/>
  <c r="Q966" i="3"/>
  <c r="R966" i="3" s="1"/>
  <c r="G967" i="3"/>
  <c r="H967" i="3" s="1"/>
  <c r="Q967" i="3"/>
  <c r="R967" i="3" s="1"/>
  <c r="G968" i="3"/>
  <c r="H968" i="3" s="1"/>
  <c r="Q968" i="3"/>
  <c r="R968" i="3" s="1"/>
  <c r="G969" i="3"/>
  <c r="H969" i="3" s="1"/>
  <c r="Q969" i="3"/>
  <c r="R969" i="3" s="1"/>
  <c r="G970" i="3"/>
  <c r="H970" i="3" s="1"/>
  <c r="Q970" i="3"/>
  <c r="R970" i="3" s="1"/>
  <c r="G971" i="3"/>
  <c r="H971" i="3" s="1"/>
  <c r="Q971" i="3"/>
  <c r="R971" i="3" s="1"/>
  <c r="G972" i="3"/>
  <c r="H972" i="3" s="1"/>
  <c r="Q972" i="3"/>
  <c r="R972" i="3" s="1"/>
  <c r="G973" i="3"/>
  <c r="H973" i="3" s="1"/>
  <c r="Q973" i="3"/>
  <c r="R973" i="3" s="1"/>
  <c r="G974" i="3"/>
  <c r="H974" i="3" s="1"/>
  <c r="Q974" i="3"/>
  <c r="R974" i="3" s="1"/>
  <c r="G975" i="3"/>
  <c r="H975" i="3" s="1"/>
  <c r="Q975" i="3"/>
  <c r="R975" i="3" s="1"/>
  <c r="G976" i="3"/>
  <c r="H976" i="3" s="1"/>
  <c r="Q976" i="3"/>
  <c r="R976" i="3" s="1"/>
  <c r="G977" i="3"/>
  <c r="H977" i="3" s="1"/>
  <c r="Q977" i="3"/>
  <c r="R977" i="3" s="1"/>
  <c r="G978" i="3"/>
  <c r="H978" i="3" s="1"/>
  <c r="Q978" i="3"/>
  <c r="R978" i="3" s="1"/>
  <c r="G979" i="3"/>
  <c r="H979" i="3" s="1"/>
  <c r="Q979" i="3"/>
  <c r="R979" i="3" s="1"/>
  <c r="G980" i="3"/>
  <c r="H980" i="3" s="1"/>
  <c r="G981" i="3"/>
  <c r="H981" i="3" s="1"/>
  <c r="G982" i="3"/>
  <c r="H982" i="3" s="1"/>
  <c r="G983" i="3"/>
  <c r="H983" i="3" s="1"/>
  <c r="Q987" i="3"/>
  <c r="R987" i="3" s="1"/>
  <c r="Q988" i="3"/>
  <c r="R988" i="3" s="1"/>
  <c r="Q989" i="3"/>
  <c r="R989" i="3" s="1"/>
  <c r="Q996" i="3"/>
  <c r="R996" i="3" s="1"/>
  <c r="J1019" i="3"/>
  <c r="Q1019" i="3"/>
  <c r="R1019" i="3" s="1"/>
  <c r="J1020" i="3"/>
  <c r="Q1020" i="3"/>
  <c r="R1020" i="3" s="1"/>
  <c r="J1021" i="3"/>
  <c r="Q1021" i="3"/>
  <c r="R1021" i="3" s="1"/>
  <c r="J1022" i="3"/>
  <c r="Q1022" i="3"/>
  <c r="R1022" i="3" s="1"/>
  <c r="J1023" i="3"/>
  <c r="Q1023" i="3"/>
  <c r="R1023" i="3" s="1"/>
  <c r="J1024" i="3"/>
  <c r="Q1024" i="3"/>
  <c r="R1024" i="3" s="1"/>
  <c r="Q1029" i="3"/>
  <c r="R1029" i="3" s="1"/>
  <c r="Q1030" i="3"/>
  <c r="R1030" i="3" s="1"/>
  <c r="Q1031" i="3"/>
  <c r="R1031" i="3" s="1"/>
  <c r="Q1032" i="3"/>
  <c r="R1032" i="3" s="1"/>
  <c r="Q1033" i="3"/>
  <c r="R1033" i="3" s="1"/>
  <c r="G1034" i="3"/>
  <c r="H1034" i="3" s="1"/>
  <c r="Q1034" i="3"/>
  <c r="R1034" i="3" s="1"/>
  <c r="G1035" i="3"/>
  <c r="H1035" i="3" s="1"/>
  <c r="Q1035" i="3"/>
  <c r="R1035" i="3" s="1"/>
  <c r="G1036" i="3"/>
  <c r="H1036" i="3" s="1"/>
  <c r="Q1036" i="3"/>
  <c r="R1036" i="3" s="1"/>
  <c r="G1037" i="3"/>
  <c r="H1037" i="3" s="1"/>
  <c r="Q1037" i="3"/>
  <c r="R1037" i="3" s="1"/>
  <c r="G1038" i="3"/>
  <c r="H1038" i="3" s="1"/>
  <c r="Q1038" i="3"/>
  <c r="R1038" i="3" s="1"/>
  <c r="G1039" i="3"/>
  <c r="H1039" i="3" s="1"/>
  <c r="Q1039" i="3"/>
  <c r="R1039" i="3" s="1"/>
  <c r="G1040" i="3"/>
  <c r="H1040" i="3" s="1"/>
  <c r="Q1040" i="3"/>
  <c r="R1040" i="3" s="1"/>
  <c r="G1041" i="3"/>
  <c r="H1041" i="3" s="1"/>
  <c r="Q1041" i="3"/>
  <c r="R1041" i="3" s="1"/>
  <c r="G1042" i="3"/>
  <c r="H1042" i="3" s="1"/>
  <c r="Q1042" i="3"/>
  <c r="R1042" i="3" s="1"/>
  <c r="G1043" i="3"/>
  <c r="H1043" i="3" s="1"/>
  <c r="Q1043" i="3"/>
  <c r="R1043" i="3" s="1"/>
  <c r="G1044" i="3"/>
  <c r="H1044" i="3" s="1"/>
  <c r="Q1044" i="3"/>
  <c r="R1044" i="3" s="1"/>
  <c r="G1045" i="3"/>
  <c r="H1045" i="3" s="1"/>
  <c r="Q1049" i="3"/>
  <c r="R1049" i="3" s="1"/>
  <c r="G1062" i="3"/>
  <c r="H1062" i="3" s="1"/>
  <c r="Q1062" i="3"/>
  <c r="R1062" i="3" s="1"/>
  <c r="G1063" i="3"/>
  <c r="H1063" i="3" s="1"/>
  <c r="Q1069" i="3"/>
  <c r="R1069" i="3" s="1"/>
  <c r="Q1070" i="3"/>
  <c r="R1070" i="3" s="1"/>
  <c r="Q1071" i="3"/>
  <c r="R1071" i="3" s="1"/>
  <c r="Q1072" i="3"/>
  <c r="R1072" i="3" s="1"/>
  <c r="Q1073" i="3"/>
  <c r="R1073" i="3" s="1"/>
  <c r="Q1074" i="3"/>
  <c r="R1074" i="3" s="1"/>
  <c r="Q1075" i="3"/>
  <c r="R1075" i="3" s="1"/>
  <c r="Q1076" i="3"/>
  <c r="R1076" i="3" s="1"/>
  <c r="Q1077" i="3"/>
  <c r="R1077" i="3" s="1"/>
  <c r="Q1078" i="3"/>
  <c r="R1078" i="3" s="1"/>
  <c r="Q1079" i="3"/>
  <c r="R1079" i="3" s="1"/>
  <c r="Q1080" i="3"/>
  <c r="R1080" i="3" s="1"/>
  <c r="Q1081" i="3"/>
  <c r="R1081" i="3" s="1"/>
  <c r="H1082" i="3"/>
  <c r="Q1082" i="3"/>
  <c r="R1082" i="3" s="1"/>
  <c r="Q1083" i="3"/>
  <c r="R1083" i="3" s="1"/>
  <c r="Q1084" i="3"/>
  <c r="R1084" i="3" s="1"/>
  <c r="Q1085" i="3"/>
  <c r="R1085" i="3" s="1"/>
  <c r="Q1086" i="3"/>
  <c r="R1086" i="3" s="1"/>
  <c r="Q1087" i="3"/>
  <c r="R1087" i="3" s="1"/>
  <c r="Q1088" i="3"/>
  <c r="R1088" i="3" s="1"/>
  <c r="Q1089" i="3"/>
  <c r="R1089" i="3" s="1"/>
  <c r="Q1090" i="3"/>
  <c r="R1090" i="3"/>
  <c r="Q1091" i="3"/>
  <c r="R1091" i="3" s="1"/>
  <c r="Q1092" i="3"/>
  <c r="R1092" i="3" s="1"/>
  <c r="G1093" i="3"/>
  <c r="H1093" i="3" s="1"/>
  <c r="Q1093" i="3"/>
  <c r="R1093" i="3" s="1"/>
  <c r="G1094" i="3"/>
  <c r="H1094" i="3" s="1"/>
  <c r="Q1094" i="3"/>
  <c r="R1094" i="3" s="1"/>
  <c r="G1095" i="3"/>
  <c r="H1095" i="3" s="1"/>
  <c r="Q1095" i="3"/>
  <c r="R1095" i="3" s="1"/>
  <c r="G1096" i="3"/>
  <c r="H1096" i="3" s="1"/>
  <c r="Q1096" i="3"/>
  <c r="R1096" i="3" s="1"/>
  <c r="G1097" i="3"/>
  <c r="H1097" i="3" s="1"/>
  <c r="Q1097" i="3"/>
  <c r="R1097" i="3" s="1"/>
  <c r="G1098" i="3"/>
  <c r="H1098" i="3" s="1"/>
  <c r="Q1098" i="3"/>
  <c r="R1098" i="3" s="1"/>
  <c r="G1099" i="3"/>
  <c r="H1099" i="3" s="1"/>
  <c r="Q1099" i="3"/>
  <c r="R1099" i="3" s="1"/>
  <c r="G1100" i="3"/>
  <c r="H1100" i="3" s="1"/>
  <c r="Q1100" i="3"/>
  <c r="R1100" i="3" s="1"/>
  <c r="G1101" i="3"/>
  <c r="H1101" i="3" s="1"/>
  <c r="Q1101" i="3"/>
  <c r="R1101" i="3" s="1"/>
  <c r="G1102" i="3"/>
  <c r="H1102" i="3" s="1"/>
  <c r="Q1102" i="3"/>
  <c r="R1102" i="3" s="1"/>
  <c r="G1103" i="3"/>
  <c r="H1103" i="3" s="1"/>
  <c r="Q1103" i="3"/>
  <c r="R1103" i="3" s="1"/>
  <c r="G1104" i="3"/>
  <c r="H1104" i="3" s="1"/>
  <c r="Q1104" i="3"/>
  <c r="R1104" i="3" s="1"/>
  <c r="G1105" i="3"/>
  <c r="H1105" i="3" s="1"/>
  <c r="Q1105" i="3"/>
  <c r="R1105" i="3" s="1"/>
  <c r="G1106" i="3"/>
  <c r="H1106" i="3" s="1"/>
  <c r="Q1106" i="3"/>
  <c r="R1106" i="3" s="1"/>
  <c r="G1107" i="3"/>
  <c r="H1107" i="3" s="1"/>
  <c r="Q1107" i="3"/>
  <c r="R1107" i="3" s="1"/>
  <c r="G1108" i="3"/>
  <c r="H1108" i="3" s="1"/>
  <c r="Q1108" i="3"/>
  <c r="R1108" i="3" s="1"/>
  <c r="G1109" i="3"/>
  <c r="H1109" i="3" s="1"/>
  <c r="Q1109" i="3"/>
  <c r="R1109" i="3" s="1"/>
  <c r="G1110" i="3"/>
  <c r="H1110" i="3" s="1"/>
  <c r="Q1110" i="3"/>
  <c r="R1110" i="3"/>
  <c r="G1111" i="3"/>
  <c r="H1111" i="3" s="1"/>
  <c r="Q1111" i="3"/>
  <c r="R1111" i="3" s="1"/>
  <c r="G1112" i="3"/>
  <c r="H1112" i="3" s="1"/>
  <c r="Q1112" i="3"/>
  <c r="R1112" i="3" s="1"/>
  <c r="G1113" i="3"/>
  <c r="H1113" i="3" s="1"/>
  <c r="Q1113" i="3"/>
  <c r="R1113" i="3" s="1"/>
  <c r="G1114" i="3"/>
  <c r="H1114" i="3" s="1"/>
  <c r="Q1118" i="3"/>
  <c r="R1118" i="3" s="1"/>
  <c r="Q1119" i="3"/>
  <c r="R1119" i="3" s="1"/>
  <c r="Q1120" i="3"/>
  <c r="R1120" i="3" s="1"/>
  <c r="Q1121" i="3"/>
  <c r="R1121" i="3" s="1"/>
  <c r="Q1122" i="3"/>
  <c r="R1122" i="3" s="1"/>
  <c r="Q1123" i="3"/>
  <c r="R1123" i="3" s="1"/>
  <c r="G1124" i="3"/>
  <c r="H1124" i="3" s="1"/>
  <c r="Q1124" i="3"/>
  <c r="R1124" i="3" s="1"/>
  <c r="G1125" i="3"/>
  <c r="H1125" i="3" s="1"/>
  <c r="Q1125" i="3"/>
  <c r="R1125" i="3" s="1"/>
  <c r="G1126" i="3"/>
  <c r="H1126" i="3" s="1"/>
  <c r="Q1126" i="3"/>
  <c r="R1126" i="3" s="1"/>
  <c r="G1127" i="3"/>
  <c r="H1127" i="3" s="1"/>
  <c r="Q1127" i="3"/>
  <c r="R1127" i="3" s="1"/>
  <c r="G1128" i="3"/>
  <c r="H1128" i="3" s="1"/>
  <c r="Q1128" i="3"/>
  <c r="R1128" i="3" s="1"/>
  <c r="G1129" i="3"/>
  <c r="H1129" i="3" s="1"/>
  <c r="Q1129" i="3"/>
  <c r="R1129" i="3" s="1"/>
  <c r="G1130" i="3"/>
  <c r="H1130" i="3" s="1"/>
  <c r="Q1130" i="3"/>
  <c r="R1130" i="3" s="1"/>
  <c r="G1131" i="3"/>
  <c r="H1131" i="3" s="1"/>
  <c r="Q1131" i="3"/>
  <c r="R1131" i="3" s="1"/>
  <c r="G1132" i="3"/>
  <c r="H1132" i="3" s="1"/>
  <c r="Q1132" i="3"/>
  <c r="R1132" i="3" s="1"/>
  <c r="G1133" i="3"/>
  <c r="H1133" i="3" s="1"/>
  <c r="Q1133" i="3"/>
  <c r="R1133" i="3" s="1"/>
  <c r="G1134" i="3"/>
  <c r="H1134" i="3" s="1"/>
  <c r="Q1134" i="3"/>
  <c r="R1134" i="3" s="1"/>
  <c r="G1135" i="3"/>
  <c r="H1135" i="3" s="1"/>
  <c r="Q1135" i="3"/>
  <c r="R1135" i="3" s="1"/>
  <c r="G1136" i="3"/>
  <c r="H1136" i="3" s="1"/>
  <c r="Q1136" i="3"/>
  <c r="R1136" i="3" s="1"/>
  <c r="G1137" i="3"/>
  <c r="H1137" i="3" s="1"/>
  <c r="Q1137" i="3"/>
  <c r="R1137" i="3" s="1"/>
  <c r="G1138" i="3"/>
  <c r="H1138" i="3" s="1"/>
  <c r="Q1138" i="3"/>
  <c r="R1138" i="3" s="1"/>
  <c r="G1139" i="3"/>
  <c r="H1139" i="3" s="1"/>
  <c r="Q1139" i="3"/>
  <c r="R1139" i="3" s="1"/>
  <c r="G1140" i="3"/>
  <c r="H1140" i="3" s="1"/>
  <c r="Q1140" i="3"/>
  <c r="R1140" i="3" s="1"/>
  <c r="G1141" i="3"/>
  <c r="H1141" i="3" s="1"/>
  <c r="Q1141" i="3"/>
  <c r="R1141" i="3" s="1"/>
  <c r="G1142" i="3"/>
  <c r="H1142" i="3" s="1"/>
  <c r="Q1142" i="3"/>
  <c r="R1142" i="3" s="1"/>
  <c r="G1143" i="3"/>
  <c r="H1143" i="3" s="1"/>
  <c r="Q1143" i="3"/>
  <c r="R1143" i="3" s="1"/>
  <c r="G1144" i="3"/>
  <c r="H1144" i="3"/>
  <c r="Q1144" i="3"/>
  <c r="R1144" i="3" s="1"/>
  <c r="Q1148" i="3"/>
  <c r="R1148" i="3" s="1"/>
  <c r="Q1149" i="3"/>
  <c r="R1149" i="3" s="1"/>
  <c r="Q1150" i="3"/>
  <c r="R1150" i="3" s="1"/>
  <c r="Q1151" i="3"/>
  <c r="R1151" i="3" s="1"/>
  <c r="Q1152" i="3"/>
  <c r="R1152" i="3" s="1"/>
  <c r="Q1153" i="3"/>
  <c r="R1153" i="3" s="1"/>
  <c r="Q1154" i="3"/>
  <c r="R1154" i="3" s="1"/>
  <c r="Q1155" i="3"/>
  <c r="R1155" i="3" s="1"/>
  <c r="Q1156" i="3"/>
  <c r="R1156" i="3" s="1"/>
  <c r="Q1157" i="3"/>
  <c r="R1157" i="3" s="1"/>
  <c r="Q1158" i="3"/>
  <c r="R1158" i="3" s="1"/>
  <c r="Q1159" i="3"/>
  <c r="R1159" i="3" s="1"/>
  <c r="Q1160" i="3"/>
  <c r="R1160" i="3" s="1"/>
  <c r="Q1161" i="3"/>
  <c r="R1161" i="3" s="1"/>
  <c r="Q1162" i="3"/>
  <c r="R1162" i="3" s="1"/>
  <c r="Q1163" i="3"/>
  <c r="R1163" i="3" s="1"/>
  <c r="Q1164" i="3"/>
  <c r="R1164" i="3" s="1"/>
  <c r="Q1165" i="3"/>
  <c r="R1165" i="3" s="1"/>
  <c r="Q1166" i="3"/>
  <c r="R1166" i="3" s="1"/>
  <c r="Q1167" i="3"/>
  <c r="R1167" i="3" s="1"/>
  <c r="Q1168" i="3"/>
  <c r="R1168" i="3" s="1"/>
  <c r="Q1169" i="3"/>
  <c r="R1169" i="3" s="1"/>
  <c r="Q1170" i="3"/>
  <c r="R1170" i="3" s="1"/>
  <c r="Q1171" i="3"/>
  <c r="R1171" i="3" s="1"/>
  <c r="Q1172" i="3"/>
  <c r="R1172" i="3" s="1"/>
  <c r="Q1173" i="3"/>
  <c r="R1173" i="3" s="1"/>
  <c r="Q1174" i="3"/>
  <c r="R1174" i="3" s="1"/>
  <c r="Q1175" i="3"/>
  <c r="R1175" i="3" s="1"/>
  <c r="Q1176" i="3"/>
  <c r="R1176" i="3" s="1"/>
  <c r="Q1177" i="3"/>
  <c r="R1177" i="3" s="1"/>
  <c r="Q1178" i="3"/>
  <c r="R1178" i="3" s="1"/>
  <c r="Q1179" i="3"/>
  <c r="R1179" i="3" s="1"/>
  <c r="H1180" i="3"/>
  <c r="Q1180" i="3"/>
  <c r="R1180" i="3" s="1"/>
  <c r="Q1181" i="3"/>
  <c r="R1181" i="3" s="1"/>
  <c r="Q1182" i="3"/>
  <c r="R1182" i="3" s="1"/>
  <c r="Q1187" i="3"/>
  <c r="R1187" i="3" s="1"/>
  <c r="Q1188" i="3"/>
  <c r="R1188" i="3" s="1"/>
  <c r="Q1189" i="3"/>
  <c r="R1189" i="3" s="1"/>
  <c r="Q1190" i="3"/>
  <c r="R1190" i="3" s="1"/>
  <c r="Q1191" i="3"/>
  <c r="R1191" i="3" s="1"/>
  <c r="Q1192" i="3"/>
  <c r="R1192" i="3" s="1"/>
  <c r="G1193" i="3"/>
  <c r="H1193" i="3" s="1"/>
  <c r="Q1193" i="3"/>
  <c r="R1193" i="3" s="1"/>
  <c r="G1194" i="3"/>
  <c r="H1194" i="3" s="1"/>
  <c r="Q1194" i="3"/>
  <c r="R1194" i="3" s="1"/>
  <c r="G1195" i="3"/>
  <c r="H1195" i="3" s="1"/>
  <c r="Q1195" i="3"/>
  <c r="R1195" i="3" s="1"/>
  <c r="G1196" i="3"/>
  <c r="H1196" i="3" s="1"/>
  <c r="Q1196" i="3"/>
  <c r="R1196" i="3" s="1"/>
  <c r="G1197" i="3"/>
  <c r="H1197" i="3" s="1"/>
  <c r="Q1197" i="3"/>
  <c r="R1197" i="3" s="1"/>
  <c r="G1198" i="3"/>
  <c r="H1198" i="3" s="1"/>
  <c r="Q1198" i="3"/>
  <c r="R1198" i="3" s="1"/>
  <c r="G1199" i="3"/>
  <c r="H1199" i="3" s="1"/>
  <c r="Q1199" i="3"/>
  <c r="R1199" i="3" s="1"/>
  <c r="G1200" i="3"/>
  <c r="H1200" i="3" s="1"/>
  <c r="Q1200" i="3"/>
  <c r="R1200" i="3" s="1"/>
  <c r="G1201" i="3"/>
  <c r="H1201" i="3" s="1"/>
  <c r="Q1201" i="3"/>
  <c r="R1201" i="3" s="1"/>
  <c r="G1202" i="3"/>
  <c r="H1202" i="3" s="1"/>
  <c r="Q1202" i="3"/>
  <c r="R1202" i="3" s="1"/>
  <c r="G1203" i="3"/>
  <c r="H1203" i="3" s="1"/>
  <c r="Q1203" i="3"/>
  <c r="R1203" i="3" s="1"/>
  <c r="G1204" i="3"/>
  <c r="H1204" i="3" s="1"/>
  <c r="Q1204" i="3"/>
  <c r="R1204" i="3" s="1"/>
  <c r="G1205" i="3"/>
  <c r="H1205" i="3" s="1"/>
  <c r="Q1205" i="3"/>
  <c r="R1205" i="3" s="1"/>
  <c r="G1206" i="3"/>
  <c r="H1206" i="3" s="1"/>
  <c r="Q1206" i="3"/>
  <c r="R1206" i="3" s="1"/>
  <c r="G1207" i="3"/>
  <c r="H1207" i="3" s="1"/>
  <c r="Q1207" i="3"/>
  <c r="R1207" i="3" s="1"/>
  <c r="G1208" i="3"/>
  <c r="H1208" i="3" s="1"/>
  <c r="Q1208" i="3"/>
  <c r="R1208" i="3" s="1"/>
  <c r="G1209" i="3"/>
  <c r="H1209" i="3" s="1"/>
  <c r="Q1209" i="3"/>
  <c r="R1209" i="3" s="1"/>
  <c r="G1210" i="3"/>
  <c r="H1210" i="3" s="1"/>
  <c r="Q1210" i="3"/>
  <c r="R1210" i="3" s="1"/>
  <c r="G1211" i="3"/>
  <c r="H1211" i="3" s="1"/>
  <c r="Q1211" i="3"/>
  <c r="R1211" i="3"/>
  <c r="G1212" i="3"/>
  <c r="H1212" i="3" s="1"/>
  <c r="Q1218" i="3"/>
  <c r="R1218" i="3" s="1"/>
  <c r="Q1219" i="3"/>
  <c r="R1219" i="3" s="1"/>
  <c r="Q1220" i="3"/>
  <c r="R1220" i="3" s="1"/>
  <c r="Q1221" i="3"/>
  <c r="R1221" i="3" s="1"/>
  <c r="Q1222" i="3"/>
  <c r="R1222" i="3" s="1"/>
  <c r="Q1223" i="3"/>
  <c r="R1223" i="3" s="1"/>
  <c r="G1224" i="3"/>
  <c r="H1224" i="3" s="1"/>
  <c r="Q1224" i="3"/>
  <c r="R1224" i="3" s="1"/>
  <c r="G1225" i="3"/>
  <c r="H1225" i="3" s="1"/>
  <c r="Q1225" i="3"/>
  <c r="R1225" i="3" s="1"/>
  <c r="G1226" i="3"/>
  <c r="H1226" i="3" s="1"/>
  <c r="Q1226" i="3"/>
  <c r="R1226" i="3" s="1"/>
  <c r="G1227" i="3"/>
  <c r="H1227" i="3" s="1"/>
  <c r="Q1227" i="3"/>
  <c r="R1227" i="3" s="1"/>
  <c r="G1228" i="3"/>
  <c r="H1228" i="3" s="1"/>
  <c r="Q1228" i="3"/>
  <c r="R1228" i="3" s="1"/>
  <c r="G1229" i="3"/>
  <c r="H1229" i="3" s="1"/>
  <c r="Q1229" i="3"/>
  <c r="R1229" i="3" s="1"/>
  <c r="G1230" i="3"/>
  <c r="H1230" i="3" s="1"/>
  <c r="Q1230" i="3"/>
  <c r="R1230" i="3" s="1"/>
  <c r="G1231" i="3"/>
  <c r="H1231" i="3" s="1"/>
  <c r="Q1231" i="3"/>
  <c r="R1231" i="3" s="1"/>
  <c r="G1232" i="3"/>
  <c r="H1232" i="3" s="1"/>
  <c r="Q1232" i="3"/>
  <c r="R1232" i="3" s="1"/>
  <c r="G1233" i="3"/>
  <c r="H1233" i="3" s="1"/>
  <c r="Q1233" i="3"/>
  <c r="R1233" i="3" s="1"/>
  <c r="G1234" i="3"/>
  <c r="H1234" i="3" s="1"/>
  <c r="Q1234" i="3"/>
  <c r="R1234" i="3" s="1"/>
  <c r="G1235" i="3"/>
  <c r="H1235" i="3" s="1"/>
  <c r="Q1235" i="3"/>
  <c r="R1235" i="3" s="1"/>
  <c r="G1236" i="3"/>
  <c r="H1236" i="3" s="1"/>
  <c r="Q1236" i="3"/>
  <c r="R1236" i="3" s="1"/>
  <c r="G1237" i="3"/>
  <c r="H1237" i="3" s="1"/>
  <c r="Q1237" i="3"/>
  <c r="R1237" i="3" s="1"/>
  <c r="G1238" i="3"/>
  <c r="H1238" i="3" s="1"/>
  <c r="Q1238" i="3"/>
  <c r="R1238" i="3" s="1"/>
  <c r="G1239" i="3"/>
  <c r="H1239" i="3" s="1"/>
  <c r="Q1239" i="3"/>
  <c r="R1239" i="3" s="1"/>
  <c r="G1240" i="3"/>
  <c r="H1240" i="3" s="1"/>
  <c r="Q1240" i="3"/>
  <c r="R1240" i="3" s="1"/>
  <c r="G1241" i="3"/>
  <c r="H1241" i="3" s="1"/>
  <c r="Q1241" i="3"/>
  <c r="R1241" i="3" s="1"/>
  <c r="G1242" i="3"/>
  <c r="H1242" i="3" s="1"/>
  <c r="Q1242" i="3"/>
  <c r="R1242" i="3" s="1"/>
  <c r="G1243" i="3"/>
  <c r="H1243" i="3" s="1"/>
  <c r="Q1243" i="3"/>
  <c r="R1243" i="3" s="1"/>
  <c r="G1244" i="3"/>
  <c r="H1244" i="3" s="1"/>
  <c r="Q1244" i="3"/>
  <c r="R1244" i="3" s="1"/>
  <c r="G1245" i="3"/>
  <c r="H1245" i="3" s="1"/>
  <c r="Q1245" i="3"/>
  <c r="R1245" i="3" s="1"/>
  <c r="G1246" i="3"/>
  <c r="H1246" i="3" s="1"/>
  <c r="Q1246" i="3"/>
  <c r="R1246" i="3" s="1"/>
  <c r="G1247" i="3"/>
  <c r="H1247" i="3" s="1"/>
  <c r="Q1247" i="3"/>
  <c r="R1247" i="3" s="1"/>
  <c r="G1248" i="3"/>
  <c r="H1248" i="3" s="1"/>
  <c r="Q1248" i="3"/>
  <c r="R1248" i="3" s="1"/>
  <c r="G1249" i="3"/>
  <c r="H1249" i="3" s="1"/>
  <c r="Q1249" i="3"/>
  <c r="R1249" i="3" s="1"/>
  <c r="G1250" i="3"/>
  <c r="H1250" i="3" s="1"/>
  <c r="Q1255" i="3"/>
  <c r="R1255" i="3" s="1"/>
  <c r="Q1256" i="3"/>
  <c r="R1256" i="3" s="1"/>
  <c r="Q1257" i="3"/>
  <c r="R1257" i="3" s="1"/>
  <c r="Q1258" i="3"/>
  <c r="R1258" i="3" s="1"/>
  <c r="Q1259" i="3"/>
  <c r="R1259" i="3" s="1"/>
  <c r="Q1260" i="3"/>
  <c r="R1260" i="3" s="1"/>
  <c r="G1261" i="3"/>
  <c r="H1261" i="3" s="1"/>
  <c r="Q1261" i="3"/>
  <c r="R1261" i="3" s="1"/>
  <c r="G1262" i="3"/>
  <c r="H1262" i="3" s="1"/>
  <c r="Q1262" i="3"/>
  <c r="R1262" i="3" s="1"/>
  <c r="G1263" i="3"/>
  <c r="H1263" i="3" s="1"/>
  <c r="Q1263" i="3"/>
  <c r="R1263" i="3" s="1"/>
  <c r="G1264" i="3"/>
  <c r="H1264" i="3" s="1"/>
  <c r="Q1264" i="3"/>
  <c r="R1264" i="3" s="1"/>
  <c r="G1265" i="3"/>
  <c r="H1265" i="3" s="1"/>
  <c r="Q1265" i="3"/>
  <c r="R1265" i="3" s="1"/>
  <c r="G1266" i="3"/>
  <c r="H1266" i="3" s="1"/>
  <c r="Q1266" i="3"/>
  <c r="R1266" i="3" s="1"/>
  <c r="G1267" i="3"/>
  <c r="H1267" i="3" s="1"/>
  <c r="Q1267" i="3"/>
  <c r="R1267" i="3" s="1"/>
  <c r="G1268" i="3"/>
  <c r="H1268" i="3" s="1"/>
  <c r="Q1268" i="3"/>
  <c r="R1268" i="3" s="1"/>
  <c r="G1269" i="3"/>
  <c r="H1269" i="3" s="1"/>
  <c r="Q1269" i="3"/>
  <c r="R1269" i="3" s="1"/>
  <c r="G1270" i="3"/>
  <c r="H1270" i="3" s="1"/>
  <c r="Q1270" i="3"/>
  <c r="R1270" i="3" s="1"/>
  <c r="G1271" i="3"/>
  <c r="H1271" i="3" s="1"/>
  <c r="Q1271" i="3"/>
  <c r="R1271" i="3" s="1"/>
  <c r="G1272" i="3"/>
  <c r="H1272" i="3" s="1"/>
  <c r="Q1272" i="3"/>
  <c r="R1272" i="3" s="1"/>
  <c r="G1273" i="3"/>
  <c r="H1273" i="3" s="1"/>
  <c r="Q1273" i="3"/>
  <c r="R1273" i="3" s="1"/>
  <c r="G1274" i="3"/>
  <c r="H1274" i="3" s="1"/>
  <c r="Q1274" i="3"/>
  <c r="R1274" i="3" s="1"/>
  <c r="G1275" i="3"/>
  <c r="H1275" i="3" s="1"/>
  <c r="Q1275" i="3"/>
  <c r="R1275" i="3" s="1"/>
  <c r="G1276" i="3"/>
  <c r="H1276" i="3" s="1"/>
  <c r="Q1276" i="3"/>
  <c r="R1276" i="3" s="1"/>
  <c r="G1277" i="3"/>
  <c r="H1277" i="3" s="1"/>
  <c r="Q1277" i="3"/>
  <c r="R1277" i="3" s="1"/>
  <c r="G1278" i="3"/>
  <c r="H1278" i="3" s="1"/>
  <c r="Q1278" i="3"/>
  <c r="R1278" i="3" s="1"/>
  <c r="G1279" i="3"/>
  <c r="H1279" i="3" s="1"/>
  <c r="Q1279" i="3"/>
  <c r="R1279" i="3" s="1"/>
  <c r="G1280" i="3"/>
  <c r="H1280" i="3" s="1"/>
  <c r="Q1280" i="3"/>
  <c r="R1280" i="3"/>
  <c r="G1281" i="3"/>
  <c r="H1281" i="3" s="1"/>
  <c r="Q1281" i="3"/>
  <c r="R1281" i="3" s="1"/>
  <c r="G1282" i="3"/>
  <c r="H1282" i="3" s="1"/>
  <c r="Q1282" i="3"/>
  <c r="R1282" i="3" s="1"/>
  <c r="G1283" i="3"/>
  <c r="H1283" i="3" s="1"/>
  <c r="Q1283" i="3"/>
  <c r="R1283" i="3" s="1"/>
  <c r="G1284" i="3"/>
  <c r="H1284" i="3" s="1"/>
  <c r="Q1284" i="3"/>
  <c r="R1284" i="3" s="1"/>
  <c r="G1285" i="3"/>
  <c r="H1285" i="3" s="1"/>
  <c r="Q1289" i="3"/>
  <c r="R1289" i="3" s="1"/>
  <c r="Q1290" i="3"/>
  <c r="R1290" i="3" s="1"/>
  <c r="Q1291" i="3"/>
  <c r="R1291" i="3" s="1"/>
  <c r="Q1292" i="3"/>
  <c r="R1292" i="3" s="1"/>
  <c r="Q1293" i="3"/>
  <c r="R1293" i="3" s="1"/>
  <c r="Q1294" i="3"/>
  <c r="R1294" i="3"/>
  <c r="G1295" i="3"/>
  <c r="H1295" i="3" s="1"/>
  <c r="Q1295" i="3"/>
  <c r="R1295" i="3" s="1"/>
  <c r="G1296" i="3"/>
  <c r="H1296" i="3" s="1"/>
  <c r="Q1296" i="3"/>
  <c r="R1296" i="3" s="1"/>
  <c r="G1297" i="3"/>
  <c r="H1297" i="3" s="1"/>
  <c r="Q1297" i="3"/>
  <c r="R1297" i="3" s="1"/>
  <c r="G1298" i="3"/>
  <c r="H1298" i="3" s="1"/>
  <c r="Q1298" i="3"/>
  <c r="R1298" i="3" s="1"/>
  <c r="G1299" i="3"/>
  <c r="H1299" i="3" s="1"/>
  <c r="Q1299" i="3"/>
  <c r="R1299" i="3" s="1"/>
  <c r="G1300" i="3"/>
  <c r="H1300" i="3" s="1"/>
  <c r="Q1300" i="3"/>
  <c r="R1300" i="3" s="1"/>
  <c r="G1301" i="3"/>
  <c r="H1301" i="3" s="1"/>
  <c r="Q1301" i="3"/>
  <c r="R1301" i="3" s="1"/>
  <c r="G1302" i="3"/>
  <c r="H1302" i="3" s="1"/>
  <c r="Q1302" i="3"/>
  <c r="R1302" i="3" s="1"/>
  <c r="G1303" i="3"/>
  <c r="H1303" i="3" s="1"/>
  <c r="Q1303" i="3"/>
  <c r="R1303" i="3" s="1"/>
  <c r="G1304" i="3"/>
  <c r="H1304" i="3" s="1"/>
  <c r="Q1304" i="3"/>
  <c r="R1304" i="3" s="1"/>
  <c r="G1305" i="3"/>
  <c r="H1305" i="3" s="1"/>
  <c r="Q1305" i="3"/>
  <c r="R1305" i="3" s="1"/>
  <c r="G1306" i="3"/>
  <c r="H1306" i="3" s="1"/>
  <c r="Q1306" i="3"/>
  <c r="R1306" i="3" s="1"/>
  <c r="G1307" i="3"/>
  <c r="H1307" i="3" s="1"/>
  <c r="Q1307" i="3"/>
  <c r="R1307" i="3" s="1"/>
  <c r="G1308" i="3"/>
  <c r="H1308" i="3" s="1"/>
  <c r="Q1308" i="3"/>
  <c r="R1308" i="3" s="1"/>
  <c r="G1309" i="3"/>
  <c r="H1309" i="3" s="1"/>
  <c r="Q1309" i="3"/>
  <c r="R1309" i="3" s="1"/>
  <c r="G1310" i="3"/>
  <c r="H1310" i="3" s="1"/>
  <c r="Q1316" i="3"/>
  <c r="R1316" i="3" s="1"/>
  <c r="Q1317" i="3"/>
  <c r="R1317" i="3" s="1"/>
  <c r="Q1318" i="3"/>
  <c r="R1318" i="3" s="1"/>
  <c r="Q1319" i="3"/>
  <c r="R1319" i="3" s="1"/>
  <c r="G1320" i="3"/>
  <c r="H1320" i="3" s="1"/>
  <c r="Q1320" i="3"/>
  <c r="R1320" i="3" s="1"/>
  <c r="G1321" i="3"/>
  <c r="H1321" i="3" s="1"/>
  <c r="Q1321" i="3"/>
  <c r="R1321" i="3" s="1"/>
  <c r="G1322" i="3"/>
  <c r="H1322" i="3" s="1"/>
  <c r="Q1322" i="3"/>
  <c r="R1322" i="3" s="1"/>
  <c r="G1323" i="3"/>
  <c r="H1323" i="3" s="1"/>
  <c r="Q1323" i="3"/>
  <c r="R1323" i="3" s="1"/>
  <c r="Q1327" i="3"/>
  <c r="R1327" i="3" s="1"/>
  <c r="Q1328" i="3"/>
  <c r="R1328" i="3" s="1"/>
  <c r="Q1329" i="3"/>
  <c r="R1329" i="3" s="1"/>
  <c r="G1338" i="3"/>
  <c r="H1338" i="3" s="1"/>
  <c r="Q1338" i="3"/>
  <c r="R1338" i="3" s="1"/>
  <c r="G1339" i="3"/>
  <c r="H1339" i="3" s="1"/>
  <c r="Q1339" i="3"/>
  <c r="R1339" i="3" s="1"/>
  <c r="G1340" i="3"/>
  <c r="H1340" i="3" s="1"/>
  <c r="Q1340" i="3"/>
  <c r="R1340" i="3" s="1"/>
  <c r="G1359" i="3"/>
  <c r="H1359" i="3" s="1"/>
  <c r="Q1366" i="3"/>
  <c r="R1366" i="3" s="1"/>
  <c r="Q1367" i="3"/>
  <c r="R1367" i="3" s="1"/>
  <c r="G1368" i="3"/>
  <c r="H1368" i="3" s="1"/>
  <c r="Q1368" i="3"/>
  <c r="R1368" i="3" s="1"/>
  <c r="G1369" i="3"/>
  <c r="H1369" i="3" s="1"/>
  <c r="Q1369" i="3"/>
  <c r="R1369" i="3" s="1"/>
  <c r="G1370" i="3"/>
  <c r="H1370" i="3" s="1"/>
  <c r="G1372" i="3"/>
  <c r="H1372" i="3" s="1"/>
  <c r="Q1378" i="3"/>
  <c r="R1378" i="3" s="1"/>
  <c r="Q1379" i="3"/>
  <c r="R1379" i="3" s="1"/>
  <c r="Q1380" i="3"/>
  <c r="R1380" i="3" s="1"/>
  <c r="Q1381" i="3"/>
  <c r="R1381" i="3" s="1"/>
  <c r="Q1382" i="3"/>
  <c r="R1382" i="3" s="1"/>
  <c r="Q1383" i="3"/>
  <c r="R1383" i="3" s="1"/>
  <c r="Q1384" i="3"/>
  <c r="R1384" i="3" s="1"/>
  <c r="Q1389" i="3"/>
  <c r="R1389" i="3" s="1"/>
  <c r="Q1390" i="3"/>
  <c r="R1390" i="3" s="1"/>
  <c r="Q1391" i="3"/>
  <c r="R1391" i="3" s="1"/>
  <c r="Q1392" i="3"/>
  <c r="R1392" i="3" s="1"/>
  <c r="Q1393" i="3"/>
  <c r="R1393" i="3" s="1"/>
  <c r="G1403" i="3"/>
  <c r="H1403" i="3" s="1"/>
  <c r="Q1403" i="3"/>
  <c r="R1403" i="3" s="1"/>
  <c r="G1404" i="3"/>
  <c r="H1404" i="3" s="1"/>
  <c r="Q1404" i="3"/>
  <c r="R1404" i="3" s="1"/>
  <c r="G1405" i="3"/>
  <c r="H1405" i="3" s="1"/>
  <c r="Q1405" i="3"/>
  <c r="R1405" i="3" s="1"/>
  <c r="G1406" i="3"/>
  <c r="H1406" i="3" s="1"/>
  <c r="Q1406" i="3"/>
  <c r="R1406" i="3" s="1"/>
  <c r="G1407" i="3"/>
  <c r="H1407" i="3" s="1"/>
  <c r="Q1407" i="3"/>
  <c r="R1407" i="3" s="1"/>
  <c r="G1408" i="3"/>
  <c r="H1408" i="3" s="1"/>
  <c r="Q1408" i="3"/>
  <c r="R1408" i="3" s="1"/>
  <c r="G1409" i="3"/>
  <c r="H1409" i="3" s="1"/>
  <c r="Q1409" i="3"/>
  <c r="R1409" i="3" s="1"/>
  <c r="G1410" i="3"/>
  <c r="H1410" i="3" s="1"/>
  <c r="G1411" i="3"/>
  <c r="H1411" i="3" s="1"/>
  <c r="G1412" i="3"/>
  <c r="H1412" i="3" s="1"/>
  <c r="G1413" i="3"/>
  <c r="H1413" i="3" s="1"/>
  <c r="G1414" i="3"/>
  <c r="H1414" i="3" s="1"/>
  <c r="G1430" i="3"/>
  <c r="H1430" i="3" s="1"/>
  <c r="Q1430" i="3"/>
  <c r="R1430" i="3" s="1"/>
  <c r="G1431" i="3"/>
  <c r="H1431" i="3" s="1"/>
  <c r="Q1431" i="3"/>
  <c r="R1431" i="3" s="1"/>
  <c r="G1432" i="3"/>
  <c r="H1432" i="3" s="1"/>
  <c r="Q1432" i="3"/>
  <c r="R1432" i="3" s="1"/>
  <c r="G1433" i="3"/>
  <c r="H1433" i="3" s="1"/>
  <c r="Q1433" i="3"/>
  <c r="R1433" i="3" s="1"/>
  <c r="G1434" i="3"/>
  <c r="H1434" i="3" s="1"/>
  <c r="Q1434" i="3"/>
  <c r="R1434" i="3" s="1"/>
  <c r="G1435" i="3"/>
  <c r="H1435" i="3" s="1"/>
  <c r="Q1435" i="3"/>
  <c r="R1435" i="3" s="1"/>
  <c r="G1436" i="3"/>
  <c r="H1436" i="3" s="1"/>
  <c r="Q1440" i="3"/>
  <c r="R1440" i="3" s="1"/>
  <c r="Q1441" i="3"/>
  <c r="R1441" i="3" s="1"/>
  <c r="Q1442" i="3"/>
  <c r="R1442" i="3" s="1"/>
  <c r="Q1443" i="3"/>
  <c r="R1443" i="3" s="1"/>
  <c r="Q1444" i="3"/>
  <c r="R1444" i="3" s="1"/>
  <c r="Q1445" i="3"/>
  <c r="R1445" i="3" s="1"/>
  <c r="G1457" i="3"/>
  <c r="H1457" i="3" s="1"/>
  <c r="Q1457" i="3"/>
  <c r="R1457" i="3" s="1"/>
  <c r="G1458" i="3"/>
  <c r="H1458" i="3" s="1"/>
  <c r="Q1459" i="3"/>
  <c r="R1459" i="3" s="1"/>
  <c r="G1459" i="3"/>
  <c r="H1459" i="3" s="1"/>
  <c r="Q1460" i="3"/>
  <c r="R1460" i="3" s="1"/>
  <c r="G1460" i="3"/>
  <c r="H1460" i="3" s="1"/>
  <c r="Q1461" i="3"/>
  <c r="R1461" i="3" s="1"/>
  <c r="G1461" i="3"/>
  <c r="H1461" i="3" s="1"/>
  <c r="Q1462" i="3"/>
  <c r="R1462" i="3" s="1"/>
  <c r="G1462" i="3"/>
  <c r="H1462" i="3" s="1"/>
  <c r="Q1464" i="3"/>
  <c r="R1464" i="3" s="1"/>
  <c r="G1463" i="3"/>
  <c r="H1463" i="3" s="1"/>
  <c r="Q1466" i="3"/>
  <c r="R1466" i="3" s="1"/>
  <c r="G1464" i="3"/>
  <c r="H1464" i="3" s="1"/>
  <c r="G1465" i="3"/>
  <c r="H1465" i="3" s="1"/>
  <c r="G1466" i="3"/>
  <c r="H1466" i="3" s="1"/>
  <c r="G1467" i="3"/>
  <c r="H1467" i="3" s="1"/>
  <c r="G1477" i="3"/>
  <c r="H1477" i="3" s="1"/>
  <c r="Q1477" i="3"/>
  <c r="R1477" i="3" s="1"/>
  <c r="G1478" i="3"/>
  <c r="H1478" i="3" s="1"/>
  <c r="Q1479" i="3"/>
  <c r="R1479" i="3" s="1"/>
  <c r="G1479" i="3"/>
  <c r="H1479" i="3" s="1"/>
  <c r="Q1480" i="3"/>
  <c r="R1480" i="3" s="1"/>
  <c r="G1480" i="3"/>
  <c r="H1480" i="3" s="1"/>
  <c r="Q1481" i="3"/>
  <c r="R1481" i="3" s="1"/>
  <c r="G1481" i="3"/>
  <c r="H1481" i="3" s="1"/>
  <c r="Q1482" i="3"/>
  <c r="R1482" i="3" s="1"/>
  <c r="G1482" i="3"/>
  <c r="H1482" i="3" s="1"/>
  <c r="G1483" i="3"/>
  <c r="H1483" i="3" s="1"/>
  <c r="G1484" i="3"/>
  <c r="H1484" i="3" s="1"/>
  <c r="G1485" i="3"/>
  <c r="H1485" i="3" s="1"/>
  <c r="G1486" i="3"/>
  <c r="H1486" i="3" s="1"/>
  <c r="G1487" i="3"/>
  <c r="H1487" i="3" s="1"/>
  <c r="G1504" i="3"/>
  <c r="H1504" i="3" s="1"/>
  <c r="Q1504" i="3"/>
  <c r="R1504" i="3" s="1"/>
  <c r="G1505" i="3"/>
  <c r="H1505" i="3" s="1"/>
  <c r="Q1505" i="3"/>
  <c r="R1505" i="3" s="1"/>
  <c r="G1506" i="3"/>
  <c r="H1506" i="3" s="1"/>
  <c r="Q1506" i="3"/>
  <c r="R1506" i="3" s="1"/>
  <c r="G1507" i="3"/>
  <c r="H1507" i="3" s="1"/>
  <c r="Q1507" i="3"/>
  <c r="R1507" i="3" s="1"/>
  <c r="G1508" i="3"/>
  <c r="H1508" i="3" s="1"/>
  <c r="Q1508" i="3"/>
  <c r="R1508" i="3" s="1"/>
  <c r="G1509" i="3"/>
  <c r="H1509" i="3" s="1"/>
  <c r="Q1509" i="3"/>
  <c r="R1509" i="3" s="1"/>
  <c r="G1510" i="3"/>
  <c r="H1510" i="3" s="1"/>
  <c r="Q1510" i="3"/>
  <c r="R1510" i="3" s="1"/>
  <c r="G1511" i="3"/>
  <c r="H1511" i="3" s="1"/>
  <c r="Q1511" i="3"/>
  <c r="R1511" i="3" s="1"/>
  <c r="G1512" i="3"/>
  <c r="H1512" i="3" s="1"/>
  <c r="Q1512" i="3"/>
  <c r="R1512" i="3" s="1"/>
  <c r="G1513" i="3"/>
  <c r="H1513" i="3" s="1"/>
  <c r="Q1518" i="3"/>
  <c r="R1518" i="3" s="1"/>
  <c r="Q1519" i="3"/>
  <c r="R1519" i="3" s="1"/>
  <c r="Q1520" i="3"/>
  <c r="R1520" i="3" s="1"/>
  <c r="Q1521" i="3"/>
  <c r="R1521" i="3" s="1"/>
  <c r="Q1524" i="3"/>
  <c r="R1524" i="3" s="1"/>
  <c r="Q1529" i="3"/>
  <c r="R1529" i="3" s="1"/>
  <c r="Q1530" i="3"/>
  <c r="R1530" i="3" s="1"/>
  <c r="Q1531" i="3"/>
  <c r="R1531" i="3" s="1"/>
  <c r="Q1532" i="3"/>
  <c r="R1532" i="3" s="1"/>
  <c r="Q1533" i="3"/>
  <c r="R1533" i="3" s="1"/>
  <c r="Q1534" i="3"/>
  <c r="R1534" i="3" s="1"/>
  <c r="Q1535" i="3"/>
  <c r="R1535" i="3" s="1"/>
  <c r="Q1539" i="3"/>
  <c r="R1539" i="3" s="1"/>
  <c r="Q1540" i="3"/>
  <c r="R1540" i="3" s="1"/>
  <c r="Q1541" i="3"/>
  <c r="R1541" i="3" s="1"/>
  <c r="G1551" i="3"/>
  <c r="H1551" i="3" s="1"/>
  <c r="Q1551" i="3"/>
  <c r="R1551" i="3" s="1"/>
  <c r="G1552" i="3"/>
  <c r="H1552" i="3" s="1"/>
  <c r="Q1552" i="3"/>
  <c r="R1552" i="3" s="1"/>
  <c r="G1553" i="3"/>
  <c r="H1553" i="3" s="1"/>
  <c r="Q1553" i="3"/>
  <c r="R1553" i="3" s="1"/>
  <c r="G1554" i="3"/>
  <c r="H1554" i="3" s="1"/>
  <c r="Q1554" i="3"/>
  <c r="R1554" i="3" s="1"/>
  <c r="G1555" i="3"/>
  <c r="H1555" i="3" s="1"/>
  <c r="Q1555" i="3"/>
  <c r="R1555" i="3" s="1"/>
  <c r="G1556" i="3"/>
  <c r="H1556" i="3" s="1"/>
  <c r="Q1556" i="3"/>
  <c r="R1556" i="3" s="1"/>
  <c r="G1557" i="3"/>
  <c r="H1557" i="3" s="1"/>
  <c r="Q1557" i="3"/>
  <c r="R1557" i="3" s="1"/>
  <c r="G1558" i="3"/>
  <c r="H1558" i="3" s="1"/>
  <c r="Q1558" i="3"/>
  <c r="R1558" i="3" s="1"/>
  <c r="G1559" i="3"/>
  <c r="H1559" i="3" s="1"/>
  <c r="Q1559" i="3"/>
  <c r="R1559" i="3" s="1"/>
  <c r="G1560" i="3"/>
  <c r="H1560" i="3" s="1"/>
  <c r="Q1560" i="3"/>
  <c r="R1560" i="3" s="1"/>
  <c r="G1578" i="3"/>
  <c r="H1578" i="3" s="1"/>
  <c r="Q1578" i="3"/>
  <c r="R1578" i="3" s="1"/>
  <c r="G1579" i="3"/>
  <c r="H1579" i="3" s="1"/>
  <c r="Q1579" i="3"/>
  <c r="R1579" i="3" s="1"/>
  <c r="G1580" i="3"/>
  <c r="H1580" i="3" s="1"/>
  <c r="Q1580" i="3"/>
  <c r="R1580" i="3" s="1"/>
  <c r="G1581" i="3"/>
  <c r="H1581" i="3" s="1"/>
  <c r="Q1581" i="3"/>
  <c r="R1581" i="3" s="1"/>
  <c r="G1582" i="3"/>
  <c r="H1582" i="3" s="1"/>
  <c r="G1583" i="3"/>
  <c r="H1583" i="3" s="1"/>
  <c r="G1584" i="3"/>
  <c r="H1584" i="3" s="1"/>
  <c r="G1585" i="3"/>
  <c r="H1585" i="3" s="1"/>
  <c r="G1586" i="3"/>
  <c r="H1586" i="3" s="1"/>
  <c r="G1587" i="3"/>
  <c r="H1587" i="3" s="1"/>
  <c r="G1598" i="3"/>
  <c r="H1598" i="3" s="1"/>
  <c r="Q1598" i="3"/>
  <c r="R1598" i="3" s="1"/>
  <c r="G1599" i="3"/>
  <c r="H1599" i="3" s="1"/>
  <c r="Q1599" i="3"/>
  <c r="R1599" i="3" s="1"/>
  <c r="G1600" i="3"/>
  <c r="H1600" i="3" s="1"/>
  <c r="Q1600" i="3"/>
  <c r="R1600" i="3" s="1"/>
  <c r="G1601" i="3"/>
  <c r="H1601" i="3" s="1"/>
  <c r="Q1601" i="3"/>
  <c r="R1601" i="3" s="1"/>
  <c r="G1602" i="3"/>
  <c r="H1602" i="3" s="1"/>
  <c r="G1603" i="3"/>
  <c r="H1603" i="3" s="1"/>
  <c r="G1604" i="3"/>
  <c r="H1604" i="3" s="1"/>
  <c r="G1605" i="3"/>
  <c r="H1605" i="3" s="1"/>
  <c r="G1615" i="3"/>
  <c r="H1615" i="3" s="1"/>
  <c r="Q1615" i="3"/>
  <c r="R1615" i="3" s="1"/>
  <c r="G1616" i="3"/>
  <c r="H1616" i="3" s="1"/>
  <c r="Q1616" i="3"/>
  <c r="R1616" i="3" s="1"/>
  <c r="G1617" i="3"/>
  <c r="H1617" i="3" s="1"/>
  <c r="Q1617" i="3"/>
  <c r="R1617" i="3" s="1"/>
  <c r="G1618" i="3"/>
  <c r="H1618" i="3" s="1"/>
  <c r="Q1618" i="3"/>
  <c r="R1618" i="3" s="1"/>
  <c r="G1619" i="3"/>
  <c r="H1619" i="3" s="1"/>
  <c r="Q1619" i="3"/>
  <c r="R1619" i="3" s="1"/>
  <c r="G1620" i="3"/>
  <c r="H1620" i="3" s="1"/>
  <c r="Q1620" i="3"/>
  <c r="R1620" i="3" s="1"/>
  <c r="G1629" i="3"/>
  <c r="H1629" i="3" s="1"/>
  <c r="Q1629" i="3"/>
  <c r="R1629" i="3" s="1"/>
  <c r="G1630" i="3"/>
  <c r="H1630" i="3" s="1"/>
  <c r="Q1630" i="3"/>
  <c r="R1630" i="3" s="1"/>
  <c r="G1631" i="3"/>
  <c r="H1631" i="3" s="1"/>
  <c r="Q1631" i="3"/>
  <c r="R1631" i="3" s="1"/>
  <c r="G1632" i="3"/>
  <c r="H1632" i="3" s="1"/>
  <c r="Q1632" i="3"/>
  <c r="R1632" i="3" s="1"/>
  <c r="G1633" i="3"/>
  <c r="H1633" i="3" s="1"/>
  <c r="Q1633" i="3"/>
  <c r="R1633" i="3" s="1"/>
  <c r="G1652" i="3"/>
  <c r="H1652" i="3" s="1"/>
  <c r="Q1652" i="3"/>
  <c r="R1652" i="3" s="1"/>
  <c r="G1653" i="3"/>
  <c r="H1653" i="3" s="1"/>
  <c r="Q1653" i="3"/>
  <c r="R1653" i="3" s="1"/>
  <c r="G1654" i="3"/>
  <c r="H1654" i="3" s="1"/>
  <c r="Q1654" i="3"/>
  <c r="R1654" i="3" s="1"/>
  <c r="G1655" i="3"/>
  <c r="H1655" i="3" s="1"/>
  <c r="G1656" i="3"/>
  <c r="H1656" i="3" s="1"/>
  <c r="G1657" i="3"/>
  <c r="H1657" i="3" s="1"/>
  <c r="G1667" i="3"/>
  <c r="H1667" i="3" s="1"/>
  <c r="Q1667" i="3"/>
  <c r="R1667" i="3" s="1"/>
  <c r="G1668" i="3"/>
  <c r="H1668" i="3" s="1"/>
  <c r="Q1668" i="3"/>
  <c r="R1668" i="3" s="1"/>
  <c r="G1669" i="3"/>
  <c r="H1669" i="3" s="1"/>
  <c r="Q1669" i="3"/>
  <c r="R1669" i="3" s="1"/>
  <c r="G1670" i="3"/>
  <c r="H1670" i="3" s="1"/>
  <c r="Q1670" i="3"/>
  <c r="R1670" i="3" s="1"/>
  <c r="G1671" i="3"/>
  <c r="H1671" i="3" s="1"/>
  <c r="G1672" i="3"/>
  <c r="H1672" i="3" s="1"/>
  <c r="G1681" i="3"/>
  <c r="H1681" i="3" s="1"/>
  <c r="Q1681" i="3"/>
  <c r="R1681" i="3" s="1"/>
  <c r="G1682" i="3"/>
  <c r="H1682" i="3" s="1"/>
  <c r="G1683" i="3"/>
  <c r="H1683" i="3" s="1"/>
  <c r="G1684" i="3"/>
  <c r="H1684" i="3" s="1"/>
  <c r="G1696" i="3"/>
  <c r="H1696" i="3" s="1"/>
  <c r="Q1696" i="3"/>
  <c r="R1696" i="3" s="1"/>
  <c r="G1697" i="3"/>
  <c r="H1697" i="3" s="1"/>
  <c r="Q1697" i="3"/>
  <c r="R1697" i="3" s="1"/>
  <c r="G1698" i="3"/>
  <c r="H1698" i="3" s="1"/>
  <c r="Q1698" i="3"/>
  <c r="R1698" i="3" s="1"/>
  <c r="G1699" i="3"/>
  <c r="H1699" i="3" s="1"/>
  <c r="G1700" i="3"/>
  <c r="H1700" i="3" s="1"/>
  <c r="G1709" i="3"/>
  <c r="H1709" i="3" s="1"/>
  <c r="Q1709" i="3"/>
  <c r="R1709" i="3" s="1"/>
  <c r="G1710" i="3"/>
  <c r="H1710" i="3" s="1"/>
  <c r="Q1710" i="3"/>
  <c r="R1710" i="3" s="1"/>
  <c r="G1711" i="3"/>
  <c r="H1711" i="3" s="1"/>
  <c r="Q1711" i="3"/>
  <c r="R1711" i="3" s="1"/>
  <c r="G1712" i="3"/>
  <c r="H1712" i="3" s="1"/>
  <c r="Q1712" i="3"/>
  <c r="R1712" i="3" s="1"/>
  <c r="Q1713" i="3"/>
  <c r="R1713" i="3" s="1"/>
  <c r="G1727" i="3"/>
  <c r="H1727" i="3" s="1"/>
  <c r="Q1727" i="3"/>
  <c r="R1727" i="3" s="1"/>
  <c r="G1728" i="3"/>
  <c r="H1728" i="3" s="1"/>
  <c r="Q1728" i="3"/>
  <c r="R1728" i="3" s="1"/>
  <c r="G1729" i="3"/>
  <c r="H1729" i="3" s="1"/>
  <c r="Q1729" i="3"/>
  <c r="R1729" i="3" s="1"/>
  <c r="G1730" i="3"/>
  <c r="H1730" i="3" s="1"/>
  <c r="Q1730" i="3"/>
  <c r="R1730" i="3" s="1"/>
  <c r="G1731" i="3"/>
  <c r="H1731" i="3" s="1"/>
  <c r="Q1731" i="3"/>
  <c r="R1731" i="3" s="1"/>
  <c r="G1732" i="3"/>
  <c r="H1732" i="3" s="1"/>
  <c r="G1733" i="3"/>
  <c r="H1733" i="3" s="1"/>
  <c r="G1743" i="3"/>
  <c r="H1743" i="3" s="1"/>
  <c r="Q1743" i="3"/>
  <c r="R1743" i="3" s="1"/>
  <c r="G1744" i="3"/>
  <c r="H1744" i="3" s="1"/>
  <c r="Q1744" i="3"/>
  <c r="R1744" i="3" s="1"/>
  <c r="G1745" i="3"/>
  <c r="H1745" i="3" s="1"/>
  <c r="Q1745" i="3"/>
  <c r="R1745" i="3" s="1"/>
  <c r="G1746" i="3"/>
  <c r="H1746" i="3" s="1"/>
  <c r="Q1746" i="3"/>
  <c r="R1746" i="3" s="1"/>
  <c r="G1747" i="3"/>
  <c r="H1747" i="3" s="1"/>
  <c r="Q1747" i="3"/>
  <c r="R1747" i="3" s="1"/>
  <c r="G1748" i="3"/>
  <c r="H1748" i="3" s="1"/>
  <c r="Q1752" i="3"/>
  <c r="R1752" i="3" s="1"/>
  <c r="Q1753" i="3"/>
  <c r="R1753" i="3" s="1"/>
  <c r="Q1754" i="3"/>
  <c r="R1754" i="3" s="1"/>
  <c r="G1767" i="3"/>
  <c r="H1767" i="3" s="1"/>
  <c r="Q1767" i="3"/>
  <c r="R1767" i="3" s="1"/>
  <c r="G1768" i="3"/>
  <c r="H1768" i="3" s="1"/>
  <c r="Q1768" i="3"/>
  <c r="R1768" i="3" s="1"/>
  <c r="Q1772" i="3"/>
  <c r="R1772" i="3" s="1"/>
  <c r="Q1773" i="3"/>
  <c r="R1773" i="3" s="1"/>
  <c r="Q1774" i="3"/>
  <c r="R1774" i="3" s="1"/>
  <c r="Q1775" i="3"/>
  <c r="R1775" i="3" s="1"/>
  <c r="Q1776" i="3"/>
  <c r="R1776" i="3" s="1"/>
  <c r="Q1777" i="3"/>
  <c r="R1777" i="3" s="1"/>
  <c r="G1778" i="3"/>
  <c r="H1778" i="3" s="1"/>
  <c r="Q1778" i="3"/>
  <c r="R1778" i="3" s="1"/>
  <c r="G1779" i="3"/>
  <c r="H1779" i="3" s="1"/>
  <c r="Q1779" i="3"/>
  <c r="R1779" i="3" s="1"/>
  <c r="Q1783" i="3"/>
  <c r="R1783" i="3" s="1"/>
  <c r="Q1784" i="3"/>
  <c r="R1784" i="3" s="1"/>
  <c r="Q1785" i="3"/>
  <c r="R1785" i="3" s="1"/>
  <c r="Q1786" i="3"/>
  <c r="R1786" i="3" s="1"/>
  <c r="Q1790" i="3"/>
  <c r="R1790" i="3" s="1"/>
  <c r="Q1791" i="3"/>
  <c r="R1791" i="3" s="1"/>
  <c r="Q1792" i="3"/>
  <c r="R1792" i="3" s="1"/>
  <c r="Q1793" i="3"/>
  <c r="R1793" i="3" s="1"/>
  <c r="Q1794" i="3"/>
  <c r="R1794" i="3" s="1"/>
  <c r="G1803" i="3"/>
  <c r="H1803" i="3" s="1"/>
  <c r="Q1803" i="3"/>
  <c r="R1803" i="3" s="1"/>
  <c r="G1804" i="3"/>
  <c r="H1804" i="3" s="1"/>
  <c r="Q1804" i="3"/>
  <c r="R1804" i="3" s="1"/>
  <c r="G1805" i="3"/>
  <c r="H1805" i="3" s="1"/>
  <c r="Q1805" i="3"/>
  <c r="R1805" i="3" s="1"/>
  <c r="G1806" i="3"/>
  <c r="H1806" i="3" s="1"/>
  <c r="Q1806" i="3"/>
  <c r="R1806" i="3" s="1"/>
  <c r="G1807" i="3"/>
  <c r="H1807" i="3" s="1"/>
  <c r="Q1807" i="3"/>
  <c r="R1807" i="3" s="1"/>
  <c r="G1808" i="3"/>
  <c r="H1808" i="3" s="1"/>
  <c r="Q1808" i="3"/>
  <c r="R1808" i="3" s="1"/>
  <c r="G1809" i="3"/>
  <c r="H1809" i="3" s="1"/>
  <c r="Q1809" i="3"/>
  <c r="R1809" i="3" s="1"/>
  <c r="Q1813" i="3"/>
  <c r="R1813" i="3" s="1"/>
  <c r="Q1814" i="3"/>
  <c r="R1814" i="3" s="1"/>
  <c r="Q1815" i="3"/>
  <c r="R1815" i="3" s="1"/>
  <c r="Q1816" i="3"/>
  <c r="R1816" i="3" s="1"/>
  <c r="Q1817" i="3"/>
  <c r="R1817" i="3"/>
  <c r="Q1821" i="3"/>
  <c r="R1821" i="3" s="1"/>
  <c r="Q1822" i="3"/>
  <c r="R1822" i="3" s="1"/>
  <c r="Q1823" i="3"/>
  <c r="R1823" i="3" s="1"/>
  <c r="Q1824" i="3"/>
  <c r="R1824" i="3" s="1"/>
  <c r="Q1825" i="3"/>
  <c r="R1825" i="3" s="1"/>
  <c r="Q1826" i="3"/>
  <c r="R1826" i="3" s="1"/>
  <c r="Q1827" i="3"/>
  <c r="R1827" i="3" s="1"/>
  <c r="Q1828" i="3"/>
  <c r="R1828" i="3" s="1"/>
  <c r="Q1845" i="3"/>
  <c r="R1845" i="3" s="1"/>
  <c r="Q1846" i="3"/>
  <c r="R1846" i="3" s="1"/>
  <c r="Q1847" i="3"/>
  <c r="R1847" i="3" s="1"/>
  <c r="Q1848" i="3"/>
  <c r="R1848" i="3" s="1"/>
  <c r="Q1849" i="3"/>
  <c r="R1849" i="3" s="1"/>
  <c r="Q1850" i="3"/>
  <c r="R1850" i="3" s="1"/>
  <c r="G1851" i="3"/>
  <c r="H1851" i="3" s="1"/>
  <c r="Q1851" i="3"/>
  <c r="R1851" i="3" s="1"/>
  <c r="G1852" i="3"/>
  <c r="H1852" i="3" s="1"/>
  <c r="Q1852" i="3"/>
  <c r="R1852" i="3" s="1"/>
  <c r="G1853" i="3"/>
  <c r="H1853" i="3" s="1"/>
  <c r="Q1853" i="3"/>
  <c r="R1853" i="3" s="1"/>
  <c r="G1854" i="3"/>
  <c r="H1854" i="3" s="1"/>
  <c r="Q1854" i="3"/>
  <c r="R1854" i="3" s="1"/>
  <c r="G1855" i="3"/>
  <c r="H1855" i="3" s="1"/>
  <c r="Q1855" i="3"/>
  <c r="R1855" i="3" s="1"/>
  <c r="G1856" i="3"/>
  <c r="H1856" i="3" s="1"/>
  <c r="Q1856" i="3"/>
  <c r="R1856" i="3" s="1"/>
  <c r="G1857" i="3"/>
  <c r="H1857" i="3" s="1"/>
  <c r="Q1857" i="3"/>
  <c r="R1857" i="3" s="1"/>
  <c r="G1858" i="3"/>
  <c r="H1858" i="3" s="1"/>
  <c r="Q1858" i="3"/>
  <c r="R1858" i="3" s="1"/>
  <c r="G1859" i="3"/>
  <c r="H1859" i="3" s="1"/>
  <c r="Q1859" i="3"/>
  <c r="R1859" i="3" s="1"/>
  <c r="G1860" i="3"/>
  <c r="H1860" i="3" s="1"/>
  <c r="Q1860" i="3"/>
  <c r="R1860" i="3" s="1"/>
  <c r="G1861" i="3"/>
  <c r="H1861" i="3" s="1"/>
  <c r="Q1861" i="3"/>
  <c r="R1861" i="3" s="1"/>
  <c r="G1862" i="3"/>
  <c r="H1862" i="3" s="1"/>
  <c r="Q1862" i="3"/>
  <c r="R1862" i="3" s="1"/>
  <c r="G1863" i="3"/>
  <c r="H1863" i="3" s="1"/>
  <c r="Q1863" i="3"/>
  <c r="R1863" i="3" s="1"/>
  <c r="G1864" i="3"/>
  <c r="H1864" i="3" s="1"/>
  <c r="Q1864" i="3"/>
  <c r="R1864" i="3" s="1"/>
  <c r="G1865" i="3"/>
  <c r="H1865" i="3" s="1"/>
  <c r="Q1865" i="3"/>
  <c r="R1865" i="3" s="1"/>
  <c r="G1866" i="3"/>
  <c r="H1866" i="3" s="1"/>
  <c r="Q1866" i="3"/>
  <c r="R1866" i="3" s="1"/>
  <c r="G1867" i="3"/>
  <c r="H1867" i="3" s="1"/>
  <c r="Q1867" i="3"/>
  <c r="R1867" i="3" s="1"/>
  <c r="Q1871" i="3"/>
  <c r="R1871" i="3" s="1"/>
  <c r="Q1872" i="3"/>
  <c r="R1872" i="3" s="1"/>
  <c r="Q1873" i="3"/>
  <c r="R1873" i="3" s="1"/>
  <c r="Q1874" i="3"/>
  <c r="R1874" i="3" s="1"/>
  <c r="Q1875" i="3"/>
  <c r="R1875" i="3" s="1"/>
  <c r="Q1876" i="3"/>
  <c r="R1876" i="3" s="1"/>
  <c r="G1877" i="3"/>
  <c r="H1877" i="3" s="1"/>
  <c r="Q1877" i="3"/>
  <c r="R1877" i="3" s="1"/>
  <c r="G1878" i="3"/>
  <c r="H1878" i="3" s="1"/>
  <c r="Q1878" i="3"/>
  <c r="R1878" i="3" s="1"/>
  <c r="Q1882" i="3"/>
  <c r="R1882" i="3" s="1"/>
  <c r="Q1883" i="3"/>
  <c r="R1883" i="3" s="1"/>
  <c r="Q1888" i="3"/>
  <c r="R1888" i="3" s="1"/>
  <c r="Q1889" i="3"/>
  <c r="R1889" i="3" s="1"/>
  <c r="Q1890" i="3"/>
  <c r="R1890" i="3" s="1"/>
  <c r="Q1891" i="3"/>
  <c r="R1891" i="3" s="1"/>
  <c r="Q1892" i="3"/>
  <c r="R1892" i="3" s="1"/>
  <c r="Q1896" i="3"/>
  <c r="R1896" i="3" s="1"/>
  <c r="Q1897" i="3"/>
  <c r="R1897" i="3" s="1"/>
  <c r="Q1898" i="3"/>
  <c r="R1898" i="3" s="1"/>
  <c r="Q1899" i="3"/>
  <c r="R1899" i="3" s="1"/>
  <c r="Q1900" i="3"/>
  <c r="R1900" i="3" s="1"/>
  <c r="Q1901" i="3"/>
  <c r="R1901" i="3" s="1"/>
  <c r="Q1902" i="3"/>
  <c r="R1902" i="3" s="1"/>
  <c r="Q1903" i="3"/>
  <c r="R1903" i="3" s="1"/>
  <c r="Q1907" i="3"/>
  <c r="R1907" i="3" s="1"/>
  <c r="Q1912" i="3"/>
  <c r="R1912" i="3" s="1"/>
  <c r="Q1913" i="3"/>
  <c r="R1913" i="3" s="1"/>
  <c r="Q1914" i="3"/>
  <c r="R1914" i="3" s="1"/>
  <c r="Q1915" i="3"/>
  <c r="R1915" i="3" s="1"/>
  <c r="Q1916" i="3"/>
  <c r="R1916" i="3" s="1"/>
  <c r="Q1917" i="3"/>
  <c r="R1917" i="3" s="1"/>
  <c r="G1918" i="3"/>
  <c r="H1918" i="3" s="1"/>
  <c r="Q1918" i="3"/>
  <c r="R1918" i="3" s="1"/>
  <c r="G1919" i="3"/>
  <c r="H1919" i="3" s="1"/>
  <c r="Q1919" i="3"/>
  <c r="R1919" i="3" s="1"/>
  <c r="G1920" i="3"/>
  <c r="H1920" i="3" s="1"/>
  <c r="Q1920" i="3"/>
  <c r="R1920" i="3" s="1"/>
  <c r="G1921" i="3"/>
  <c r="H1921" i="3" s="1"/>
  <c r="Q1921" i="3"/>
  <c r="R1921" i="3" s="1"/>
  <c r="G1922" i="3"/>
  <c r="H1922" i="3" s="1"/>
  <c r="Q1922" i="3"/>
  <c r="R1922" i="3" s="1"/>
  <c r="G1923" i="3"/>
  <c r="H1923" i="3" s="1"/>
  <c r="Q1923" i="3"/>
  <c r="R1923" i="3" s="1"/>
  <c r="G1924" i="3"/>
  <c r="H1924" i="3" s="1"/>
  <c r="Q1924" i="3"/>
  <c r="R1924" i="3" s="1"/>
  <c r="G1925" i="3"/>
  <c r="H1925" i="3" s="1"/>
  <c r="Q1925" i="3"/>
  <c r="R1925" i="3" s="1"/>
  <c r="Q1929" i="3"/>
  <c r="R1929" i="3" s="1"/>
  <c r="Q1930" i="3"/>
  <c r="R1930" i="3" s="1"/>
  <c r="Q1931" i="3"/>
  <c r="R1931" i="3" s="1"/>
  <c r="Q1932" i="3"/>
  <c r="R1932" i="3" s="1"/>
  <c r="Q1933" i="3"/>
  <c r="R1933" i="3" s="1"/>
  <c r="Q1934" i="3"/>
  <c r="R1934" i="3" s="1"/>
  <c r="Q1938" i="3"/>
  <c r="R1938" i="3" s="1"/>
  <c r="Q1939" i="3"/>
  <c r="R1939" i="3" s="1"/>
  <c r="Q1940" i="3"/>
  <c r="R1940" i="3" s="1"/>
  <c r="Q1941" i="3"/>
  <c r="R1941" i="3" s="1"/>
  <c r="Q1942" i="3"/>
  <c r="R1942" i="3" s="1"/>
  <c r="Q1943" i="3"/>
  <c r="R1943" i="3" s="1"/>
  <c r="G1944" i="3"/>
  <c r="H1944" i="3" s="1"/>
  <c r="Q1944" i="3"/>
  <c r="R1944" i="3" s="1"/>
  <c r="G1945" i="3"/>
  <c r="H1945" i="3" s="1"/>
  <c r="Q1945" i="3"/>
  <c r="R1945" i="3" s="1"/>
  <c r="G1946" i="3"/>
  <c r="H1946" i="3" s="1"/>
  <c r="Q1946" i="3"/>
  <c r="R1946" i="3" s="1"/>
  <c r="G1947" i="3"/>
  <c r="H1947" i="3" s="1"/>
  <c r="Q1947" i="3"/>
  <c r="R1947" i="3" s="1"/>
  <c r="Q1951" i="3"/>
  <c r="R1951" i="3" s="1"/>
  <c r="Q1952" i="3"/>
  <c r="R1952" i="3" s="1"/>
  <c r="Q1956" i="3"/>
  <c r="R1956" i="3" s="1"/>
  <c r="Q1957" i="3"/>
  <c r="R1957" i="3" s="1"/>
  <c r="Q1958" i="3"/>
  <c r="R1958" i="3" s="1"/>
  <c r="Q1959" i="3"/>
  <c r="R1959" i="3" s="1"/>
  <c r="Q1960" i="3"/>
  <c r="R1960" i="3" s="1"/>
  <c r="Q1961" i="3"/>
  <c r="R1961" i="3" s="1"/>
  <c r="G1962" i="3"/>
  <c r="H1962" i="3" s="1"/>
  <c r="Q1962" i="3"/>
  <c r="R1962" i="3" s="1"/>
  <c r="G1963" i="3"/>
  <c r="H1963" i="3" s="1"/>
  <c r="Q1967" i="3"/>
  <c r="R1967" i="3" s="1"/>
  <c r="Q1968" i="3"/>
  <c r="R1968" i="3" s="1"/>
  <c r="Q1969" i="3"/>
  <c r="R1969" i="3" s="1"/>
  <c r="Q1970" i="3"/>
  <c r="R1970" i="3" s="1"/>
  <c r="Q1974" i="3"/>
  <c r="R1974" i="3" s="1"/>
  <c r="Q1975" i="3"/>
  <c r="R1975" i="3" s="1"/>
  <c r="Q1976" i="3"/>
  <c r="R1976" i="3" s="1"/>
  <c r="Q1977" i="3"/>
  <c r="R1977" i="3" s="1"/>
  <c r="Q1978" i="3"/>
  <c r="R1978" i="3" s="1"/>
  <c r="Q1979" i="3"/>
  <c r="R1979" i="3" s="1"/>
  <c r="Q1983" i="3"/>
  <c r="R1983" i="3" s="1"/>
  <c r="Q1984" i="3"/>
  <c r="R1984" i="3" s="1"/>
  <c r="Q1989" i="3"/>
  <c r="R1989" i="3" s="1"/>
  <c r="Q1990" i="3"/>
  <c r="R1990" i="3" s="1"/>
  <c r="Q1991" i="3"/>
  <c r="R1991" i="3" s="1"/>
  <c r="Q1992" i="3"/>
  <c r="R1992" i="3" s="1"/>
  <c r="Q1996" i="3"/>
  <c r="R1996" i="3" s="1"/>
  <c r="Q1997" i="3"/>
  <c r="R1997" i="3" s="1"/>
  <c r="Q1998" i="3"/>
  <c r="R1998" i="3" s="1"/>
  <c r="Q1999" i="3"/>
  <c r="R1999" i="3" s="1"/>
  <c r="Q2003" i="3"/>
  <c r="R2003" i="3" s="1"/>
  <c r="Q2004" i="3"/>
  <c r="R2004" i="3" s="1"/>
  <c r="Q2005" i="3"/>
  <c r="R2005" i="3" s="1"/>
  <c r="Q2009" i="3"/>
  <c r="R2009" i="3" s="1"/>
  <c r="Q2010" i="3"/>
  <c r="R2010" i="3" s="1"/>
  <c r="Q2011" i="3"/>
  <c r="R2011" i="3" s="1"/>
  <c r="Q2012" i="3"/>
  <c r="R2012" i="3" s="1"/>
  <c r="Q2016" i="3"/>
  <c r="R2016" i="3" s="1"/>
  <c r="Q2017" i="3"/>
  <c r="R2017" i="3" s="1"/>
  <c r="Q2018" i="3"/>
  <c r="R2018" i="3" s="1"/>
  <c r="Q2019" i="3"/>
  <c r="R2019" i="3" s="1"/>
  <c r="Q2020" i="3"/>
  <c r="R2020" i="3" s="1"/>
  <c r="Q2021" i="3"/>
  <c r="R2021" i="3" s="1"/>
  <c r="G2022" i="3"/>
  <c r="H2022" i="3" s="1"/>
  <c r="Q2022" i="3"/>
  <c r="R2022" i="3" s="1"/>
  <c r="G2023" i="3"/>
  <c r="H2023" i="3" s="1"/>
  <c r="Q2023" i="3"/>
  <c r="R2023" i="3" s="1"/>
  <c r="G2024" i="3"/>
  <c r="H2024" i="3" s="1"/>
  <c r="Q2024" i="3"/>
  <c r="R2024" i="3" s="1"/>
  <c r="G2025" i="3"/>
  <c r="H2025" i="3" s="1"/>
  <c r="Q2025" i="3"/>
  <c r="R2025" i="3" s="1"/>
  <c r="G2026" i="3"/>
  <c r="H2026" i="3" s="1"/>
  <c r="Q2026" i="3"/>
  <c r="R2026" i="3" s="1"/>
  <c r="G2027" i="3"/>
  <c r="H2027" i="3" s="1"/>
  <c r="Q2027" i="3"/>
  <c r="R2027" i="3" s="1"/>
  <c r="G2028" i="3"/>
  <c r="H2028" i="3" s="1"/>
  <c r="Q2028" i="3"/>
  <c r="R2028" i="3" s="1"/>
  <c r="G2029" i="3"/>
  <c r="H2029" i="3" s="1"/>
  <c r="Q2029" i="3"/>
  <c r="R2029" i="3" s="1"/>
  <c r="G2030" i="3"/>
  <c r="H2030" i="3" s="1"/>
  <c r="Q2030" i="3"/>
  <c r="R2030" i="3" s="1"/>
  <c r="G2031" i="3"/>
  <c r="H2031" i="3" s="1"/>
  <c r="Q2031" i="3"/>
  <c r="R2031" i="3" s="1"/>
  <c r="G2032" i="3"/>
  <c r="H2032" i="3" s="1"/>
  <c r="Q2036" i="3"/>
  <c r="R2036" i="3" s="1"/>
  <c r="Q2037" i="3"/>
  <c r="R2037" i="3" s="1"/>
  <c r="Q2038" i="3"/>
  <c r="R2038" i="3" s="1"/>
  <c r="Q2039" i="3"/>
  <c r="R2039" i="3" s="1"/>
  <c r="Q2040" i="3"/>
  <c r="R2040" i="3" s="1"/>
  <c r="Q2044" i="3"/>
  <c r="R2044" i="3" s="1"/>
  <c r="Q2045" i="3"/>
  <c r="R2045" i="3" s="1"/>
  <c r="Q2046" i="3"/>
  <c r="R2046" i="3" s="1"/>
  <c r="Q2047" i="3"/>
  <c r="R2047" i="3" s="1"/>
  <c r="Q2054" i="3"/>
  <c r="R2054" i="3" s="1"/>
  <c r="Q2055" i="3"/>
  <c r="R2055" i="3" s="1"/>
  <c r="Q2056" i="3"/>
  <c r="R2056" i="3" s="1"/>
  <c r="Q2060" i="3"/>
  <c r="R2060" i="3" s="1"/>
  <c r="Q2061" i="3"/>
  <c r="R2061" i="3" s="1"/>
  <c r="Q2065" i="3"/>
  <c r="R2065" i="3" s="1"/>
  <c r="Q2066" i="3"/>
  <c r="R2066" i="3" s="1"/>
  <c r="Q2067" i="3"/>
  <c r="R2067" i="3" s="1"/>
  <c r="Q2071" i="3"/>
  <c r="R2071" i="3" s="1"/>
  <c r="Q2072" i="3"/>
  <c r="R2072" i="3" s="1"/>
  <c r="Q2073" i="3"/>
  <c r="R2073" i="3" s="1"/>
  <c r="Q2077" i="3"/>
  <c r="R2077" i="3" s="1"/>
  <c r="Q2078" i="3"/>
  <c r="R2078" i="3" s="1"/>
  <c r="Q2079" i="3"/>
  <c r="R2079" i="3" s="1"/>
  <c r="Q2080" i="3"/>
  <c r="R2080" i="3" s="1"/>
  <c r="Q2082" i="3"/>
  <c r="R2082" i="3" s="1"/>
  <c r="Q2086" i="3"/>
  <c r="R2086" i="3" s="1"/>
  <c r="Q2087" i="3"/>
  <c r="R2087" i="3" s="1"/>
  <c r="Q2092" i="3"/>
  <c r="R2092" i="3" s="1"/>
  <c r="Q2093" i="3"/>
  <c r="R2093" i="3" s="1"/>
  <c r="Q2097" i="3"/>
  <c r="R2097" i="3" s="1"/>
  <c r="Q2098" i="3"/>
  <c r="R2098" i="3" s="1"/>
  <c r="Q2099" i="3"/>
  <c r="R2099" i="3" s="1"/>
  <c r="Q2103" i="3"/>
  <c r="R2103" i="3" s="1"/>
  <c r="Q2104" i="3"/>
  <c r="R2104" i="3" s="1"/>
  <c r="Q2105" i="3"/>
  <c r="R2105" i="3" s="1"/>
  <c r="Q2106" i="3"/>
  <c r="R2106" i="3" s="1"/>
  <c r="Q2107" i="3"/>
  <c r="R2107" i="3" s="1"/>
  <c r="Q2108" i="3"/>
  <c r="R2108" i="3" s="1"/>
  <c r="Q2109" i="3"/>
  <c r="R2109" i="3" s="1"/>
  <c r="Q2113" i="3"/>
  <c r="R2113" i="3" s="1"/>
  <c r="Q2114" i="3"/>
  <c r="R2114" i="3" s="1"/>
  <c r="Q2115" i="3"/>
  <c r="R2115" i="3" s="1"/>
  <c r="Q2116" i="3"/>
  <c r="R2116" i="3" s="1"/>
  <c r="Q2117" i="3"/>
  <c r="R2117" i="3" s="1"/>
  <c r="Q2118" i="3"/>
  <c r="R2118" i="3" s="1"/>
  <c r="Q2119" i="3"/>
  <c r="R2119" i="3" s="1"/>
  <c r="Q2120" i="3"/>
  <c r="R2120" i="3" s="1"/>
  <c r="Q2131" i="3"/>
  <c r="R2131" i="3" s="1"/>
  <c r="Q2132" i="3"/>
  <c r="R2132" i="3" s="1"/>
  <c r="Q2133" i="3"/>
  <c r="R2133" i="3" s="1"/>
  <c r="Q2139" i="3"/>
  <c r="R2139" i="3" s="1"/>
  <c r="Q2140" i="3"/>
  <c r="R2140" i="3" s="1"/>
  <c r="Q2141" i="3"/>
  <c r="R2141" i="3" s="1"/>
  <c r="Q2142" i="3"/>
  <c r="R2142" i="3" s="1"/>
  <c r="Q2143" i="3"/>
  <c r="R2143" i="3" s="1"/>
  <c r="G2144" i="3"/>
  <c r="H2144" i="3" s="1"/>
  <c r="Q2144" i="3"/>
  <c r="R2144" i="3" s="1"/>
  <c r="G2145" i="3"/>
  <c r="H2145" i="3" s="1"/>
  <c r="Q2145" i="3"/>
  <c r="R2145" i="3" s="1"/>
  <c r="G2146" i="3"/>
  <c r="H2146" i="3" s="1"/>
  <c r="Q2146" i="3"/>
  <c r="R2146" i="3" s="1"/>
  <c r="G2147" i="3"/>
  <c r="H2147" i="3" s="1"/>
  <c r="Q2147" i="3"/>
  <c r="R2147" i="3" s="1"/>
  <c r="G2148" i="3"/>
  <c r="H2148" i="3" s="1"/>
  <c r="Q2152" i="3"/>
  <c r="R2152" i="3" s="1"/>
  <c r="Q2153" i="3"/>
  <c r="R2153" i="3" s="1"/>
  <c r="Q2154" i="3"/>
  <c r="R2154" i="3" s="1"/>
  <c r="Q2155" i="3"/>
  <c r="R2155" i="3" s="1"/>
  <c r="Q2156" i="3"/>
  <c r="R2156" i="3" s="1"/>
  <c r="G2157" i="3"/>
  <c r="H2157" i="3" s="1"/>
  <c r="Q2157" i="3"/>
  <c r="R2157" i="3" s="1"/>
  <c r="G2158" i="3"/>
  <c r="H2158" i="3" s="1"/>
  <c r="Q2158" i="3"/>
  <c r="R2158" i="3" s="1"/>
  <c r="G2159" i="3"/>
  <c r="H2159" i="3" s="1"/>
  <c r="Q2159" i="3"/>
  <c r="R2159" i="3" s="1"/>
  <c r="G2160" i="3"/>
  <c r="H2160" i="3" s="1"/>
  <c r="Q2160" i="3"/>
  <c r="R2160" i="3" s="1"/>
  <c r="G2161" i="3"/>
  <c r="H2161" i="3" s="1"/>
  <c r="G2170" i="3"/>
  <c r="H2170" i="3" s="1"/>
  <c r="Q2170" i="3"/>
  <c r="R2170" i="3" s="1"/>
  <c r="G2171" i="3"/>
  <c r="H2171" i="3" s="1"/>
  <c r="Q2171" i="3"/>
  <c r="R2171" i="3" s="1"/>
  <c r="G2172" i="3"/>
  <c r="H2172" i="3" s="1"/>
  <c r="Q2172" i="3"/>
  <c r="R2172" i="3" s="1"/>
  <c r="G2173" i="3"/>
  <c r="H2173" i="3" s="1"/>
  <c r="Q2173" i="3"/>
  <c r="R2173" i="3" s="1"/>
  <c r="G2174" i="3"/>
  <c r="H2174" i="3" s="1"/>
  <c r="Q2174" i="3"/>
  <c r="R2174" i="3" s="1"/>
  <c r="G2175" i="3"/>
  <c r="H2175" i="3" s="1"/>
  <c r="Q2175" i="3"/>
  <c r="R2175" i="3" s="1"/>
  <c r="G2176" i="3"/>
  <c r="H2176" i="3" s="1"/>
  <c r="Q2176" i="3"/>
  <c r="R2176" i="3" s="1"/>
  <c r="Q2177" i="3"/>
  <c r="R2177" i="3" s="1"/>
  <c r="J2181" i="3"/>
  <c r="Q2181" i="3"/>
  <c r="R2181" i="3" s="1"/>
  <c r="J2182" i="3"/>
  <c r="Q2182" i="3"/>
  <c r="R2182" i="3" s="1"/>
  <c r="J2183" i="3"/>
  <c r="Q2183" i="3"/>
  <c r="R2183" i="3" s="1"/>
  <c r="J2184" i="3"/>
  <c r="Q2184" i="3"/>
  <c r="R2184" i="3" s="1"/>
  <c r="J2185" i="3"/>
  <c r="Q2185" i="3"/>
  <c r="R2185" i="3" s="1"/>
  <c r="A2186" i="3"/>
  <c r="G2186" i="3"/>
  <c r="H2186" i="3" s="1"/>
  <c r="J2186" i="3"/>
  <c r="Q2186" i="3"/>
  <c r="R2186" i="3" s="1"/>
  <c r="A2187" i="3"/>
  <c r="G2187" i="3"/>
  <c r="H2187" i="3" s="1"/>
  <c r="G2195" i="3"/>
  <c r="H2195" i="3" s="1"/>
  <c r="Q2195" i="3"/>
  <c r="R2195" i="3" s="1"/>
  <c r="Q2199" i="3"/>
  <c r="R2199" i="3" s="1"/>
  <c r="Q2200" i="3"/>
  <c r="R2200" i="3" s="1"/>
  <c r="Q2201" i="3"/>
  <c r="R2201" i="3" s="1"/>
  <c r="Q2202" i="3"/>
  <c r="R2202" i="3" s="1"/>
  <c r="Q2203" i="3"/>
  <c r="R2203" i="3" s="1"/>
  <c r="G2204" i="3"/>
  <c r="H2204" i="3" s="1"/>
  <c r="Q2204" i="3"/>
  <c r="R2204" i="3" s="1"/>
  <c r="G2205" i="3"/>
  <c r="H2205" i="3" s="1"/>
  <c r="Q2205" i="3"/>
  <c r="R2205" i="3" s="1"/>
  <c r="G2206" i="3"/>
  <c r="H2206" i="3" s="1"/>
  <c r="Q2206" i="3"/>
  <c r="R2206" i="3" s="1"/>
  <c r="G2207" i="3"/>
  <c r="H2207" i="3" s="1"/>
  <c r="Q2207" i="3"/>
  <c r="R2207" i="3" s="1"/>
  <c r="G2208" i="3"/>
  <c r="H2208" i="3" s="1"/>
  <c r="Q2212" i="3"/>
  <c r="R2212" i="3" s="1"/>
  <c r="Q2213" i="3"/>
  <c r="R2213" i="3" s="1"/>
  <c r="Q2214" i="3"/>
  <c r="R2214" i="3" s="1"/>
  <c r="Q2215" i="3"/>
  <c r="R2215" i="3" s="1"/>
  <c r="G2216" i="3"/>
  <c r="H2216" i="3" s="1"/>
  <c r="Q2216" i="3"/>
  <c r="R2216" i="3" s="1"/>
  <c r="G2217" i="3"/>
  <c r="H2217" i="3" s="1"/>
  <c r="Q2217" i="3"/>
  <c r="R2217" i="3" s="1"/>
  <c r="G2218" i="3"/>
  <c r="H2218" i="3" s="1"/>
  <c r="Q2218" i="3"/>
  <c r="R2218" i="3" s="1"/>
  <c r="G2219" i="3"/>
  <c r="H2219" i="3" s="1"/>
  <c r="Q2219" i="3"/>
  <c r="R2219" i="3" s="1"/>
  <c r="G2220" i="3"/>
  <c r="H2220" i="3" s="1"/>
  <c r="Q2220" i="3"/>
  <c r="R2220" i="3" s="1"/>
  <c r="G2221" i="3"/>
  <c r="H2221" i="3" s="1"/>
  <c r="Q2221" i="3"/>
  <c r="R2221" i="3" s="1"/>
  <c r="G2222" i="3"/>
  <c r="H2222" i="3" s="1"/>
  <c r="Q2222" i="3"/>
  <c r="R2222" i="3" s="1"/>
  <c r="G2223" i="3"/>
  <c r="H2223" i="3" s="1"/>
  <c r="Q2223" i="3"/>
  <c r="R2223" i="3" s="1"/>
  <c r="G2224" i="3"/>
  <c r="H2224" i="3" s="1"/>
  <c r="Q2224" i="3"/>
  <c r="R2224" i="3" s="1"/>
  <c r="G2225" i="3"/>
  <c r="H2225" i="3" s="1"/>
  <c r="Q2225" i="3"/>
  <c r="R2225" i="3" s="1"/>
  <c r="G2226" i="3"/>
  <c r="H2226" i="3" s="1"/>
  <c r="G2236" i="3"/>
  <c r="H2236" i="3" s="1"/>
  <c r="Q2236" i="3"/>
  <c r="R2236" i="3" s="1"/>
</calcChain>
</file>

<file path=xl/sharedStrings.xml><?xml version="1.0" encoding="utf-8"?>
<sst xmlns="http://schemas.openxmlformats.org/spreadsheetml/2006/main" count="7530" uniqueCount="2522">
  <si>
    <t>ПРАЙС-ЛИСТ</t>
  </si>
  <si>
    <t>ТОВ "СИСТЕМИ КРІПЛЕННЯ"</t>
  </si>
  <si>
    <t>Київ, вул. генерала Наумова, 17-А</t>
  </si>
  <si>
    <t>(044) 201-02-00</t>
  </si>
  <si>
    <t>www.maysterfix.com</t>
  </si>
  <si>
    <t>ЗМІСТ</t>
  </si>
  <si>
    <t>Арт.</t>
  </si>
  <si>
    <t>Найменування товару</t>
  </si>
  <si>
    <t>Стр.</t>
  </si>
  <si>
    <t>01</t>
  </si>
  <si>
    <t>Шурупи, саморізи</t>
  </si>
  <si>
    <t>1</t>
  </si>
  <si>
    <t>02</t>
  </si>
  <si>
    <t>Дюбелі</t>
  </si>
  <si>
    <t>8</t>
  </si>
  <si>
    <t>023</t>
  </si>
  <si>
    <t>Дюбелі з шурупами</t>
  </si>
  <si>
    <t>9</t>
  </si>
  <si>
    <t>03</t>
  </si>
  <si>
    <t>Анкерна техніка</t>
  </si>
  <si>
    <t>10</t>
  </si>
  <si>
    <t>04</t>
  </si>
  <si>
    <t>Електротехнічне кріплення</t>
  </si>
  <si>
    <t>12</t>
  </si>
  <si>
    <t>05</t>
  </si>
  <si>
    <t>Хомути, сантехнічне кріплення</t>
  </si>
  <si>
    <t>13</t>
  </si>
  <si>
    <t>06</t>
  </si>
  <si>
    <t>Заклепки</t>
  </si>
  <si>
    <t>14</t>
  </si>
  <si>
    <t>07</t>
  </si>
  <si>
    <t>Санітарне кріплення</t>
  </si>
  <si>
    <t>08</t>
  </si>
  <si>
    <t>Болти</t>
  </si>
  <si>
    <t>09</t>
  </si>
  <si>
    <t>Гвинти</t>
  </si>
  <si>
    <t>17</t>
  </si>
  <si>
    <t>Цвяхи</t>
  </si>
  <si>
    <t>18</t>
  </si>
  <si>
    <t>11</t>
  </si>
  <si>
    <t>Гайки</t>
  </si>
  <si>
    <t>19</t>
  </si>
  <si>
    <t>Шайби</t>
  </si>
  <si>
    <t>20</t>
  </si>
  <si>
    <t>Такелаж</t>
  </si>
  <si>
    <t>21</t>
  </si>
  <si>
    <t>Троси</t>
  </si>
  <si>
    <t>24</t>
  </si>
  <si>
    <t>22</t>
  </si>
  <si>
    <t>Ланцюги</t>
  </si>
  <si>
    <t>25</t>
  </si>
  <si>
    <t>32</t>
  </si>
  <si>
    <t>Перфоровані кріплення</t>
  </si>
  <si>
    <t>26</t>
  </si>
  <si>
    <t>88</t>
  </si>
  <si>
    <t>Хімічні анкери</t>
  </si>
  <si>
    <t>30</t>
  </si>
  <si>
    <t>96</t>
  </si>
  <si>
    <t>Герметики</t>
  </si>
  <si>
    <t>97</t>
  </si>
  <si>
    <t>Інструмент</t>
  </si>
  <si>
    <t>Умови придбання продукції:</t>
  </si>
  <si>
    <t>Мінімальна сума замовлення від 500 грн.</t>
  </si>
  <si>
    <t>2</t>
  </si>
  <si>
    <t>Ціни вказані в гривнях з ПДВ за 100 штук на умовах EXW склад продавця.</t>
  </si>
  <si>
    <t>3</t>
  </si>
  <si>
    <t>Продукція відпускається зі складу в Києві.</t>
  </si>
  <si>
    <t>4</t>
  </si>
  <si>
    <t>Допустиме відхилення по кількості +- 3%</t>
  </si>
  <si>
    <t>5</t>
  </si>
  <si>
    <t>Повернення товару приймається лише у випадку обгрунтованого незадоволення якістю і у встановленому порядку.</t>
  </si>
  <si>
    <t>6</t>
  </si>
  <si>
    <t>Здійснюється безкоштовна доставка товару по м. Києву при сумі замовлення більше 8000 грн. Умови доставки по Україні договірні.</t>
  </si>
  <si>
    <t>7</t>
  </si>
  <si>
    <t>ТОВ "Системи Кріплення" залишає за собою право внесення змін в прайс-лист.</t>
  </si>
  <si>
    <t>01 Шурупи, саморізи</t>
  </si>
  <si>
    <t xml:space="preserve">01001 </t>
  </si>
  <si>
    <t>Шуруп універсальний</t>
  </si>
  <si>
    <t>Артикул</t>
  </si>
  <si>
    <t>Розмір</t>
  </si>
  <si>
    <t>Упаковка</t>
  </si>
  <si>
    <t>до 8000 грн.</t>
  </si>
  <si>
    <t>8000-25000 грн.</t>
  </si>
  <si>
    <t>у.е.</t>
  </si>
  <si>
    <t>Ціна за 100 шт.</t>
  </si>
  <si>
    <t>010014520</t>
  </si>
  <si>
    <t>х</t>
  </si>
  <si>
    <t>010014525</t>
  </si>
  <si>
    <t>500</t>
  </si>
  <si>
    <t>010014530</t>
  </si>
  <si>
    <t>матеріал: сталь 1018 або С1022, покриття: ЦЖ</t>
  </si>
  <si>
    <t>010014535</t>
  </si>
  <si>
    <t>голівка потайна, подвійна, шліц PZ</t>
  </si>
  <si>
    <t>010014540</t>
  </si>
  <si>
    <t>250</t>
  </si>
  <si>
    <t>010014545</t>
  </si>
  <si>
    <t>010014550</t>
  </si>
  <si>
    <t>010012516</t>
  </si>
  <si>
    <t>010014560</t>
  </si>
  <si>
    <t>010013012</t>
  </si>
  <si>
    <t>010014570</t>
  </si>
  <si>
    <t>200</t>
  </si>
  <si>
    <t>010013016</t>
  </si>
  <si>
    <t>010014580</t>
  </si>
  <si>
    <t>010013020</t>
  </si>
  <si>
    <t>010015016</t>
  </si>
  <si>
    <t>010013025</t>
  </si>
  <si>
    <t>010015020</t>
  </si>
  <si>
    <t>010013030</t>
  </si>
  <si>
    <t>010015025</t>
  </si>
  <si>
    <t>010013035</t>
  </si>
  <si>
    <t>010015030</t>
  </si>
  <si>
    <t>010013040</t>
  </si>
  <si>
    <t>010015035</t>
  </si>
  <si>
    <t>010013050</t>
  </si>
  <si>
    <t>010015040</t>
  </si>
  <si>
    <t>010013512</t>
  </si>
  <si>
    <t>010015050</t>
  </si>
  <si>
    <t>010013516</t>
  </si>
  <si>
    <t>010015060</t>
  </si>
  <si>
    <t>010013520</t>
  </si>
  <si>
    <t>010015070</t>
  </si>
  <si>
    <t>010013525</t>
  </si>
  <si>
    <t>010015080</t>
  </si>
  <si>
    <t>010013530</t>
  </si>
  <si>
    <t>010015090</t>
  </si>
  <si>
    <t>100</t>
  </si>
  <si>
    <t>010013535</t>
  </si>
  <si>
    <t>0100150100</t>
  </si>
  <si>
    <t>010013540</t>
  </si>
  <si>
    <t>0100150120</t>
  </si>
  <si>
    <t>010013545</t>
  </si>
  <si>
    <t>010016030</t>
  </si>
  <si>
    <t>010013550</t>
  </si>
  <si>
    <t>010016035</t>
  </si>
  <si>
    <t>010013560</t>
  </si>
  <si>
    <t>010016040</t>
  </si>
  <si>
    <t>010014012</t>
  </si>
  <si>
    <t>010016045</t>
  </si>
  <si>
    <t>010014016</t>
  </si>
  <si>
    <t>010016050</t>
  </si>
  <si>
    <t>010014020</t>
  </si>
  <si>
    <t>010016060</t>
  </si>
  <si>
    <t>010014025</t>
  </si>
  <si>
    <t>010016070</t>
  </si>
  <si>
    <t>010014030</t>
  </si>
  <si>
    <t>010016080</t>
  </si>
  <si>
    <t>010014035</t>
  </si>
  <si>
    <t>010016090</t>
  </si>
  <si>
    <t>010014040</t>
  </si>
  <si>
    <t>0100160100</t>
  </si>
  <si>
    <t>010014045</t>
  </si>
  <si>
    <t>0100160120</t>
  </si>
  <si>
    <t>010014050</t>
  </si>
  <si>
    <t>0100160140</t>
  </si>
  <si>
    <t>010014055</t>
  </si>
  <si>
    <t>0100160160</t>
  </si>
  <si>
    <t>50</t>
  </si>
  <si>
    <t>010014060</t>
  </si>
  <si>
    <t>0100160180</t>
  </si>
  <si>
    <t>010014070</t>
  </si>
  <si>
    <t>0100160200</t>
  </si>
  <si>
    <t>010014516</t>
  </si>
  <si>
    <t>0100160220</t>
  </si>
  <si>
    <t>01002</t>
  </si>
  <si>
    <t>матеріал: сталь 1018 або С1022, покриття: ЦБ</t>
  </si>
  <si>
    <t>голівка напівкругла, шліц PZ</t>
  </si>
  <si>
    <t>010024530</t>
  </si>
  <si>
    <t>010024540</t>
  </si>
  <si>
    <t>010024545</t>
  </si>
  <si>
    <t>1000</t>
  </si>
  <si>
    <t>010025020</t>
  </si>
  <si>
    <t>010025025</t>
  </si>
  <si>
    <t>010025030</t>
  </si>
  <si>
    <t>010025040</t>
  </si>
  <si>
    <t>010025045</t>
  </si>
  <si>
    <t>010025050</t>
  </si>
  <si>
    <t>010025060</t>
  </si>
  <si>
    <t>010025070</t>
  </si>
  <si>
    <t>010025080</t>
  </si>
  <si>
    <t>300</t>
  </si>
  <si>
    <t>010025090</t>
  </si>
  <si>
    <t>010026030</t>
  </si>
  <si>
    <t>010026040</t>
  </si>
  <si>
    <t>010026050</t>
  </si>
  <si>
    <t>010026060</t>
  </si>
  <si>
    <t>010026070</t>
  </si>
  <si>
    <t>010026080</t>
  </si>
  <si>
    <t xml:space="preserve">01005 </t>
  </si>
  <si>
    <t>Шуруп по дереву</t>
  </si>
  <si>
    <t>010050818</t>
  </si>
  <si>
    <t>010050820</t>
  </si>
  <si>
    <t>40</t>
  </si>
  <si>
    <t>матеріал: сталь С1018 або С1022</t>
  </si>
  <si>
    <t>010050824</t>
  </si>
  <si>
    <t>голівка шестигранна</t>
  </si>
  <si>
    <t>010050826</t>
  </si>
  <si>
    <t>010050830</t>
  </si>
  <si>
    <t>010051070</t>
  </si>
  <si>
    <t>010050540</t>
  </si>
  <si>
    <t>010051080</t>
  </si>
  <si>
    <t>010050550</t>
  </si>
  <si>
    <t>010051090</t>
  </si>
  <si>
    <t>010050630</t>
  </si>
  <si>
    <t>010051010</t>
  </si>
  <si>
    <t>010050640</t>
  </si>
  <si>
    <t>010051012</t>
  </si>
  <si>
    <t>010050650</t>
  </si>
  <si>
    <t>010051014</t>
  </si>
  <si>
    <t>010050660</t>
  </si>
  <si>
    <t>010051016</t>
  </si>
  <si>
    <t>010050670</t>
  </si>
  <si>
    <t>010050680</t>
  </si>
  <si>
    <t>010051020</t>
  </si>
  <si>
    <t>010050690</t>
  </si>
  <si>
    <t>010051024</t>
  </si>
  <si>
    <t>010050610</t>
  </si>
  <si>
    <t>010051026</t>
  </si>
  <si>
    <t>010050612</t>
  </si>
  <si>
    <t>010051030</t>
  </si>
  <si>
    <t>010050614</t>
  </si>
  <si>
    <t>010051280</t>
  </si>
  <si>
    <t>010050840</t>
  </si>
  <si>
    <t>010051210</t>
  </si>
  <si>
    <t>010050850</t>
  </si>
  <si>
    <t>010051212</t>
  </si>
  <si>
    <t>010050860</t>
  </si>
  <si>
    <t>010050870</t>
  </si>
  <si>
    <t>010051216</t>
  </si>
  <si>
    <t>010050880</t>
  </si>
  <si>
    <t>010051218</t>
  </si>
  <si>
    <t>010050890</t>
  </si>
  <si>
    <t>010051220</t>
  </si>
  <si>
    <t>010050810</t>
  </si>
  <si>
    <t>010051224</t>
  </si>
  <si>
    <t>010050812</t>
  </si>
  <si>
    <t>010051226</t>
  </si>
  <si>
    <t>010050814</t>
  </si>
  <si>
    <t>010051228</t>
  </si>
  <si>
    <t>010050816</t>
  </si>
  <si>
    <t>010051230</t>
  </si>
  <si>
    <t>01016</t>
  </si>
  <si>
    <t>Шуруп конструкційний</t>
  </si>
  <si>
    <t>010165100</t>
  </si>
  <si>
    <t>010165110</t>
  </si>
  <si>
    <t>головка потайна</t>
  </si>
  <si>
    <t>010165120</t>
  </si>
  <si>
    <t>ЦЖ</t>
  </si>
  <si>
    <t>010160640</t>
  </si>
  <si>
    <t>010160650</t>
  </si>
  <si>
    <t>010160660</t>
  </si>
  <si>
    <t>010160330</t>
  </si>
  <si>
    <t>010160670</t>
  </si>
  <si>
    <t>010160335</t>
  </si>
  <si>
    <t>1001</t>
  </si>
  <si>
    <t>010160680</t>
  </si>
  <si>
    <t>010160340</t>
  </si>
  <si>
    <t>1002</t>
  </si>
  <si>
    <t>010160690</t>
  </si>
  <si>
    <t>010163530</t>
  </si>
  <si>
    <t>010166100</t>
  </si>
  <si>
    <t>010163535</t>
  </si>
  <si>
    <t>010166120</t>
  </si>
  <si>
    <t>010163540</t>
  </si>
  <si>
    <t>010166140</t>
  </si>
  <si>
    <t>010163550</t>
  </si>
  <si>
    <t>010166160</t>
  </si>
  <si>
    <t>010160425</t>
  </si>
  <si>
    <t>010166180</t>
  </si>
  <si>
    <t>010160430</t>
  </si>
  <si>
    <t>010166200</t>
  </si>
  <si>
    <t>010160435</t>
  </si>
  <si>
    <t>010166220</t>
  </si>
  <si>
    <t>010160440</t>
  </si>
  <si>
    <t>010166240</t>
  </si>
  <si>
    <t>010160445</t>
  </si>
  <si>
    <t>010166260</t>
  </si>
  <si>
    <t>010160450</t>
  </si>
  <si>
    <t>010166280</t>
  </si>
  <si>
    <t>010160460</t>
  </si>
  <si>
    <t>010166300</t>
  </si>
  <si>
    <t>010160470</t>
  </si>
  <si>
    <t>010160880</t>
  </si>
  <si>
    <t>010164525</t>
  </si>
  <si>
    <t>010160890</t>
  </si>
  <si>
    <t>010164530</t>
  </si>
  <si>
    <t>010168100</t>
  </si>
  <si>
    <t>010164535</t>
  </si>
  <si>
    <t>010168120</t>
  </si>
  <si>
    <t>010164540</t>
  </si>
  <si>
    <t>010168140</t>
  </si>
  <si>
    <t>010164545</t>
  </si>
  <si>
    <t>010168160</t>
  </si>
  <si>
    <t>010164550</t>
  </si>
  <si>
    <t>010168180</t>
  </si>
  <si>
    <t>010164560</t>
  </si>
  <si>
    <t>010168200</t>
  </si>
  <si>
    <t>010164570</t>
  </si>
  <si>
    <t>010168220</t>
  </si>
  <si>
    <t>010164580</t>
  </si>
  <si>
    <t>010168240</t>
  </si>
  <si>
    <t>010160530</t>
  </si>
  <si>
    <t>010168260</t>
  </si>
  <si>
    <t>010160535</t>
  </si>
  <si>
    <t>010168280</t>
  </si>
  <si>
    <t>010160540</t>
  </si>
  <si>
    <t>010168300</t>
  </si>
  <si>
    <t>010160550</t>
  </si>
  <si>
    <t>010168320</t>
  </si>
  <si>
    <t>010160555</t>
  </si>
  <si>
    <t>010168340</t>
  </si>
  <si>
    <t>010160560</t>
  </si>
  <si>
    <t>010168360</t>
  </si>
  <si>
    <t>010160570</t>
  </si>
  <si>
    <t>010168380</t>
  </si>
  <si>
    <t>010160580</t>
  </si>
  <si>
    <t>010168400</t>
  </si>
  <si>
    <t>010160590</t>
  </si>
  <si>
    <t>01017</t>
  </si>
  <si>
    <t>010178100</t>
  </si>
  <si>
    <t>010178120</t>
  </si>
  <si>
    <t>головка з прес-шайбою</t>
  </si>
  <si>
    <t>010178140</t>
  </si>
  <si>
    <t>010178160</t>
  </si>
  <si>
    <t>010178180</t>
  </si>
  <si>
    <t>010178200</t>
  </si>
  <si>
    <t>010170650</t>
  </si>
  <si>
    <t>010178220</t>
  </si>
  <si>
    <t>010170660</t>
  </si>
  <si>
    <t>010178240</t>
  </si>
  <si>
    <t>010170670</t>
  </si>
  <si>
    <t>010178260</t>
  </si>
  <si>
    <t>010170680</t>
  </si>
  <si>
    <t>010171080</t>
  </si>
  <si>
    <t>010176100</t>
  </si>
  <si>
    <t>010171010</t>
  </si>
  <si>
    <t>010176120</t>
  </si>
  <si>
    <t>010171012</t>
  </si>
  <si>
    <t>010176140</t>
  </si>
  <si>
    <t>010171014</t>
  </si>
  <si>
    <t>010176160</t>
  </si>
  <si>
    <t>010171016</t>
  </si>
  <si>
    <t>010176180</t>
  </si>
  <si>
    <t>010171018</t>
  </si>
  <si>
    <t>010176200</t>
  </si>
  <si>
    <t>010171020</t>
  </si>
  <si>
    <t>010170880</t>
  </si>
  <si>
    <t>010171022</t>
  </si>
  <si>
    <t>010170890</t>
  </si>
  <si>
    <t>010171024</t>
  </si>
  <si>
    <t xml:space="preserve">01007 </t>
  </si>
  <si>
    <t>Шпилька-шуруп</t>
  </si>
  <si>
    <t>010070816</t>
  </si>
  <si>
    <t>010070820</t>
  </si>
  <si>
    <t>матеріал: сталь С018 або С1022</t>
  </si>
  <si>
    <t>010070825</t>
  </si>
  <si>
    <t>010071060</t>
  </si>
  <si>
    <t>010071080</t>
  </si>
  <si>
    <t>010070660</t>
  </si>
  <si>
    <t>x</t>
  </si>
  <si>
    <t>010071010</t>
  </si>
  <si>
    <t>010070680</t>
  </si>
  <si>
    <t>010071012</t>
  </si>
  <si>
    <t>010070860</t>
  </si>
  <si>
    <t>010071014</t>
  </si>
  <si>
    <t>010070880</t>
  </si>
  <si>
    <t>010071018</t>
  </si>
  <si>
    <t>010070810</t>
  </si>
  <si>
    <t>010071020</t>
  </si>
  <si>
    <t>010070812</t>
  </si>
  <si>
    <t>010071025</t>
  </si>
  <si>
    <t>010070814</t>
  </si>
  <si>
    <t>010071210</t>
  </si>
  <si>
    <t>010080</t>
  </si>
  <si>
    <t>Стрижень різьбовий DIN 975</t>
  </si>
  <si>
    <t>Ціна за 1 шт.</t>
  </si>
  <si>
    <t>0100801410</t>
  </si>
  <si>
    <t>M14</t>
  </si>
  <si>
    <t>0100801610</t>
  </si>
  <si>
    <t>M16</t>
  </si>
  <si>
    <t>0100801810</t>
  </si>
  <si>
    <t>M18</t>
  </si>
  <si>
    <t>0100802010</t>
  </si>
  <si>
    <t>M20</t>
  </si>
  <si>
    <t>0100802410</t>
  </si>
  <si>
    <t>M24</t>
  </si>
  <si>
    <t>0100800310</t>
  </si>
  <si>
    <t>М3</t>
  </si>
  <si>
    <t>0100803010</t>
  </si>
  <si>
    <t>M30</t>
  </si>
  <si>
    <t>0100800410</t>
  </si>
  <si>
    <t>M4</t>
  </si>
  <si>
    <t>0100800620</t>
  </si>
  <si>
    <t>M6</t>
  </si>
  <si>
    <t>0100800510</t>
  </si>
  <si>
    <t>M5</t>
  </si>
  <si>
    <t>0100800820</t>
  </si>
  <si>
    <t>M8</t>
  </si>
  <si>
    <t>0100800610</t>
  </si>
  <si>
    <t>0100801020</t>
  </si>
  <si>
    <t>M10</t>
  </si>
  <si>
    <t>0100800810</t>
  </si>
  <si>
    <t>0100801220</t>
  </si>
  <si>
    <t>M12</t>
  </si>
  <si>
    <t>0100801010</t>
  </si>
  <si>
    <t>0100801420</t>
  </si>
  <si>
    <t>0100801210</t>
  </si>
  <si>
    <t>0100801620</t>
  </si>
  <si>
    <t>010081</t>
  </si>
  <si>
    <t>01009</t>
  </si>
  <si>
    <t>Стрижень різьбовий DIN 975 класу 8,8</t>
  </si>
  <si>
    <t>Стрижень різьбовий DIN 976 нержавіючий</t>
  </si>
  <si>
    <t>матеріал: сталь</t>
  </si>
  <si>
    <t>матеріал: сталь нержавіюча А2</t>
  </si>
  <si>
    <t>0100810001</t>
  </si>
  <si>
    <t>010090002</t>
  </si>
  <si>
    <t>0100810002</t>
  </si>
  <si>
    <t>010090003</t>
  </si>
  <si>
    <t>0100810003</t>
  </si>
  <si>
    <t>010090004</t>
  </si>
  <si>
    <t>0100810004</t>
  </si>
  <si>
    <t>010090005</t>
  </si>
  <si>
    <t>0100810005</t>
  </si>
  <si>
    <t>010090006</t>
  </si>
  <si>
    <t>0100810006</t>
  </si>
  <si>
    <t>01012</t>
  </si>
  <si>
    <t>Шуруп з L-гаком</t>
  </si>
  <si>
    <t>010126060</t>
  </si>
  <si>
    <t>010126080</t>
  </si>
  <si>
    <t>010128080</t>
  </si>
  <si>
    <t>Покриття: ЦБ</t>
  </si>
  <si>
    <t>010128010</t>
  </si>
  <si>
    <t>010128012</t>
  </si>
  <si>
    <t>010121010</t>
  </si>
  <si>
    <t>010121018</t>
  </si>
  <si>
    <t>010123535</t>
  </si>
  <si>
    <t>010121020</t>
  </si>
  <si>
    <t>010124040</t>
  </si>
  <si>
    <t>010121022</t>
  </si>
  <si>
    <t>010125050</t>
  </si>
  <si>
    <t>010121025</t>
  </si>
  <si>
    <t>01004 Конфірмат</t>
  </si>
  <si>
    <t>010040001</t>
  </si>
  <si>
    <t>010040002</t>
  </si>
  <si>
    <t>матеріал: сталь С1010</t>
  </si>
  <si>
    <t>010040003</t>
  </si>
  <si>
    <t>головка потайна, шліц шестигранний №4</t>
  </si>
  <si>
    <t>010040004</t>
  </si>
  <si>
    <t xml:space="preserve">89003 </t>
  </si>
  <si>
    <t>Заглушка  на конфірмат</t>
  </si>
  <si>
    <t>89004</t>
  </si>
  <si>
    <t>Заглушка на саморіз</t>
  </si>
  <si>
    <t>матеріал: поліетилен</t>
  </si>
  <si>
    <t>під шліц: шестигранний №4</t>
  </si>
  <si>
    <t>під шліц:  РН</t>
  </si>
  <si>
    <t>089003</t>
  </si>
  <si>
    <t>089004</t>
  </si>
  <si>
    <t xml:space="preserve"> </t>
  </si>
  <si>
    <t>Кольори заглушок:</t>
  </si>
  <si>
    <t>бук, вишня, вільха світла, вільха темна, горіх, дуб, дуб світлий,</t>
  </si>
  <si>
    <t xml:space="preserve">біла, бук, вишня, вільха темна, горіх, дуб, дуб світлий, жовтий, </t>
  </si>
  <si>
    <t xml:space="preserve">дуб седан, жовтий, кальвадос, клен, махагон, світло-сіра, синя, </t>
  </si>
  <si>
    <t>кальвадос, клен, махагон, світло-сіра, синя, сосна, чорна, яблуня</t>
  </si>
  <si>
    <t xml:space="preserve">сосна, темно-сіра, чорна, яблуня, яблуня Івонка </t>
  </si>
  <si>
    <t>01021 Саморіз для г/к зі сверлом</t>
  </si>
  <si>
    <t xml:space="preserve">матеріал: сталь С1022, </t>
  </si>
  <si>
    <t>голівка: потайна</t>
  </si>
  <si>
    <t>покриття: фосфат, гострий, голіка: напівкругла</t>
  </si>
  <si>
    <t>010220008</t>
  </si>
  <si>
    <t>покриття: фосфат, свердло,  голіка: напівкругла</t>
  </si>
  <si>
    <t>010210005</t>
  </si>
  <si>
    <t>010210001</t>
  </si>
  <si>
    <t>010210006</t>
  </si>
  <si>
    <t>010210002</t>
  </si>
  <si>
    <t>010210007</t>
  </si>
  <si>
    <t>покриття: цинк, свердло,  голіка: напівкругла</t>
  </si>
  <si>
    <t>010210003</t>
  </si>
  <si>
    <t>010210004</t>
  </si>
  <si>
    <t>01022 Саморіз по металу з прес-шайбою</t>
  </si>
  <si>
    <t>010224219</t>
  </si>
  <si>
    <t>010224225</t>
  </si>
  <si>
    <t>матеріал: сталь С1018, голівка з прес-шайбою</t>
  </si>
  <si>
    <t>010224232</t>
  </si>
  <si>
    <t>010224241</t>
  </si>
  <si>
    <t>010224251</t>
  </si>
  <si>
    <t>010224214</t>
  </si>
  <si>
    <t>010224265</t>
  </si>
  <si>
    <t>010224216</t>
  </si>
  <si>
    <t>01023 Саморіз по металу зі свердлом з прес-шайбою</t>
  </si>
  <si>
    <t>010234219</t>
  </si>
  <si>
    <t>010234225</t>
  </si>
  <si>
    <t>010234232</t>
  </si>
  <si>
    <t>010234241</t>
  </si>
  <si>
    <t>010234251</t>
  </si>
  <si>
    <t>010234214</t>
  </si>
  <si>
    <t>010234265</t>
  </si>
  <si>
    <t>010234216</t>
  </si>
  <si>
    <t>01025</t>
  </si>
  <si>
    <t>Саморіз для г/к по дереву</t>
  </si>
  <si>
    <t>матеріал: сталь С1022</t>
  </si>
  <si>
    <t>голівка потайна, шліц РН, різьба по дереву</t>
  </si>
  <si>
    <t>01026</t>
  </si>
  <si>
    <t>Саморіз для г/к по металу</t>
  </si>
  <si>
    <t>голівка потайна, шліц РН, різьба по металу</t>
  </si>
  <si>
    <t xml:space="preserve">01030 </t>
  </si>
  <si>
    <t>Саморіз віконний зі свердлом</t>
  </si>
  <si>
    <t>матеріал: сталь С1022, DIN 7504 P</t>
  </si>
  <si>
    <t>голівка потайна (з насічками), d=7,2 мм, шліц  РН#2</t>
  </si>
  <si>
    <t xml:space="preserve">01033 </t>
  </si>
  <si>
    <t>Саморіз для ПВХ</t>
  </si>
  <si>
    <t>матеріал: сталь С1018</t>
  </si>
  <si>
    <t xml:space="preserve">голівка: потайна, d=7 мм, шліц РН#2, </t>
  </si>
  <si>
    <t>різьба: двозаходна, Hi-Lo</t>
  </si>
  <si>
    <t xml:space="preserve">голівка: потайна, d=7,2 мм, шліц РН#2, </t>
  </si>
  <si>
    <t>01038</t>
  </si>
  <si>
    <t>Саморіз  покрівельний по металу зі свердлом</t>
  </si>
  <si>
    <t>010384819</t>
  </si>
  <si>
    <t>010384835</t>
  </si>
  <si>
    <t>матеріал: сталь С1022, покриття: ЦБ</t>
  </si>
  <si>
    <t>010385525</t>
  </si>
  <si>
    <t>голівка: шестигранна, з шайбою EPDM</t>
  </si>
  <si>
    <t>010385538</t>
  </si>
  <si>
    <t>01039</t>
  </si>
  <si>
    <t>Саморіз покрівельний по металу фарбований зі свердлом</t>
  </si>
  <si>
    <t>голівка: шестигранна, фарбована з шайбою EPDM</t>
  </si>
  <si>
    <t xml:space="preserve">Варіанти фарбування (стандарт RAL): </t>
  </si>
  <si>
    <t>1015 (св. слон кістка)</t>
  </si>
  <si>
    <t>3009 (темно-червоний)</t>
  </si>
  <si>
    <t>5005 (яскраво-синій)</t>
  </si>
  <si>
    <t>6005 (яскраво-зелений)</t>
  </si>
  <si>
    <t>8019 (сіро-коричневий)</t>
  </si>
  <si>
    <t>3003 (рубіновий)</t>
  </si>
  <si>
    <t>3011 (яскраво-червоний)</t>
  </si>
  <si>
    <t>5010 (синій)</t>
  </si>
  <si>
    <t>8004 (мідно-коричневий)</t>
  </si>
  <si>
    <t>9003 (яскраво-білий)</t>
  </si>
  <si>
    <t>5002 (ультрамарин.-синій)</t>
  </si>
  <si>
    <t>6002 (зелений)</t>
  </si>
  <si>
    <t>8017 (коричневий)</t>
  </si>
  <si>
    <t>9006 (срібло)</t>
  </si>
  <si>
    <t xml:space="preserve">01040 </t>
  </si>
  <si>
    <t>Саморіз  покрівельний по дереву зі свердлом</t>
  </si>
  <si>
    <t xml:space="preserve">01041 </t>
  </si>
  <si>
    <t>Саморіз покрівельний по дереву фарбований зі свердлом</t>
  </si>
  <si>
    <t>010414835</t>
  </si>
  <si>
    <t>010414855</t>
  </si>
  <si>
    <t>010414870</t>
  </si>
  <si>
    <t>7024 (сірий-графіт)</t>
  </si>
  <si>
    <t>3005 (вишневий)</t>
  </si>
  <si>
    <t>9010 (білий)</t>
  </si>
  <si>
    <t>01044</t>
  </si>
  <si>
    <t>Саморіз з посиленим свердлом</t>
  </si>
  <si>
    <t>010440002</t>
  </si>
  <si>
    <t>010440004</t>
  </si>
  <si>
    <t>010440006</t>
  </si>
  <si>
    <t>010440007</t>
  </si>
  <si>
    <t>голівка: шестигранна, посилене свердло</t>
  </si>
  <si>
    <t>010440008</t>
  </si>
  <si>
    <t>01045</t>
  </si>
  <si>
    <t>Саморіз  для сендвіч-панелей /мет</t>
  </si>
  <si>
    <t>010450001</t>
  </si>
  <si>
    <t>010450002</t>
  </si>
  <si>
    <t>010450003</t>
  </si>
  <si>
    <t>010450004</t>
  </si>
  <si>
    <t>голівка: шестигранна з прес-шайбою</t>
  </si>
  <si>
    <t>010450005</t>
  </si>
  <si>
    <t>010450006</t>
  </si>
  <si>
    <t>010450007</t>
  </si>
  <si>
    <t>010450008</t>
  </si>
  <si>
    <t xml:space="preserve">01043 </t>
  </si>
  <si>
    <t>Саморіз зі свердлом</t>
  </si>
  <si>
    <t>010435519</t>
  </si>
  <si>
    <t>010435525</t>
  </si>
  <si>
    <t>010435532</t>
  </si>
  <si>
    <t>голівка: шестигранна з напрес. Шайбою</t>
  </si>
  <si>
    <t>010435538</t>
  </si>
  <si>
    <t>010435545</t>
  </si>
  <si>
    <t>010435550</t>
  </si>
  <si>
    <t>010434213</t>
  </si>
  <si>
    <t>010435560</t>
  </si>
  <si>
    <t>010434216</t>
  </si>
  <si>
    <t>010435575</t>
  </si>
  <si>
    <t>010434219</t>
  </si>
  <si>
    <t>010436319</t>
  </si>
  <si>
    <t>010434225</t>
  </si>
  <si>
    <t>010436325</t>
  </si>
  <si>
    <t>010434232</t>
  </si>
  <si>
    <t>010436332</t>
  </si>
  <si>
    <t>010434813</t>
  </si>
  <si>
    <t>010436338</t>
  </si>
  <si>
    <t>010434816</t>
  </si>
  <si>
    <t>010436350</t>
  </si>
  <si>
    <t>010434819</t>
  </si>
  <si>
    <t>010436360</t>
  </si>
  <si>
    <t>010434825</t>
  </si>
  <si>
    <t>010436363</t>
  </si>
  <si>
    <t>010434832</t>
  </si>
  <si>
    <t>010436370</t>
  </si>
  <si>
    <t>010434838</t>
  </si>
  <si>
    <t>010436375</t>
  </si>
  <si>
    <t>010434845</t>
  </si>
  <si>
    <t>010436390</t>
  </si>
  <si>
    <t>010434850</t>
  </si>
  <si>
    <t>0104363100</t>
  </si>
  <si>
    <t>010434860</t>
  </si>
  <si>
    <t>0104363120</t>
  </si>
  <si>
    <t>010434875</t>
  </si>
  <si>
    <t xml:space="preserve">01049 </t>
  </si>
  <si>
    <t>Саморіз  по металу</t>
  </si>
  <si>
    <t>010494295</t>
  </si>
  <si>
    <t>010494213</t>
  </si>
  <si>
    <t>010494216</t>
  </si>
  <si>
    <t>матеріал: сталь С1022, DIN 7982</t>
  </si>
  <si>
    <t>010494219</t>
  </si>
  <si>
    <t>010494222</t>
  </si>
  <si>
    <t>010494225</t>
  </si>
  <si>
    <t>010494232</t>
  </si>
  <si>
    <t>010492965</t>
  </si>
  <si>
    <t>010494238</t>
  </si>
  <si>
    <t>010492995</t>
  </si>
  <si>
    <t>010494245</t>
  </si>
  <si>
    <t>010492913</t>
  </si>
  <si>
    <t>010494250</t>
  </si>
  <si>
    <t>010492916</t>
  </si>
  <si>
    <t>010494895</t>
  </si>
  <si>
    <t>010492919</t>
  </si>
  <si>
    <t>010494813</t>
  </si>
  <si>
    <t>010492922</t>
  </si>
  <si>
    <t>010494816</t>
  </si>
  <si>
    <t>010492925</t>
  </si>
  <si>
    <t>010494819</t>
  </si>
  <si>
    <t>010493595</t>
  </si>
  <si>
    <t>010494822</t>
  </si>
  <si>
    <t>010493513</t>
  </si>
  <si>
    <t>010494825</t>
  </si>
  <si>
    <t>010493516</t>
  </si>
  <si>
    <t>010494832</t>
  </si>
  <si>
    <t>010493519</t>
  </si>
  <si>
    <t>010494838</t>
  </si>
  <si>
    <t>010493522</t>
  </si>
  <si>
    <t>010494845</t>
  </si>
  <si>
    <t>010493525</t>
  </si>
  <si>
    <t>010494850</t>
  </si>
  <si>
    <t>010493995</t>
  </si>
  <si>
    <t>010496316</t>
  </si>
  <si>
    <t>010493913</t>
  </si>
  <si>
    <t>010496319</t>
  </si>
  <si>
    <t>010493916</t>
  </si>
  <si>
    <t>010496325</t>
  </si>
  <si>
    <t>010493919</t>
  </si>
  <si>
    <t>010496332</t>
  </si>
  <si>
    <t>010493922</t>
  </si>
  <si>
    <t>010496338</t>
  </si>
  <si>
    <t>010493925</t>
  </si>
  <si>
    <t>010496350</t>
  </si>
  <si>
    <t>010493932</t>
  </si>
  <si>
    <t>010496363</t>
  </si>
  <si>
    <t>010493938</t>
  </si>
  <si>
    <t>01050</t>
  </si>
  <si>
    <t xml:space="preserve"> Саморіз  по металу</t>
  </si>
  <si>
    <t>010504216</t>
  </si>
  <si>
    <t>010504219</t>
  </si>
  <si>
    <t>матеріал: сталь С1022, DIN 7981</t>
  </si>
  <si>
    <t>010504222</t>
  </si>
  <si>
    <t>голівка: напівкругла</t>
  </si>
  <si>
    <t>010504225</t>
  </si>
  <si>
    <t>010504232</t>
  </si>
  <si>
    <t>010504238</t>
  </si>
  <si>
    <t>010502965</t>
  </si>
  <si>
    <t>010504245</t>
  </si>
  <si>
    <t>010502995</t>
  </si>
  <si>
    <t>010504250</t>
  </si>
  <si>
    <t>010502913</t>
  </si>
  <si>
    <t>010504895</t>
  </si>
  <si>
    <t>010502916</t>
  </si>
  <si>
    <t>010504813</t>
  </si>
  <si>
    <t>010502919</t>
  </si>
  <si>
    <t>010504816</t>
  </si>
  <si>
    <t>010502922</t>
  </si>
  <si>
    <t>010504819</t>
  </si>
  <si>
    <t>010502925</t>
  </si>
  <si>
    <t>010504822</t>
  </si>
  <si>
    <t>010503565</t>
  </si>
  <si>
    <t>010504825</t>
  </si>
  <si>
    <t>010503595</t>
  </si>
  <si>
    <t>010504832</t>
  </si>
  <si>
    <t>010503513</t>
  </si>
  <si>
    <t>010504838</t>
  </si>
  <si>
    <t>010503516</t>
  </si>
  <si>
    <t>010504845</t>
  </si>
  <si>
    <t>010503519</t>
  </si>
  <si>
    <t>010504850</t>
  </si>
  <si>
    <t>010503522</t>
  </si>
  <si>
    <t>010506316</t>
  </si>
  <si>
    <t>010503525</t>
  </si>
  <si>
    <t>010506319</t>
  </si>
  <si>
    <t>010503532</t>
  </si>
  <si>
    <t>010506322</t>
  </si>
  <si>
    <t>010503995</t>
  </si>
  <si>
    <t>010506325</t>
  </si>
  <si>
    <t>010503913</t>
  </si>
  <si>
    <t>010506332</t>
  </si>
  <si>
    <t>010503916</t>
  </si>
  <si>
    <t>010506338</t>
  </si>
  <si>
    <t>010503919</t>
  </si>
  <si>
    <t>010506345</t>
  </si>
  <si>
    <t>010503922</t>
  </si>
  <si>
    <t>010506350</t>
  </si>
  <si>
    <t>010503925</t>
  </si>
  <si>
    <t>010506363</t>
  </si>
  <si>
    <t>010503932</t>
  </si>
  <si>
    <t>010506370</t>
  </si>
  <si>
    <t>010503938</t>
  </si>
  <si>
    <t>010506380</t>
  </si>
  <si>
    <t>010504295</t>
  </si>
  <si>
    <t>010506390</t>
  </si>
  <si>
    <t>010504213</t>
  </si>
  <si>
    <t xml:space="preserve">01051 </t>
  </si>
  <si>
    <t>Саморіз  рамний</t>
  </si>
  <si>
    <t>010510001</t>
  </si>
  <si>
    <t>010510002</t>
  </si>
  <si>
    <t>матеріал: сталь С1022 гартована</t>
  </si>
  <si>
    <t>010510003</t>
  </si>
  <si>
    <t>голівка потайна з 6-ма насічками</t>
  </si>
  <si>
    <t>010510004</t>
  </si>
  <si>
    <t>різьба зі спіралеподібною проточкою, шліц Т-30</t>
  </si>
  <si>
    <t>010510005</t>
  </si>
  <si>
    <t>010510006</t>
  </si>
  <si>
    <t>010510007</t>
  </si>
  <si>
    <t>010510008</t>
  </si>
  <si>
    <t xml:space="preserve">01054 </t>
  </si>
  <si>
    <t>Саморіз зі свердлом DIN7504N</t>
  </si>
  <si>
    <t>01055 Саморіз зі свердлом DIN7504P</t>
  </si>
  <si>
    <t>01060</t>
  </si>
  <si>
    <t>Анкер-саморіз  по бетону</t>
  </si>
  <si>
    <t>Ціна за 1  шт.</t>
  </si>
  <si>
    <t>голівка: шестигранна</t>
  </si>
  <si>
    <t>02 Дюбелі</t>
  </si>
  <si>
    <t xml:space="preserve">02001 </t>
  </si>
  <si>
    <t>Дюбель потрійного розпору</t>
  </si>
  <si>
    <t>02002  Дюбель розпірний</t>
  </si>
  <si>
    <t>матеріал: поліпропілен</t>
  </si>
  <si>
    <t>Ціна за 100  шт.</t>
  </si>
  <si>
    <t>020010001</t>
  </si>
  <si>
    <t>020025025</t>
  </si>
  <si>
    <t>020010002</t>
  </si>
  <si>
    <t>020020630</t>
  </si>
  <si>
    <t>020010003</t>
  </si>
  <si>
    <t>020020635</t>
  </si>
  <si>
    <t>020010004</t>
  </si>
  <si>
    <t>020020840</t>
  </si>
  <si>
    <t>020010005</t>
  </si>
  <si>
    <t>020020850</t>
  </si>
  <si>
    <t>020010006</t>
  </si>
  <si>
    <t>020021050</t>
  </si>
  <si>
    <t>020010007</t>
  </si>
  <si>
    <t>020021260</t>
  </si>
  <si>
    <t>020010008</t>
  </si>
  <si>
    <t>020021480</t>
  </si>
  <si>
    <t>020010009</t>
  </si>
  <si>
    <t xml:space="preserve">02006 </t>
  </si>
  <si>
    <t>Дюбель розпірний</t>
  </si>
  <si>
    <t>02011</t>
  </si>
  <si>
    <t>Дюбель для газобетону металевий</t>
  </si>
  <si>
    <t>матеріал: латунь</t>
  </si>
  <si>
    <t>020060001</t>
  </si>
  <si>
    <t>М5</t>
  </si>
  <si>
    <t>020110530</t>
  </si>
  <si>
    <t>020060002</t>
  </si>
  <si>
    <t>М6</t>
  </si>
  <si>
    <t>020110632</t>
  </si>
  <si>
    <t>020060003</t>
  </si>
  <si>
    <t>М8</t>
  </si>
  <si>
    <t>020110838</t>
  </si>
  <si>
    <t>020060004</t>
  </si>
  <si>
    <t>М10</t>
  </si>
  <si>
    <t>020110860</t>
  </si>
  <si>
    <t>020060005</t>
  </si>
  <si>
    <t>М12</t>
  </si>
  <si>
    <t>020111060</t>
  </si>
  <si>
    <t>02030  Дюбель для г/к дріва зі свердлом</t>
  </si>
  <si>
    <t>матеріал:  нейлон</t>
  </si>
  <si>
    <t>матеріал:  сплав цинк-алюміній</t>
  </si>
  <si>
    <t>020300002</t>
  </si>
  <si>
    <t>020306038</t>
  </si>
  <si>
    <t>02030  Дюбель для г/к дріва</t>
  </si>
  <si>
    <t>02030  Дюбель для г/к метелик</t>
  </si>
  <si>
    <t>матеріал:  поліпропілен</t>
  </si>
  <si>
    <t>020300001</t>
  </si>
  <si>
    <t>020308050</t>
  </si>
  <si>
    <t>02031</t>
  </si>
  <si>
    <t>Дюбель для газобетону нейлоновий</t>
  </si>
  <si>
    <t>020310001</t>
  </si>
  <si>
    <t>020310002</t>
  </si>
  <si>
    <t>02 Дюбелі з шурупами</t>
  </si>
  <si>
    <t>02303</t>
  </si>
  <si>
    <t>02304</t>
  </si>
  <si>
    <t>Дюбель з ударним шурупом</t>
  </si>
  <si>
    <t>первинний поліетилен (бежевий колір)</t>
  </si>
  <si>
    <t>вторинний поліетилен (темно-сірий колір)</t>
  </si>
  <si>
    <t>023040001</t>
  </si>
  <si>
    <t>023040003</t>
  </si>
  <si>
    <t>023040005</t>
  </si>
  <si>
    <t>023040006</t>
  </si>
  <si>
    <t>023040007</t>
  </si>
  <si>
    <t>023040008</t>
  </si>
  <si>
    <t>023040009</t>
  </si>
  <si>
    <t>02306</t>
  </si>
  <si>
    <t>нейлон (поліамід)</t>
  </si>
  <si>
    <t>02309 Дюбель з цвяхом, гриб, сплав Al/Zn</t>
  </si>
  <si>
    <t>023090640</t>
  </si>
  <si>
    <t>023090665</t>
  </si>
  <si>
    <t>матеріал: сплав цинк-алюміній</t>
  </si>
  <si>
    <t xml:space="preserve">02330 </t>
  </si>
  <si>
    <t>Дюбель розпірний з L-подібним шурупом</t>
  </si>
  <si>
    <t>Дюбель розпірний з C-подібним шурупом</t>
  </si>
  <si>
    <t>023306035</t>
  </si>
  <si>
    <t>023308040</t>
  </si>
  <si>
    <t>0233010050</t>
  </si>
  <si>
    <t>0233010060</t>
  </si>
  <si>
    <t>0233012060</t>
  </si>
  <si>
    <t>0233012080</t>
  </si>
  <si>
    <t>023141</t>
  </si>
  <si>
    <t>Дюбель для теплоізоляції 1-й сорт</t>
  </si>
  <si>
    <t>023142</t>
  </si>
  <si>
    <t>Дюбель для теплоізоляції 2-й сорт</t>
  </si>
  <si>
    <t>пластиковий стрижень</t>
  </si>
  <si>
    <t>0231411070</t>
  </si>
  <si>
    <t>0231421070</t>
  </si>
  <si>
    <t>0231411080</t>
  </si>
  <si>
    <t>0231421080</t>
  </si>
  <si>
    <t>0231411090</t>
  </si>
  <si>
    <t>0231421090</t>
  </si>
  <si>
    <t>0231411010</t>
  </si>
  <si>
    <t>0231421010</t>
  </si>
  <si>
    <t>0231411011</t>
  </si>
  <si>
    <t>0231421011</t>
  </si>
  <si>
    <t>0231411012</t>
  </si>
  <si>
    <t>0231421012</t>
  </si>
  <si>
    <t>0231411014</t>
  </si>
  <si>
    <t>0231421014</t>
  </si>
  <si>
    <t>0231411016</t>
  </si>
  <si>
    <t>0231421016</t>
  </si>
  <si>
    <t>0231411018</t>
  </si>
  <si>
    <t>0231421018</t>
  </si>
  <si>
    <t>0231411020</t>
  </si>
  <si>
    <t>0231421020</t>
  </si>
  <si>
    <t>023151</t>
  </si>
  <si>
    <t>023152</t>
  </si>
  <si>
    <t>металевий стрижень</t>
  </si>
  <si>
    <t>0231511080</t>
  </si>
  <si>
    <t>0231521090</t>
  </si>
  <si>
    <t>0231511090</t>
  </si>
  <si>
    <t>0231521010</t>
  </si>
  <si>
    <t>0231511010</t>
  </si>
  <si>
    <t>0231521011</t>
  </si>
  <si>
    <t>0231511011</t>
  </si>
  <si>
    <t>0231521012</t>
  </si>
  <si>
    <t>0231511012</t>
  </si>
  <si>
    <t>0231521014</t>
  </si>
  <si>
    <t>0231511014</t>
  </si>
  <si>
    <t>0231521016</t>
  </si>
  <si>
    <t>0231511016</t>
  </si>
  <si>
    <t>0231521018</t>
  </si>
  <si>
    <t>0231511018</t>
  </si>
  <si>
    <t>0231521020</t>
  </si>
  <si>
    <t>0231511020</t>
  </si>
  <si>
    <t>0231521022</t>
  </si>
  <si>
    <t>0231511022</t>
  </si>
  <si>
    <t>0231521026</t>
  </si>
  <si>
    <t>02317 Рондоль</t>
  </si>
  <si>
    <t xml:space="preserve">02350 </t>
  </si>
  <si>
    <t>Дюбель для г/к метелик з шурупом</t>
  </si>
  <si>
    <t>023170001</t>
  </si>
  <si>
    <t>мм</t>
  </si>
  <si>
    <t>023501050</t>
  </si>
  <si>
    <t>023170002</t>
  </si>
  <si>
    <t>03 Анкерна техніка</t>
  </si>
  <si>
    <t>03001</t>
  </si>
  <si>
    <t xml:space="preserve"> Анкер рамний сталевий</t>
  </si>
  <si>
    <t>030010003</t>
  </si>
  <si>
    <t>030010004</t>
  </si>
  <si>
    <t>030010005</t>
  </si>
  <si>
    <t>030010006</t>
  </si>
  <si>
    <t>030010001</t>
  </si>
  <si>
    <t>030010007</t>
  </si>
  <si>
    <t>030010002</t>
  </si>
  <si>
    <t>030010008</t>
  </si>
  <si>
    <t xml:space="preserve">89001 </t>
  </si>
  <si>
    <t>Заглушка напівкругла  на рамний анкер</t>
  </si>
  <si>
    <t xml:space="preserve">89005 </t>
  </si>
  <si>
    <t>Заглушка плоска для отвору</t>
  </si>
  <si>
    <t>8900101</t>
  </si>
  <si>
    <t>біла</t>
  </si>
  <si>
    <t>8900501</t>
  </si>
  <si>
    <t xml:space="preserve">біла </t>
  </si>
  <si>
    <t>8900102</t>
  </si>
  <si>
    <t>сіра</t>
  </si>
  <si>
    <t>8900502</t>
  </si>
  <si>
    <t>коричн.</t>
  </si>
  <si>
    <t>8900103</t>
  </si>
  <si>
    <t>8900104</t>
  </si>
  <si>
    <t>св-кор.</t>
  </si>
  <si>
    <t xml:space="preserve">03010 </t>
  </si>
  <si>
    <t>03016</t>
  </si>
  <si>
    <t>Анкер-дюбель забивний</t>
  </si>
  <si>
    <t>Анкер-клин</t>
  </si>
  <si>
    <t>030100625</t>
  </si>
  <si>
    <t>М6 х 8,0 х 25</t>
  </si>
  <si>
    <t>030160001</t>
  </si>
  <si>
    <t>030100830</t>
  </si>
  <si>
    <t>М8 х 10,0 х 30</t>
  </si>
  <si>
    <t>030101040</t>
  </si>
  <si>
    <t>М10 х 12,0 х 40</t>
  </si>
  <si>
    <t>030101250</t>
  </si>
  <si>
    <t>М12 х 16,0 х 50</t>
  </si>
  <si>
    <t>030101665</t>
  </si>
  <si>
    <t>М16 х 20,0 х 65</t>
  </si>
  <si>
    <t>030102080</t>
  </si>
  <si>
    <t>М20 х 25,0 х 80</t>
  </si>
  <si>
    <t xml:space="preserve">03025 </t>
  </si>
  <si>
    <t>Анкер  для пуст-х осн. С-подібна</t>
  </si>
  <si>
    <t>Анкер Моллі  для пустотілих основ</t>
  </si>
  <si>
    <t>030254025</t>
  </si>
  <si>
    <t>030254038</t>
  </si>
  <si>
    <t>125/100</t>
  </si>
  <si>
    <t>030254045</t>
  </si>
  <si>
    <t>Анкер  для пуст-х осн. О-подібна</t>
  </si>
  <si>
    <t>030254052</t>
  </si>
  <si>
    <t>150/100</t>
  </si>
  <si>
    <t>030254065</t>
  </si>
  <si>
    <t>030255045</t>
  </si>
  <si>
    <t>030255058</t>
  </si>
  <si>
    <t>030255071</t>
  </si>
  <si>
    <t>Анкер  для пуст-х осн. L-подібна</t>
  </si>
  <si>
    <t>030255088</t>
  </si>
  <si>
    <t>030256045</t>
  </si>
  <si>
    <t>030256058</t>
  </si>
  <si>
    <t>030256071</t>
  </si>
  <si>
    <t>03028</t>
  </si>
  <si>
    <t>Анкер втулковий з гайкою</t>
  </si>
  <si>
    <t>030281</t>
  </si>
  <si>
    <t>Анкер розпірний зі стельовим гаком</t>
  </si>
  <si>
    <t>030288040</t>
  </si>
  <si>
    <t>М6 х 8 x 40</t>
  </si>
  <si>
    <t>030281001</t>
  </si>
  <si>
    <t>М6/8</t>
  </si>
  <si>
    <t>030288065</t>
  </si>
  <si>
    <t>М6 х 8 x 65</t>
  </si>
  <si>
    <t>030281002</t>
  </si>
  <si>
    <t>030288085</t>
  </si>
  <si>
    <t>М6 х 8 x 85</t>
  </si>
  <si>
    <t>030281003</t>
  </si>
  <si>
    <t>0302880100</t>
  </si>
  <si>
    <t>М6 х 8 x 100</t>
  </si>
  <si>
    <t>030281004</t>
  </si>
  <si>
    <t>М8/10</t>
  </si>
  <si>
    <t>030281050</t>
  </si>
  <si>
    <t>М8 х 10 x 50</t>
  </si>
  <si>
    <t>030281005</t>
  </si>
  <si>
    <t>М10/12</t>
  </si>
  <si>
    <t>030281060</t>
  </si>
  <si>
    <t>М8 х 10 x 60</t>
  </si>
  <si>
    <t>030281006</t>
  </si>
  <si>
    <t>030281075</t>
  </si>
  <si>
    <t>М8 х 10 x 75</t>
  </si>
  <si>
    <t>030281095</t>
  </si>
  <si>
    <t>М8 х 10 x 95</t>
  </si>
  <si>
    <t>030282</t>
  </si>
  <si>
    <t>0302810120</t>
  </si>
  <si>
    <t>М8 х 10 x 120</t>
  </si>
  <si>
    <t>Анкер розпірний з петельным гаком</t>
  </si>
  <si>
    <t>030281260</t>
  </si>
  <si>
    <t>М10 х 12 x 60</t>
  </si>
  <si>
    <t>030281275</t>
  </si>
  <si>
    <t>М10 х 12 x 75</t>
  </si>
  <si>
    <t>030282001</t>
  </si>
  <si>
    <t>M6/8</t>
  </si>
  <si>
    <t>0302812100</t>
  </si>
  <si>
    <t>М10 х 12 x 100</t>
  </si>
  <si>
    <t>030282002</t>
  </si>
  <si>
    <t>0302812130</t>
  </si>
  <si>
    <t>М10 х 12 x 130</t>
  </si>
  <si>
    <t>030282003</t>
  </si>
  <si>
    <t>0302812170</t>
  </si>
  <si>
    <t>М10 х 12 x 170</t>
  </si>
  <si>
    <t>030282004</t>
  </si>
  <si>
    <t>M8/10</t>
  </si>
  <si>
    <t>0302812200</t>
  </si>
  <si>
    <t>М10 х 12 x 200</t>
  </si>
  <si>
    <t>M10/12</t>
  </si>
  <si>
    <t>0302812250</t>
  </si>
  <si>
    <t>М10 х 12 x 250</t>
  </si>
  <si>
    <t>030282005</t>
  </si>
  <si>
    <t>0302812300</t>
  </si>
  <si>
    <t>М10 х 12 x 300</t>
  </si>
  <si>
    <t>030282006</t>
  </si>
  <si>
    <t>0302814200</t>
  </si>
  <si>
    <t>М10 х 14 x 200</t>
  </si>
  <si>
    <t>0302814250</t>
  </si>
  <si>
    <t>М10 х 14 x 250</t>
  </si>
  <si>
    <t>030283</t>
  </si>
  <si>
    <t>0302816110</t>
  </si>
  <si>
    <t>М12 х 16 x 110</t>
  </si>
  <si>
    <t>Анкер розпірний з прямим гаком</t>
  </si>
  <si>
    <t>0302816145</t>
  </si>
  <si>
    <t>М12 х 16 x 145</t>
  </si>
  <si>
    <t>0302816300</t>
  </si>
  <si>
    <t>М12 х 16 x 300</t>
  </si>
  <si>
    <t>030283001</t>
  </si>
  <si>
    <t>0302820107</t>
  </si>
  <si>
    <t>М16 х 20 x 105</t>
  </si>
  <si>
    <t>030283002</t>
  </si>
  <si>
    <t>0302820150</t>
  </si>
  <si>
    <t>М16 х 20 x 150</t>
  </si>
  <si>
    <t>030283003</t>
  </si>
  <si>
    <t>030283004</t>
  </si>
  <si>
    <t>030283005</t>
  </si>
  <si>
    <t>030283006</t>
  </si>
  <si>
    <t>03034</t>
  </si>
  <si>
    <t>до 5000 грн.</t>
  </si>
  <si>
    <t>Анкер втулковий з болтом</t>
  </si>
  <si>
    <t>030340003</t>
  </si>
  <si>
    <t>030340004</t>
  </si>
  <si>
    <t>М8 х 10 x 80</t>
  </si>
  <si>
    <t>030340005</t>
  </si>
  <si>
    <t>М8 х 10 x 100</t>
  </si>
  <si>
    <t>030340006</t>
  </si>
  <si>
    <t>030340007</t>
  </si>
  <si>
    <t>М10 х 12 x 80</t>
  </si>
  <si>
    <t>030340001</t>
  </si>
  <si>
    <t>М6 х 8 x 45</t>
  </si>
  <si>
    <t>030340008</t>
  </si>
  <si>
    <t>030340002</t>
  </si>
  <si>
    <t>М6 х 8 x 60</t>
  </si>
  <si>
    <t>03029</t>
  </si>
  <si>
    <t>Анкер втулковий дворозпірний</t>
  </si>
  <si>
    <t>0302914140</t>
  </si>
  <si>
    <t>М10 х 14 х 140</t>
  </si>
  <si>
    <t>0302914200</t>
  </si>
  <si>
    <t>М10 х 14 х 200</t>
  </si>
  <si>
    <t>0302914250</t>
  </si>
  <si>
    <t>М10 х 14 х 250</t>
  </si>
  <si>
    <t>0302916120</t>
  </si>
  <si>
    <t>М12 х 16 х 120</t>
  </si>
  <si>
    <t>0302910100</t>
  </si>
  <si>
    <t>М6 х 10 х 100</t>
  </si>
  <si>
    <t>0302916160</t>
  </si>
  <si>
    <t>М12 х 16 х 160</t>
  </si>
  <si>
    <t>0302912100</t>
  </si>
  <si>
    <t>М8 х 12 х 100</t>
  </si>
  <si>
    <t>0302916200</t>
  </si>
  <si>
    <t>М12 х 16 х 200</t>
  </si>
  <si>
    <t>0302912120</t>
  </si>
  <si>
    <t>М8 х 12 х 120</t>
  </si>
  <si>
    <t>0302916250</t>
  </si>
  <si>
    <t>М12 х 16 х 250</t>
  </si>
  <si>
    <t>0302912150</t>
  </si>
  <si>
    <t>М8 х 12 х 150</t>
  </si>
  <si>
    <t>0302916300</t>
  </si>
  <si>
    <t>М12 х 16 х 300</t>
  </si>
  <si>
    <t>0302912180</t>
  </si>
  <si>
    <t>М8 х 12 х 180</t>
  </si>
  <si>
    <t>0302916330</t>
  </si>
  <si>
    <t>М12 х 16 х 330</t>
  </si>
  <si>
    <t>0302912200</t>
  </si>
  <si>
    <t>М8 х 12 х 200</t>
  </si>
  <si>
    <t>0302916350</t>
  </si>
  <si>
    <t>М12 х 16 х 350</t>
  </si>
  <si>
    <t>0302912250</t>
  </si>
  <si>
    <t>М8 х 12 х 250</t>
  </si>
  <si>
    <t>0302920200</t>
  </si>
  <si>
    <t>М16 х 20 х 200</t>
  </si>
  <si>
    <t>0302914100</t>
  </si>
  <si>
    <t>М10 х 14 х 100</t>
  </si>
  <si>
    <t>0302920250</t>
  </si>
  <si>
    <t>М16 х 20 х 250</t>
  </si>
  <si>
    <t>0302914120</t>
  </si>
  <si>
    <t>М10 х 14 х 120</t>
  </si>
  <si>
    <t>0302920300</t>
  </si>
  <si>
    <t>М16 х 20 х 300</t>
  </si>
  <si>
    <t xml:space="preserve">03032 </t>
  </si>
  <si>
    <t>Анкер клиновий з гайкою</t>
  </si>
  <si>
    <t>030320013</t>
  </si>
  <si>
    <t>030320014</t>
  </si>
  <si>
    <t>030320026</t>
  </si>
  <si>
    <t>030320015</t>
  </si>
  <si>
    <t>030320001</t>
  </si>
  <si>
    <t>030320016</t>
  </si>
  <si>
    <t>030320003</t>
  </si>
  <si>
    <t>030320017</t>
  </si>
  <si>
    <t>030320004</t>
  </si>
  <si>
    <t>030320027</t>
  </si>
  <si>
    <t>030320005</t>
  </si>
  <si>
    <t>030320019</t>
  </si>
  <si>
    <t>М16</t>
  </si>
  <si>
    <t>030320006</t>
  </si>
  <si>
    <t>030320020</t>
  </si>
  <si>
    <t>030320007</t>
  </si>
  <si>
    <t>030320021</t>
  </si>
  <si>
    <t>030320008</t>
  </si>
  <si>
    <t>030320023</t>
  </si>
  <si>
    <t>М20</t>
  </si>
  <si>
    <t>030320009</t>
  </si>
  <si>
    <t>030320024</t>
  </si>
  <si>
    <t>030320010</t>
  </si>
  <si>
    <t>030320025</t>
  </si>
  <si>
    <t>030320012</t>
  </si>
  <si>
    <t>03036</t>
  </si>
  <si>
    <t>Анкерна пластина</t>
  </si>
  <si>
    <t>Розмір/ профіль</t>
  </si>
  <si>
    <t>03036001</t>
  </si>
  <si>
    <t>31 мм/KBE</t>
  </si>
  <si>
    <t>=</t>
  </si>
  <si>
    <t>03036002</t>
  </si>
  <si>
    <t>37 мм/WDS</t>
  </si>
  <si>
    <t>03036003</t>
  </si>
  <si>
    <t>41 мм/Internova</t>
  </si>
  <si>
    <t>03036004</t>
  </si>
  <si>
    <t>44 мм/Rehau</t>
  </si>
  <si>
    <t>03036007</t>
  </si>
  <si>
    <t>універсальна</t>
  </si>
  <si>
    <t>04 Електротехнічне кріплення</t>
  </si>
  <si>
    <t>04001</t>
  </si>
  <si>
    <t>Скоба для круглого кабелю,</t>
  </si>
  <si>
    <t>d</t>
  </si>
  <si>
    <t>матеріал: поліпропілен, колір: білий</t>
  </si>
  <si>
    <t>04010</t>
  </si>
  <si>
    <t>Стяжка кабельна нейлонова</t>
  </si>
  <si>
    <t>матеріал: поліамід, колір: білий</t>
  </si>
  <si>
    <t>матеріал: поліамід, колір: чорний</t>
  </si>
  <si>
    <t>040100001</t>
  </si>
  <si>
    <t>040100002</t>
  </si>
  <si>
    <t>040100003</t>
  </si>
  <si>
    <t>040100004</t>
  </si>
  <si>
    <t>05 Хомути, сантехнічне кріплення</t>
  </si>
  <si>
    <t xml:space="preserve">05001 </t>
  </si>
  <si>
    <t>Обойма для труб сталева з віброгасником</t>
  </si>
  <si>
    <t>32 - 37 - 1''</t>
  </si>
  <si>
    <t>41 - 47 -    1 1/4''</t>
  </si>
  <si>
    <t>47 - 53 - 1 1/2''</t>
  </si>
  <si>
    <t>59 - 66 - 2''</t>
  </si>
  <si>
    <t>74 - 80 - 2 1/2</t>
  </si>
  <si>
    <t>87 - 94 - 3''</t>
  </si>
  <si>
    <t>113 - 121 - 4"</t>
  </si>
  <si>
    <t xml:space="preserve">16 - 19 - 3/8" </t>
  </si>
  <si>
    <t>139 - 147 - 5"</t>
  </si>
  <si>
    <t>20 - 23 - 1/2''</t>
  </si>
  <si>
    <t>164  -172 - 6"</t>
  </si>
  <si>
    <t>26 - 30 - 3/4''</t>
  </si>
  <si>
    <t>197 - 208 - 8"</t>
  </si>
  <si>
    <t>05003</t>
  </si>
  <si>
    <t>Хомут черв'ячний W1 оцинкований</t>
  </si>
  <si>
    <t>05004</t>
  </si>
  <si>
    <t>Хомут черв'ячний W2 нержавіючий</t>
  </si>
  <si>
    <t>050030001</t>
  </si>
  <si>
    <t>8-12</t>
  </si>
  <si>
    <t>050040001</t>
  </si>
  <si>
    <t>10-16</t>
  </si>
  <si>
    <t>050030002</t>
  </si>
  <si>
    <t>050040002</t>
  </si>
  <si>
    <t>12-20</t>
  </si>
  <si>
    <t>050030003</t>
  </si>
  <si>
    <t>050040003</t>
  </si>
  <si>
    <t>16-25</t>
  </si>
  <si>
    <t>050030004</t>
  </si>
  <si>
    <t>13-19</t>
  </si>
  <si>
    <t>050040004</t>
  </si>
  <si>
    <t>20-32</t>
  </si>
  <si>
    <t>050030005</t>
  </si>
  <si>
    <t>050040005</t>
  </si>
  <si>
    <t>25-40</t>
  </si>
  <si>
    <t>050030006</t>
  </si>
  <si>
    <t>19-26</t>
  </si>
  <si>
    <t>050040006</t>
  </si>
  <si>
    <t>30-45</t>
  </si>
  <si>
    <t>050030007</t>
  </si>
  <si>
    <t>050040007</t>
  </si>
  <si>
    <t>32-50</t>
  </si>
  <si>
    <t>050030008</t>
  </si>
  <si>
    <t>050040008</t>
  </si>
  <si>
    <t>40-60</t>
  </si>
  <si>
    <t>050030009</t>
  </si>
  <si>
    <t>28-48</t>
  </si>
  <si>
    <t>050040009</t>
  </si>
  <si>
    <t>50-70</t>
  </si>
  <si>
    <t>050030010</t>
  </si>
  <si>
    <t>050040010</t>
  </si>
  <si>
    <t>60-80</t>
  </si>
  <si>
    <t>050030011</t>
  </si>
  <si>
    <t>050040011</t>
  </si>
  <si>
    <t>70-90</t>
  </si>
  <si>
    <t>050030012</t>
  </si>
  <si>
    <t>44-64</t>
  </si>
  <si>
    <t>050040012</t>
  </si>
  <si>
    <t>80-100</t>
  </si>
  <si>
    <t>050030013</t>
  </si>
  <si>
    <t>050040013</t>
  </si>
  <si>
    <t>90-110</t>
  </si>
  <si>
    <t>050030014</t>
  </si>
  <si>
    <t>050040014</t>
  </si>
  <si>
    <t>100-120</t>
  </si>
  <si>
    <t>050030015</t>
  </si>
  <si>
    <t>050040015</t>
  </si>
  <si>
    <t>110-130</t>
  </si>
  <si>
    <t>050030016</t>
  </si>
  <si>
    <t>050040016</t>
  </si>
  <si>
    <t>120-140</t>
  </si>
  <si>
    <t>050030017</t>
  </si>
  <si>
    <t>050040017</t>
  </si>
  <si>
    <t>130-150</t>
  </si>
  <si>
    <t>050030018</t>
  </si>
  <si>
    <t>050040018</t>
  </si>
  <si>
    <t>140-160</t>
  </si>
  <si>
    <t>050030019</t>
  </si>
  <si>
    <t>050030020</t>
  </si>
  <si>
    <t>050030021</t>
  </si>
  <si>
    <t>050030022</t>
  </si>
  <si>
    <t>05005</t>
  </si>
  <si>
    <t>Хомут черв'ячний з ключем "метелик" W1</t>
  </si>
  <si>
    <t>05006</t>
  </si>
  <si>
    <t>Хомут силовий W1</t>
  </si>
  <si>
    <t>17-19</t>
  </si>
  <si>
    <t>19-21</t>
  </si>
  <si>
    <t>20-22</t>
  </si>
  <si>
    <t>21-23</t>
  </si>
  <si>
    <t>23-25</t>
  </si>
  <si>
    <t>26-28</t>
  </si>
  <si>
    <t>29-31</t>
  </si>
  <si>
    <t>30-33</t>
  </si>
  <si>
    <t>32-35</t>
  </si>
  <si>
    <t>40-43</t>
  </si>
  <si>
    <t>48-51</t>
  </si>
  <si>
    <t>52-55</t>
  </si>
  <si>
    <t>60-63</t>
  </si>
  <si>
    <t>68-73</t>
  </si>
  <si>
    <t xml:space="preserve">05011 </t>
  </si>
  <si>
    <t>Обойма для труб</t>
  </si>
  <si>
    <t>06 Заклепки</t>
  </si>
  <si>
    <t>06001</t>
  </si>
  <si>
    <t>Заклепка відривна</t>
  </si>
  <si>
    <t>060014018</t>
  </si>
  <si>
    <t>060014020</t>
  </si>
  <si>
    <t>матеріал: алюміній / сталь</t>
  </si>
  <si>
    <t>060014880</t>
  </si>
  <si>
    <t>060014810</t>
  </si>
  <si>
    <t>060014812</t>
  </si>
  <si>
    <t>060013012</t>
  </si>
  <si>
    <t>060014814</t>
  </si>
  <si>
    <t>060013260</t>
  </si>
  <si>
    <t>060014816</t>
  </si>
  <si>
    <t>060013280</t>
  </si>
  <si>
    <t>060014818</t>
  </si>
  <si>
    <t>060013210</t>
  </si>
  <si>
    <t>060014820</t>
  </si>
  <si>
    <t>060013212</t>
  </si>
  <si>
    <t>060014824</t>
  </si>
  <si>
    <t>060013216</t>
  </si>
  <si>
    <t>060015016</t>
  </si>
  <si>
    <t>060014060</t>
  </si>
  <si>
    <t>060015030</t>
  </si>
  <si>
    <t>060014080</t>
  </si>
  <si>
    <t>060016016</t>
  </si>
  <si>
    <t>060014010</t>
  </si>
  <si>
    <t>060016020</t>
  </si>
  <si>
    <t>060014012</t>
  </si>
  <si>
    <t>060016025</t>
  </si>
  <si>
    <t>060014014</t>
  </si>
  <si>
    <t>060016030</t>
  </si>
  <si>
    <t>060014016</t>
  </si>
  <si>
    <t>06002</t>
  </si>
  <si>
    <t>Заклепка відривна фарбована</t>
  </si>
  <si>
    <t>RAL</t>
  </si>
  <si>
    <t xml:space="preserve">RAL 8017, 3005, 3009, 3011, 5005, 6005, 8004, 9010
</t>
  </si>
  <si>
    <t>07 Санітарне кріплення</t>
  </si>
  <si>
    <t xml:space="preserve">07001 </t>
  </si>
  <si>
    <t>Кріплення для умивальників</t>
  </si>
  <si>
    <t>Кріплення для унітазів</t>
  </si>
  <si>
    <t>070000001</t>
  </si>
  <si>
    <t>070000004</t>
  </si>
  <si>
    <t>070000002</t>
  </si>
  <si>
    <t>10 Болти</t>
  </si>
  <si>
    <t xml:space="preserve">10001 </t>
  </si>
  <si>
    <t>Болт метричний DIN 933</t>
  </si>
  <si>
    <t>100011035</t>
  </si>
  <si>
    <t>100011040</t>
  </si>
  <si>
    <t>100011045</t>
  </si>
  <si>
    <t>голівка шестигранна, повна різьба, клас міцності 5.8</t>
  </si>
  <si>
    <t>100011050</t>
  </si>
  <si>
    <t>100011060</t>
  </si>
  <si>
    <t>100011070</t>
  </si>
  <si>
    <t>100010510</t>
  </si>
  <si>
    <t>100011080</t>
  </si>
  <si>
    <t>100010512</t>
  </si>
  <si>
    <t>100011090</t>
  </si>
  <si>
    <t>100010516</t>
  </si>
  <si>
    <t>1000110100</t>
  </si>
  <si>
    <t>100010520</t>
  </si>
  <si>
    <t>1000110120</t>
  </si>
  <si>
    <t>100010525</t>
  </si>
  <si>
    <t>1000110140</t>
  </si>
  <si>
    <t>100010530</t>
  </si>
  <si>
    <t>1000110150</t>
  </si>
  <si>
    <t>100010535</t>
  </si>
  <si>
    <t>100011230</t>
  </si>
  <si>
    <t>100010540</t>
  </si>
  <si>
    <t>100011240</t>
  </si>
  <si>
    <t>100010550</t>
  </si>
  <si>
    <t>100011250</t>
  </si>
  <si>
    <t>100010610</t>
  </si>
  <si>
    <t>100011260</t>
  </si>
  <si>
    <t>100010612</t>
  </si>
  <si>
    <t>100011270</t>
  </si>
  <si>
    <t>100010616</t>
  </si>
  <si>
    <t>100011280</t>
  </si>
  <si>
    <t>100010620</t>
  </si>
  <si>
    <t>100011290</t>
  </si>
  <si>
    <t>100010625</t>
  </si>
  <si>
    <t>1000112100</t>
  </si>
  <si>
    <t>100010630</t>
  </si>
  <si>
    <t>1000112120</t>
  </si>
  <si>
    <t>100010635</t>
  </si>
  <si>
    <t>1000112140</t>
  </si>
  <si>
    <t>100010640</t>
  </si>
  <si>
    <t>1000112160</t>
  </si>
  <si>
    <t>100010650</t>
  </si>
  <si>
    <t>100011440</t>
  </si>
  <si>
    <t>М14</t>
  </si>
  <si>
    <t>100010660</t>
  </si>
  <si>
    <t>100011450</t>
  </si>
  <si>
    <t>100010670</t>
  </si>
  <si>
    <t>100011460</t>
  </si>
  <si>
    <t>100010680</t>
  </si>
  <si>
    <t>100011470</t>
  </si>
  <si>
    <t>100010690</t>
  </si>
  <si>
    <t>100011480</t>
  </si>
  <si>
    <t>1000106100</t>
  </si>
  <si>
    <t>1000114100</t>
  </si>
  <si>
    <t>100010816</t>
  </si>
  <si>
    <t>100011640</t>
  </si>
  <si>
    <t>100010820</t>
  </si>
  <si>
    <t>100011650</t>
  </si>
  <si>
    <t>100010825</t>
  </si>
  <si>
    <t>100011660</t>
  </si>
  <si>
    <t>100010830</t>
  </si>
  <si>
    <t>100011670</t>
  </si>
  <si>
    <t>100010835</t>
  </si>
  <si>
    <t>100011680</t>
  </si>
  <si>
    <t>100010840</t>
  </si>
  <si>
    <t>100011690</t>
  </si>
  <si>
    <t>100010850</t>
  </si>
  <si>
    <t>1000116100</t>
  </si>
  <si>
    <t>100010860</t>
  </si>
  <si>
    <t>1000116120</t>
  </si>
  <si>
    <t>100010870</t>
  </si>
  <si>
    <t>1000116140</t>
  </si>
  <si>
    <t>100010880</t>
  </si>
  <si>
    <t>1000116160</t>
  </si>
  <si>
    <t>100010890</t>
  </si>
  <si>
    <t>100012060</t>
  </si>
  <si>
    <t>1000108100</t>
  </si>
  <si>
    <t>100012080</t>
  </si>
  <si>
    <t>1000108120</t>
  </si>
  <si>
    <t>100012090</t>
  </si>
  <si>
    <t>100011016</t>
  </si>
  <si>
    <t>1000120100</t>
  </si>
  <si>
    <t>100011020</t>
  </si>
  <si>
    <t>1000120120</t>
  </si>
  <si>
    <t>100011025</t>
  </si>
  <si>
    <t>1000120140</t>
  </si>
  <si>
    <t>100011030</t>
  </si>
  <si>
    <t>Болт метричний DIN 933 в кг</t>
  </si>
  <si>
    <t>Ціна за 1 кг</t>
  </si>
  <si>
    <t>10 кг</t>
  </si>
  <si>
    <t>10011</t>
  </si>
  <si>
    <t>100110850</t>
  </si>
  <si>
    <t>м8</t>
  </si>
  <si>
    <t>60</t>
  </si>
  <si>
    <t>100110860</t>
  </si>
  <si>
    <t>70</t>
  </si>
  <si>
    <t>100110880</t>
  </si>
  <si>
    <t>80</t>
  </si>
  <si>
    <t>нержавіюча сталь А2</t>
  </si>
  <si>
    <t>голівка шестигранна, повна різьба</t>
  </si>
  <si>
    <t>1001108100</t>
  </si>
  <si>
    <t>м10</t>
  </si>
  <si>
    <t>100111020</t>
  </si>
  <si>
    <t>100110410</t>
  </si>
  <si>
    <t>м4</t>
  </si>
  <si>
    <t>100111030</t>
  </si>
  <si>
    <t>35</t>
  </si>
  <si>
    <t>100110420</t>
  </si>
  <si>
    <t>100111035</t>
  </si>
  <si>
    <t>100110510</t>
  </si>
  <si>
    <t>100111040</t>
  </si>
  <si>
    <t>100110520</t>
  </si>
  <si>
    <t>м5</t>
  </si>
  <si>
    <t>100111050</t>
  </si>
  <si>
    <t>100110525</t>
  </si>
  <si>
    <t>100111060</t>
  </si>
  <si>
    <t>100110530</t>
  </si>
  <si>
    <t>100111080</t>
  </si>
  <si>
    <t>100110535</t>
  </si>
  <si>
    <t>100111220</t>
  </si>
  <si>
    <t>м12</t>
  </si>
  <si>
    <t>100110540</t>
  </si>
  <si>
    <t>100111225</t>
  </si>
  <si>
    <t>100110550</t>
  </si>
  <si>
    <t>100111230</t>
  </si>
  <si>
    <t>100110560</t>
  </si>
  <si>
    <t>100111235</t>
  </si>
  <si>
    <t>100110612</t>
  </si>
  <si>
    <t>100111240</t>
  </si>
  <si>
    <t>100110616</t>
  </si>
  <si>
    <t>м6</t>
  </si>
  <si>
    <t>100111245</t>
  </si>
  <si>
    <t>45</t>
  </si>
  <si>
    <t>100110620</t>
  </si>
  <si>
    <t>16</t>
  </si>
  <si>
    <t>100111250</t>
  </si>
  <si>
    <t>100110625</t>
  </si>
  <si>
    <t>100111260</t>
  </si>
  <si>
    <t>100110630</t>
  </si>
  <si>
    <t>100111270</t>
  </si>
  <si>
    <t>100110635</t>
  </si>
  <si>
    <t>100111275</t>
  </si>
  <si>
    <t>75</t>
  </si>
  <si>
    <t>100110640</t>
  </si>
  <si>
    <t>100111280</t>
  </si>
  <si>
    <t>100110650</t>
  </si>
  <si>
    <t>100111290</t>
  </si>
  <si>
    <t>90</t>
  </si>
  <si>
    <t>100110660</t>
  </si>
  <si>
    <t>100111450</t>
  </si>
  <si>
    <t>150</t>
  </si>
  <si>
    <t>100110680</t>
  </si>
  <si>
    <t>100111640</t>
  </si>
  <si>
    <t>м14</t>
  </si>
  <si>
    <t>100110820</t>
  </si>
  <si>
    <t>100111660</t>
  </si>
  <si>
    <t>м16</t>
  </si>
  <si>
    <t>100110825</t>
  </si>
  <si>
    <t>100111675</t>
  </si>
  <si>
    <t>100110830</t>
  </si>
  <si>
    <t>100111850</t>
  </si>
  <si>
    <t>100110840</t>
  </si>
  <si>
    <t>100112060</t>
  </si>
  <si>
    <t>130</t>
  </si>
  <si>
    <t>м18</t>
  </si>
  <si>
    <t>м20</t>
  </si>
  <si>
    <t>55</t>
  </si>
  <si>
    <t>10002</t>
  </si>
  <si>
    <t>Болт меблевий DIN 603</t>
  </si>
  <si>
    <t>100020845</t>
  </si>
  <si>
    <t>М 8</t>
  </si>
  <si>
    <t>100020850</t>
  </si>
  <si>
    <t>голівка напівкругла з</t>
  </si>
  <si>
    <t>100020855</t>
  </si>
  <si>
    <t>квадратним підголовником</t>
  </si>
  <si>
    <t>100020860</t>
  </si>
  <si>
    <t>100020870</t>
  </si>
  <si>
    <t>100020880</t>
  </si>
  <si>
    <t>100020620</t>
  </si>
  <si>
    <t>М 5</t>
  </si>
  <si>
    <t>100020890</t>
  </si>
  <si>
    <t>100020625</t>
  </si>
  <si>
    <t>100020810</t>
  </si>
  <si>
    <t>100020630</t>
  </si>
  <si>
    <t>100020811</t>
  </si>
  <si>
    <t>100020635</t>
  </si>
  <si>
    <t>100020812</t>
  </si>
  <si>
    <t>100020640</t>
  </si>
  <si>
    <t>100020814</t>
  </si>
  <si>
    <t>М 6</t>
  </si>
  <si>
    <t>100021050</t>
  </si>
  <si>
    <t>М 10</t>
  </si>
  <si>
    <t>100021060</t>
  </si>
  <si>
    <t>100021065</t>
  </si>
  <si>
    <t>100020650</t>
  </si>
  <si>
    <t>100021070</t>
  </si>
  <si>
    <t>100020655</t>
  </si>
  <si>
    <t>100021080</t>
  </si>
  <si>
    <t>100020660</t>
  </si>
  <si>
    <t>100021010</t>
  </si>
  <si>
    <t>100020665</t>
  </si>
  <si>
    <t>100021012</t>
  </si>
  <si>
    <t>100020670</t>
  </si>
  <si>
    <t>100021016</t>
  </si>
  <si>
    <t>100020680</t>
  </si>
  <si>
    <t>100020690</t>
  </si>
  <si>
    <t>1000210200</t>
  </si>
  <si>
    <t>100020610</t>
  </si>
  <si>
    <t>100021240</t>
  </si>
  <si>
    <t>М 12</t>
  </si>
  <si>
    <t>100020611</t>
  </si>
  <si>
    <t>100021260</t>
  </si>
  <si>
    <t>100020820</t>
  </si>
  <si>
    <t>100021280</t>
  </si>
  <si>
    <t>100020830</t>
  </si>
  <si>
    <t>100021210</t>
  </si>
  <si>
    <t>100020840</t>
  </si>
  <si>
    <t>11 Гвинти</t>
  </si>
  <si>
    <t xml:space="preserve">11001 </t>
  </si>
  <si>
    <t>Гвинт метричний DIN 7985</t>
  </si>
  <si>
    <t>110010530</t>
  </si>
  <si>
    <t>110010535</t>
  </si>
  <si>
    <t>голівка циліндр. закруглена, шліц РН, ЦБ</t>
  </si>
  <si>
    <t>110010540</t>
  </si>
  <si>
    <t>клас міцності 4,8</t>
  </si>
  <si>
    <t>110010545</t>
  </si>
  <si>
    <t>110010550</t>
  </si>
  <si>
    <t>110010560</t>
  </si>
  <si>
    <t>110010308</t>
  </si>
  <si>
    <t>110010610</t>
  </si>
  <si>
    <t>110010310</t>
  </si>
  <si>
    <t>110010612</t>
  </si>
  <si>
    <t>110010312</t>
  </si>
  <si>
    <t>110010614</t>
  </si>
  <si>
    <t>110010314</t>
  </si>
  <si>
    <t>110010616</t>
  </si>
  <si>
    <t>110010316</t>
  </si>
  <si>
    <t>110010620</t>
  </si>
  <si>
    <t>110010320</t>
  </si>
  <si>
    <t>110010625</t>
  </si>
  <si>
    <t>110010325</t>
  </si>
  <si>
    <t>110010630</t>
  </si>
  <si>
    <t>110010330</t>
  </si>
  <si>
    <t>110010635</t>
  </si>
  <si>
    <t>110010406</t>
  </si>
  <si>
    <t>М4</t>
  </si>
  <si>
    <t>110010640</t>
  </si>
  <si>
    <t>110010408</t>
  </si>
  <si>
    <t>110010645</t>
  </si>
  <si>
    <t>110010410</t>
  </si>
  <si>
    <t>110010650</t>
  </si>
  <si>
    <t>110010412</t>
  </si>
  <si>
    <t>110010655</t>
  </si>
  <si>
    <t>110010414</t>
  </si>
  <si>
    <t>110010660</t>
  </si>
  <si>
    <t>110010416</t>
  </si>
  <si>
    <t>110010670</t>
  </si>
  <si>
    <t>110010420</t>
  </si>
  <si>
    <t>110010812</t>
  </si>
  <si>
    <t>110010425</t>
  </si>
  <si>
    <t>110010816</t>
  </si>
  <si>
    <t>110010430</t>
  </si>
  <si>
    <t>110010820</t>
  </si>
  <si>
    <t>110010435</t>
  </si>
  <si>
    <t>110010825</t>
  </si>
  <si>
    <t>110010440</t>
  </si>
  <si>
    <t>110010830</t>
  </si>
  <si>
    <t>110010450</t>
  </si>
  <si>
    <t>110010835</t>
  </si>
  <si>
    <t>110010508</t>
  </si>
  <si>
    <t>110010840</t>
  </si>
  <si>
    <t>110010510</t>
  </si>
  <si>
    <t>110010845</t>
  </si>
  <si>
    <t>110010512</t>
  </si>
  <si>
    <t>110010850</t>
  </si>
  <si>
    <t>110010514</t>
  </si>
  <si>
    <t>110010860</t>
  </si>
  <si>
    <t>110010516</t>
  </si>
  <si>
    <t>110010870</t>
  </si>
  <si>
    <t>110010520</t>
  </si>
  <si>
    <t>110010880</t>
  </si>
  <si>
    <t>110010525</t>
  </si>
  <si>
    <t xml:space="preserve">11002 </t>
  </si>
  <si>
    <t>Гвинт метричний DIN 965</t>
  </si>
  <si>
    <t>110020520</t>
  </si>
  <si>
    <t>М5,0</t>
  </si>
  <si>
    <t>110020525</t>
  </si>
  <si>
    <t>голівка потайна, шліц РН, ЦБ</t>
  </si>
  <si>
    <t>110020530</t>
  </si>
  <si>
    <t>110020535</t>
  </si>
  <si>
    <t>110020540</t>
  </si>
  <si>
    <t>110020545</t>
  </si>
  <si>
    <t>М3,0</t>
  </si>
  <si>
    <t>110020550</t>
  </si>
  <si>
    <t>110020610</t>
  </si>
  <si>
    <t>М6,0</t>
  </si>
  <si>
    <t>110020310</t>
  </si>
  <si>
    <t>110020612</t>
  </si>
  <si>
    <t>110020312</t>
  </si>
  <si>
    <t>110020614</t>
  </si>
  <si>
    <t>110020616</t>
  </si>
  <si>
    <t>110020316</t>
  </si>
  <si>
    <t>110020620</t>
  </si>
  <si>
    <t>110020320</t>
  </si>
  <si>
    <t>110020625</t>
  </si>
  <si>
    <t>110020325</t>
  </si>
  <si>
    <t>110020630</t>
  </si>
  <si>
    <t>110020330</t>
  </si>
  <si>
    <t>110020635</t>
  </si>
  <si>
    <t>110020335</t>
  </si>
  <si>
    <t>110020640</t>
  </si>
  <si>
    <t>М4,0</t>
  </si>
  <si>
    <t>110020645</t>
  </si>
  <si>
    <t>110020650</t>
  </si>
  <si>
    <t>110020410</t>
  </si>
  <si>
    <t>110020812</t>
  </si>
  <si>
    <t>М8,0</t>
  </si>
  <si>
    <t>110020412</t>
  </si>
  <si>
    <t>110020816</t>
  </si>
  <si>
    <t>110020416</t>
  </si>
  <si>
    <t>110020820</t>
  </si>
  <si>
    <t>110020420</t>
  </si>
  <si>
    <t>110020825</t>
  </si>
  <si>
    <t>110020425</t>
  </si>
  <si>
    <t>110020830</t>
  </si>
  <si>
    <t>110020430</t>
  </si>
  <si>
    <t>110020835</t>
  </si>
  <si>
    <t>110020435</t>
  </si>
  <si>
    <t>110020840</t>
  </si>
  <si>
    <t>110020440</t>
  </si>
  <si>
    <t>110020845</t>
  </si>
  <si>
    <t>110020850</t>
  </si>
  <si>
    <t>110020510</t>
  </si>
  <si>
    <t>110020860</t>
  </si>
  <si>
    <t>110020512</t>
  </si>
  <si>
    <t>110020870</t>
  </si>
  <si>
    <t>110020514</t>
  </si>
  <si>
    <t>110020880</t>
  </si>
  <si>
    <t>110020516</t>
  </si>
  <si>
    <t xml:space="preserve">11012 </t>
  </si>
  <si>
    <t>Гвинт метричний DIN 912</t>
  </si>
  <si>
    <t>110120860</t>
  </si>
  <si>
    <t>110120870</t>
  </si>
  <si>
    <t>голівка циліндрична, шліц шестигранний, ЦБ</t>
  </si>
  <si>
    <t>110120880</t>
  </si>
  <si>
    <t>клас міцності 8,8</t>
  </si>
  <si>
    <t>110121020</t>
  </si>
  <si>
    <t>110121025</t>
  </si>
  <si>
    <t>110121030</t>
  </si>
  <si>
    <t>110120416</t>
  </si>
  <si>
    <t>110121040</t>
  </si>
  <si>
    <t>110120512</t>
  </si>
  <si>
    <t>110121045</t>
  </si>
  <si>
    <t>110120525</t>
  </si>
  <si>
    <t>110121060</t>
  </si>
  <si>
    <t>110120535</t>
  </si>
  <si>
    <t>110121070</t>
  </si>
  <si>
    <t>110120616</t>
  </si>
  <si>
    <t>110121230</t>
  </si>
  <si>
    <t>110120620</t>
  </si>
  <si>
    <t>110121235</t>
  </si>
  <si>
    <t>110120630</t>
  </si>
  <si>
    <t>110121250</t>
  </si>
  <si>
    <t>110120640</t>
  </si>
  <si>
    <t>110121260</t>
  </si>
  <si>
    <t>110120650</t>
  </si>
  <si>
    <t>110121270</t>
  </si>
  <si>
    <t>110120660</t>
  </si>
  <si>
    <t>110121650</t>
  </si>
  <si>
    <t>110120690</t>
  </si>
  <si>
    <t>110121660</t>
  </si>
  <si>
    <t>110120812</t>
  </si>
  <si>
    <t>110121690</t>
  </si>
  <si>
    <t>110120825</t>
  </si>
  <si>
    <t>110122040</t>
  </si>
  <si>
    <t>110120830</t>
  </si>
  <si>
    <t>110122050</t>
  </si>
  <si>
    <t>110120840</t>
  </si>
  <si>
    <t>110122080</t>
  </si>
  <si>
    <t>110120850</t>
  </si>
  <si>
    <t>23 Цвяхи</t>
  </si>
  <si>
    <t>23001</t>
  </si>
  <si>
    <t>Цвях будівельний</t>
  </si>
  <si>
    <t>Ціна за кг</t>
  </si>
  <si>
    <t>230013280</t>
  </si>
  <si>
    <t>1 кг</t>
  </si>
  <si>
    <t>230013590</t>
  </si>
  <si>
    <t>2300140100</t>
  </si>
  <si>
    <t>2300140120</t>
  </si>
  <si>
    <t>230012040</t>
  </si>
  <si>
    <t>2300150150</t>
  </si>
  <si>
    <t>2300160200</t>
  </si>
  <si>
    <t>230012560</t>
  </si>
  <si>
    <t>2300160230</t>
  </si>
  <si>
    <t>230013070</t>
  </si>
  <si>
    <t>2300150120</t>
  </si>
  <si>
    <t>23003 Цвях покрівельний кільцевий, ЦБ</t>
  </si>
  <si>
    <t>23004</t>
  </si>
  <si>
    <t>Цвях покрівельний з пластиковим ковпачком</t>
  </si>
  <si>
    <t>23005</t>
  </si>
  <si>
    <t>Цвях для ондуліна з ромбоподібною голівкою</t>
  </si>
  <si>
    <t>коричневий</t>
  </si>
  <si>
    <t>червоний</t>
  </si>
  <si>
    <t>зелений</t>
  </si>
  <si>
    <t>12 Гайки</t>
  </si>
  <si>
    <t>12001</t>
  </si>
  <si>
    <t xml:space="preserve"> Гайка шестигранна DIN 934</t>
  </si>
  <si>
    <t>оцинкована, клас міцності 6</t>
  </si>
  <si>
    <t>120010003</t>
  </si>
  <si>
    <t>М</t>
  </si>
  <si>
    <t>120010005</t>
  </si>
  <si>
    <t>120010004</t>
  </si>
  <si>
    <t>120010006</t>
  </si>
  <si>
    <t>120010008</t>
  </si>
  <si>
    <t>120010010</t>
  </si>
  <si>
    <t>120010012</t>
  </si>
  <si>
    <t>120010014</t>
  </si>
  <si>
    <t>120010016</t>
  </si>
  <si>
    <t>120010018</t>
  </si>
  <si>
    <t>120010020</t>
  </si>
  <si>
    <t>120010024</t>
  </si>
  <si>
    <t>120010030</t>
  </si>
  <si>
    <t>12011  Гайка шестигранна DIN 934</t>
  </si>
  <si>
    <t>12004</t>
  </si>
  <si>
    <t>Гайка з'єднувальна DIN 6334</t>
  </si>
  <si>
    <t>12005</t>
  </si>
  <si>
    <t>Гайка самостопорна з нейлоновим кільцем DIN 985</t>
  </si>
  <si>
    <t>матеріал: сталь, покриття ЦБ</t>
  </si>
  <si>
    <t>120050001</t>
  </si>
  <si>
    <t>120050002</t>
  </si>
  <si>
    <t>120050003</t>
  </si>
  <si>
    <t>120050004</t>
  </si>
  <si>
    <t>120050005</t>
  </si>
  <si>
    <t>120050006</t>
  </si>
  <si>
    <t>120050007</t>
  </si>
  <si>
    <t>120060007</t>
  </si>
  <si>
    <t>120050008</t>
  </si>
  <si>
    <t>120050009</t>
  </si>
  <si>
    <t>120050010</t>
  </si>
  <si>
    <t>120050011</t>
  </si>
  <si>
    <t>120050012</t>
  </si>
  <si>
    <t>12002</t>
  </si>
  <si>
    <t>Гайка ковпачкова DIN 1587</t>
  </si>
  <si>
    <t>12013 Гайка баранцева DIN 315</t>
  </si>
  <si>
    <t>12001М04</t>
  </si>
  <si>
    <t>12001М05</t>
  </si>
  <si>
    <t>12001М06</t>
  </si>
  <si>
    <t>12001М10</t>
  </si>
  <si>
    <t>12001М12</t>
  </si>
  <si>
    <t>12001М16</t>
  </si>
  <si>
    <t>12012</t>
  </si>
  <si>
    <t>120120400</t>
  </si>
  <si>
    <t>120120500</t>
  </si>
  <si>
    <t>120120600</t>
  </si>
  <si>
    <t>120120800</t>
  </si>
  <si>
    <t>120121000</t>
  </si>
  <si>
    <t>120121200</t>
  </si>
  <si>
    <t>13 Шайби</t>
  </si>
  <si>
    <t xml:space="preserve">13001 </t>
  </si>
  <si>
    <t>Шайба плоска DIN 125</t>
  </si>
  <si>
    <t xml:space="preserve">13101 </t>
  </si>
  <si>
    <t>оцинкована</t>
  </si>
  <si>
    <t>130010004</t>
  </si>
  <si>
    <t>130010005</t>
  </si>
  <si>
    <t>130010006</t>
  </si>
  <si>
    <t>130010008</t>
  </si>
  <si>
    <t>130010010</t>
  </si>
  <si>
    <t>130010012</t>
  </si>
  <si>
    <t>130010014</t>
  </si>
  <si>
    <t>130010016</t>
  </si>
  <si>
    <t>130010018</t>
  </si>
  <si>
    <t>130010020</t>
  </si>
  <si>
    <t>130010024</t>
  </si>
  <si>
    <t>13002</t>
  </si>
  <si>
    <t>Шайба пружинна DIN7980</t>
  </si>
  <si>
    <t>13102</t>
  </si>
  <si>
    <t>130020004</t>
  </si>
  <si>
    <t>131020005</t>
  </si>
  <si>
    <t>130020005</t>
  </si>
  <si>
    <t>131020006</t>
  </si>
  <si>
    <t>130020006</t>
  </si>
  <si>
    <t>131020008</t>
  </si>
  <si>
    <t>130020008</t>
  </si>
  <si>
    <t>131020010</t>
  </si>
  <si>
    <t>130020010</t>
  </si>
  <si>
    <t>131020012</t>
  </si>
  <si>
    <t>130020012</t>
  </si>
  <si>
    <t>131020014</t>
  </si>
  <si>
    <t>130020014</t>
  </si>
  <si>
    <t>131020016</t>
  </si>
  <si>
    <t>130020016</t>
  </si>
  <si>
    <t>131020020</t>
  </si>
  <si>
    <t>130020020</t>
  </si>
  <si>
    <t>130020024</t>
  </si>
  <si>
    <t xml:space="preserve">13003 </t>
  </si>
  <si>
    <t>Шайба плоска збільшена DIN 9021</t>
  </si>
  <si>
    <t>покриття: ЦБ</t>
  </si>
  <si>
    <t>130030004</t>
  </si>
  <si>
    <t>130030005</t>
  </si>
  <si>
    <t>130030006</t>
  </si>
  <si>
    <t>130030008</t>
  </si>
  <si>
    <t>130030010</t>
  </si>
  <si>
    <t>130030012</t>
  </si>
  <si>
    <t>130030014</t>
  </si>
  <si>
    <t>130030016</t>
  </si>
  <si>
    <t>130030020</t>
  </si>
  <si>
    <t>130030024</t>
  </si>
  <si>
    <t xml:space="preserve">13103 </t>
  </si>
  <si>
    <t xml:space="preserve">13004 </t>
  </si>
  <si>
    <t>Шайба плоска для дерев'яних конструкцій DIN 440</t>
  </si>
  <si>
    <t>13010</t>
  </si>
  <si>
    <t xml:space="preserve"> Шайба з прокладкою EPDM</t>
  </si>
  <si>
    <t>20 Такелаж</t>
  </si>
  <si>
    <t>20001</t>
  </si>
  <si>
    <t>Талреп (гак-кільце) DIN1480</t>
  </si>
  <si>
    <t>20002</t>
  </si>
  <si>
    <t>Талреп (гак-гак) DIN 1480</t>
  </si>
  <si>
    <t>200010005</t>
  </si>
  <si>
    <t>200020005</t>
  </si>
  <si>
    <t>200010006</t>
  </si>
  <si>
    <t>200020006</t>
  </si>
  <si>
    <t>200010008</t>
  </si>
  <si>
    <t>200020008</t>
  </si>
  <si>
    <t>200010010</t>
  </si>
  <si>
    <t>200020010</t>
  </si>
  <si>
    <t>200010012</t>
  </si>
  <si>
    <t>200020012</t>
  </si>
  <si>
    <t>200010014</t>
  </si>
  <si>
    <t>200020014</t>
  </si>
  <si>
    <t>200010016</t>
  </si>
  <si>
    <t>200020016</t>
  </si>
  <si>
    <t>200010018</t>
  </si>
  <si>
    <t>200020018</t>
  </si>
  <si>
    <t>200010020</t>
  </si>
  <si>
    <t>200020020</t>
  </si>
  <si>
    <t>200010024</t>
  </si>
  <si>
    <t>200020024</t>
  </si>
  <si>
    <t>20003</t>
  </si>
  <si>
    <t>Талреп (кільце-кільце) DIN 1480</t>
  </si>
  <si>
    <t>20004</t>
  </si>
  <si>
    <t xml:space="preserve">Талреп (гак-кільце) DIN 1480 </t>
  </si>
  <si>
    <t>нержавіюча сталь, А4</t>
  </si>
  <si>
    <t>200030005</t>
  </si>
  <si>
    <t>200030006</t>
  </si>
  <si>
    <t>200030008</t>
  </si>
  <si>
    <t>200030010</t>
  </si>
  <si>
    <t>200030012</t>
  </si>
  <si>
    <t>200030014</t>
  </si>
  <si>
    <t>200030016</t>
  </si>
  <si>
    <t>200030018</t>
  </si>
  <si>
    <t>200030020</t>
  </si>
  <si>
    <t>200030024</t>
  </si>
  <si>
    <t>20010</t>
  </si>
  <si>
    <t>Зажим для тросу DIN 741</t>
  </si>
  <si>
    <t>20110</t>
  </si>
  <si>
    <t>200100001</t>
  </si>
  <si>
    <t>200100002</t>
  </si>
  <si>
    <t>200100003</t>
  </si>
  <si>
    <t>200100004</t>
  </si>
  <si>
    <t>200100005</t>
  </si>
  <si>
    <t>200100006</t>
  </si>
  <si>
    <t>200100007</t>
  </si>
  <si>
    <t>200100008</t>
  </si>
  <si>
    <t>20011</t>
  </si>
  <si>
    <t>Зажим для тросу Simplex</t>
  </si>
  <si>
    <t>20012</t>
  </si>
  <si>
    <t>Зажим для тросу Duplex</t>
  </si>
  <si>
    <t>200110001</t>
  </si>
  <si>
    <t>200120001</t>
  </si>
  <si>
    <t>200110002</t>
  </si>
  <si>
    <t>200120002</t>
  </si>
  <si>
    <t>200110003</t>
  </si>
  <si>
    <t>200120003</t>
  </si>
  <si>
    <t>200110004</t>
  </si>
  <si>
    <t>200120004</t>
  </si>
  <si>
    <t>200110005</t>
  </si>
  <si>
    <t>200120005</t>
  </si>
  <si>
    <t>200110006</t>
  </si>
  <si>
    <t>200120006</t>
  </si>
  <si>
    <t>20013</t>
  </si>
  <si>
    <t>Зажим для тросу бочкоподібний (обжимний)</t>
  </si>
  <si>
    <t>20014</t>
  </si>
  <si>
    <t xml:space="preserve">Зажим для тросу </t>
  </si>
  <si>
    <t>200130001</t>
  </si>
  <si>
    <t>200140001</t>
  </si>
  <si>
    <t>200130002</t>
  </si>
  <si>
    <t>200140002</t>
  </si>
  <si>
    <t>200130003</t>
  </si>
  <si>
    <t>200140003</t>
  </si>
  <si>
    <t>200130004</t>
  </si>
  <si>
    <t>200140004</t>
  </si>
  <si>
    <t>200130005</t>
  </si>
  <si>
    <t>200140005</t>
  </si>
  <si>
    <t>20020</t>
  </si>
  <si>
    <t>Карабін пожежний</t>
  </si>
  <si>
    <t>Карабін пожежний, нержавіюча сталь, А4</t>
  </si>
  <si>
    <t>200200001</t>
  </si>
  <si>
    <t>201200400</t>
  </si>
  <si>
    <t>200200002</t>
  </si>
  <si>
    <t>201200500</t>
  </si>
  <si>
    <t>200200003</t>
  </si>
  <si>
    <t>201200600</t>
  </si>
  <si>
    <t>200200004</t>
  </si>
  <si>
    <t>200200005</t>
  </si>
  <si>
    <t>200200006</t>
  </si>
  <si>
    <t>20021</t>
  </si>
  <si>
    <t>Карабін гвинтовий</t>
  </si>
  <si>
    <t>Карабін з фіксатором</t>
  </si>
  <si>
    <t>200210001</t>
  </si>
  <si>
    <t>200220001</t>
  </si>
  <si>
    <t>200210002</t>
  </si>
  <si>
    <t>200220002</t>
  </si>
  <si>
    <t>200210003</t>
  </si>
  <si>
    <t>200220003</t>
  </si>
  <si>
    <t>200210004</t>
  </si>
  <si>
    <t>200220004</t>
  </si>
  <si>
    <t>200210005</t>
  </si>
  <si>
    <t>200210006</t>
  </si>
  <si>
    <t>Карабін пружинний з вертлюгом</t>
  </si>
  <si>
    <t>Карабін з вертлюгом посилений</t>
  </si>
  <si>
    <t>200230001</t>
  </si>
  <si>
    <t>200240001</t>
  </si>
  <si>
    <t>200230002</t>
  </si>
  <si>
    <t>200230003</t>
  </si>
  <si>
    <t>200230004</t>
  </si>
  <si>
    <t>20026</t>
  </si>
  <si>
    <t>Скоба такелажна (прямий тип)</t>
  </si>
  <si>
    <t>20030</t>
  </si>
  <si>
    <t>Вертлюг нікельований</t>
  </si>
  <si>
    <t>200260001</t>
  </si>
  <si>
    <t>200300001</t>
  </si>
  <si>
    <t>200260002</t>
  </si>
  <si>
    <t>200300002</t>
  </si>
  <si>
    <t>200260003</t>
  </si>
  <si>
    <t>200300003</t>
  </si>
  <si>
    <t>200260004</t>
  </si>
  <si>
    <t>200260005</t>
  </si>
  <si>
    <t>20036</t>
  </si>
  <si>
    <t>З'єднувач ланцюга</t>
  </si>
  <si>
    <t>20037</t>
  </si>
  <si>
    <t xml:space="preserve">Гак S-подібний </t>
  </si>
  <si>
    <t>200360001</t>
  </si>
  <si>
    <t>200370001</t>
  </si>
  <si>
    <t>200360002</t>
  </si>
  <si>
    <t>200370002</t>
  </si>
  <si>
    <t>200360003</t>
  </si>
  <si>
    <t>200370003</t>
  </si>
  <si>
    <t>200360004</t>
  </si>
  <si>
    <t>200370004</t>
  </si>
  <si>
    <t>200370005</t>
  </si>
  <si>
    <t>20039</t>
  </si>
  <si>
    <t>Коуш для сталевих канатів</t>
  </si>
  <si>
    <t>20139</t>
  </si>
  <si>
    <t>200390001</t>
  </si>
  <si>
    <t>201390200</t>
  </si>
  <si>
    <t>201390300</t>
  </si>
  <si>
    <t>201390400</t>
  </si>
  <si>
    <t>201390500</t>
  </si>
  <si>
    <t>201390600</t>
  </si>
  <si>
    <t>Рим-болт</t>
  </si>
  <si>
    <t>Рим-гайка</t>
  </si>
  <si>
    <t>200400001</t>
  </si>
  <si>
    <t>200420001</t>
  </si>
  <si>
    <t>200420002</t>
  </si>
  <si>
    <t>200400002</t>
  </si>
  <si>
    <t>200420003</t>
  </si>
  <si>
    <t>200400003</t>
  </si>
  <si>
    <t>200420004</t>
  </si>
  <si>
    <t>200400004</t>
  </si>
  <si>
    <t>200420005</t>
  </si>
  <si>
    <t>20050</t>
  </si>
  <si>
    <t>Блок одинарний оцинкований</t>
  </si>
  <si>
    <t>20052</t>
  </si>
  <si>
    <t>Блок одинарний нікельований</t>
  </si>
  <si>
    <t>20053</t>
  </si>
  <si>
    <t>Блок подвійний нікельований</t>
  </si>
  <si>
    <t>21001</t>
  </si>
  <si>
    <t xml:space="preserve">Трос сталевий </t>
  </si>
  <si>
    <t>Бухта, м</t>
  </si>
  <si>
    <t>Ціна за 1 м.п.</t>
  </si>
  <si>
    <t>21002</t>
  </si>
  <si>
    <t>Трос сталевий в полімерній оплітці</t>
  </si>
  <si>
    <t>21003</t>
  </si>
  <si>
    <t>Трос сталевий нержавіючий А4</t>
  </si>
  <si>
    <t>22001</t>
  </si>
  <si>
    <t>Ланцюг оцинкований довга ланка</t>
  </si>
  <si>
    <t>22002</t>
  </si>
  <si>
    <t>Ланцюг оцинкований коротка ланка</t>
  </si>
  <si>
    <t>220010002</t>
  </si>
  <si>
    <t>220020002</t>
  </si>
  <si>
    <t>220010003</t>
  </si>
  <si>
    <t>220020003</t>
  </si>
  <si>
    <t>220010004</t>
  </si>
  <si>
    <t>220020004</t>
  </si>
  <si>
    <t>220010005</t>
  </si>
  <si>
    <t>220020005</t>
  </si>
  <si>
    <t>220010006</t>
  </si>
  <si>
    <t>220020006</t>
  </si>
  <si>
    <t>220010008</t>
  </si>
  <si>
    <t>220020008</t>
  </si>
  <si>
    <t>220010010</t>
  </si>
  <si>
    <t>220020010</t>
  </si>
  <si>
    <t>22005</t>
  </si>
  <si>
    <t>Ланцюг кручений DIN 5686</t>
  </si>
  <si>
    <t>220050001</t>
  </si>
  <si>
    <t>220050002</t>
  </si>
  <si>
    <t>220050003</t>
  </si>
  <si>
    <t>220050004</t>
  </si>
  <si>
    <t>220050005</t>
  </si>
  <si>
    <t>118</t>
  </si>
  <si>
    <t>Кляймер</t>
  </si>
  <si>
    <t>Ціна за 1 уп.</t>
  </si>
  <si>
    <t>№</t>
  </si>
  <si>
    <t>32 Перфороване кріплення</t>
  </si>
  <si>
    <t xml:space="preserve">32001 </t>
  </si>
  <si>
    <t>Пластина пряма перфорована</t>
  </si>
  <si>
    <t>320010018</t>
  </si>
  <si>
    <t>60х220х2,0</t>
  </si>
  <si>
    <t>320010019</t>
  </si>
  <si>
    <t>60х240х2,0</t>
  </si>
  <si>
    <t>320010020</t>
  </si>
  <si>
    <t>60х300х2,0</t>
  </si>
  <si>
    <t>ЦБ</t>
  </si>
  <si>
    <t>320010021</t>
  </si>
  <si>
    <t>80х100х2,0</t>
  </si>
  <si>
    <t>320010022</t>
  </si>
  <si>
    <t>80х140х2,0</t>
  </si>
  <si>
    <t>320010023</t>
  </si>
  <si>
    <t>80х180х2,0</t>
  </si>
  <si>
    <t>320010001</t>
  </si>
  <si>
    <t>20х80х2,0</t>
  </si>
  <si>
    <t>320010024</t>
  </si>
  <si>
    <t>80х200х2,0</t>
  </si>
  <si>
    <t>320010002</t>
  </si>
  <si>
    <t>40х80х2,0</t>
  </si>
  <si>
    <t>320010025</t>
  </si>
  <si>
    <t>80х220х2,0</t>
  </si>
  <si>
    <t>320010003</t>
  </si>
  <si>
    <t>40х100х2,0</t>
  </si>
  <si>
    <t>320010026</t>
  </si>
  <si>
    <t>80х240х2,0</t>
  </si>
  <si>
    <t>320010004</t>
  </si>
  <si>
    <t>40х120х2,0</t>
  </si>
  <si>
    <t>320010027</t>
  </si>
  <si>
    <t>80х300х2,0</t>
  </si>
  <si>
    <t>320010005</t>
  </si>
  <si>
    <t>40х140х2,0</t>
  </si>
  <si>
    <t>320010028</t>
  </si>
  <si>
    <t>100х140х2,0</t>
  </si>
  <si>
    <t>320010006</t>
  </si>
  <si>
    <t>40х160х2,0</t>
  </si>
  <si>
    <t>320010029</t>
  </si>
  <si>
    <t>100х160х2,0</t>
  </si>
  <si>
    <t>320010007</t>
  </si>
  <si>
    <t>40х200х2,0</t>
  </si>
  <si>
    <t>320010030</t>
  </si>
  <si>
    <t>100х200х2,0</t>
  </si>
  <si>
    <t>320010008</t>
  </si>
  <si>
    <t>50х160х2,0</t>
  </si>
  <si>
    <t>320010031</t>
  </si>
  <si>
    <t>100х220х2,0</t>
  </si>
  <si>
    <t>320010009</t>
  </si>
  <si>
    <t>50х180х2,0</t>
  </si>
  <si>
    <t>320010032</t>
  </si>
  <si>
    <t>100х240х2,0</t>
  </si>
  <si>
    <t>320010010</t>
  </si>
  <si>
    <t>50х200х2,0</t>
  </si>
  <si>
    <t>320010033</t>
  </si>
  <si>
    <t>100х260х2,0</t>
  </si>
  <si>
    <t>320010011</t>
  </si>
  <si>
    <t>50х240х2,0</t>
  </si>
  <si>
    <t>320010034</t>
  </si>
  <si>
    <t>100х280х2,0</t>
  </si>
  <si>
    <t>320010012</t>
  </si>
  <si>
    <t>50х300х2,0</t>
  </si>
  <si>
    <t>320010035</t>
  </si>
  <si>
    <t>100х300х2,0</t>
  </si>
  <si>
    <t>320010013</t>
  </si>
  <si>
    <t>60х120х2,0</t>
  </si>
  <si>
    <t>320010036</t>
  </si>
  <si>
    <t>120х240х2,0</t>
  </si>
  <si>
    <t>320010014</t>
  </si>
  <si>
    <t>60х140х2,0</t>
  </si>
  <si>
    <t>320010037</t>
  </si>
  <si>
    <t>120х300х2,0</t>
  </si>
  <si>
    <t>320010015</t>
  </si>
  <si>
    <t>60х160х2,0</t>
  </si>
  <si>
    <t>320010038</t>
  </si>
  <si>
    <t>140х400х2,0</t>
  </si>
  <si>
    <t>320010016</t>
  </si>
  <si>
    <t>60х180х2,0</t>
  </si>
  <si>
    <t>320010039</t>
  </si>
  <si>
    <t>200х200х2,0</t>
  </si>
  <si>
    <t>320010017</t>
  </si>
  <si>
    <t>60х200х2,0</t>
  </si>
  <si>
    <t>320010040</t>
  </si>
  <si>
    <t>300х400х2,0</t>
  </si>
  <si>
    <t>32002</t>
  </si>
  <si>
    <t>Пластина перфорована вузька</t>
  </si>
  <si>
    <t>320020003</t>
  </si>
  <si>
    <t>80х15х2,0</t>
  </si>
  <si>
    <t>320020004</t>
  </si>
  <si>
    <t>100х15х2,0</t>
  </si>
  <si>
    <t>320020005</t>
  </si>
  <si>
    <t>120х15х2,0</t>
  </si>
  <si>
    <t>320020006</t>
  </si>
  <si>
    <t>150х15х2,0</t>
  </si>
  <si>
    <t>320020007</t>
  </si>
  <si>
    <t>180х20х2,0</t>
  </si>
  <si>
    <t>320020008</t>
  </si>
  <si>
    <t>200х20х4,0</t>
  </si>
  <si>
    <t>50х15х2,0</t>
  </si>
  <si>
    <t>320020009</t>
  </si>
  <si>
    <t>250х20х5,0</t>
  </si>
  <si>
    <t>60х15х2,0</t>
  </si>
  <si>
    <t>320020010</t>
  </si>
  <si>
    <t>300х25х5,0</t>
  </si>
  <si>
    <t>32003</t>
  </si>
  <si>
    <t>Пластина перфорована стовщена</t>
  </si>
  <si>
    <t>320030001</t>
  </si>
  <si>
    <t>170х30х3,0</t>
  </si>
  <si>
    <t>320030002</t>
  </si>
  <si>
    <t>192х35х4,0</t>
  </si>
  <si>
    <t>32004</t>
  </si>
  <si>
    <t>Пластина монтажна</t>
  </si>
  <si>
    <t>320040001</t>
  </si>
  <si>
    <t>100х35х2,5</t>
  </si>
  <si>
    <t>320040002</t>
  </si>
  <si>
    <t>140х55х2,5</t>
  </si>
  <si>
    <t>320040003</t>
  </si>
  <si>
    <t>180х40х2,5</t>
  </si>
  <si>
    <t>320040004</t>
  </si>
  <si>
    <t>180х65х2,5</t>
  </si>
  <si>
    <t>320040005</t>
  </si>
  <si>
    <t>210х90х2,5</t>
  </si>
  <si>
    <t>32005</t>
  </si>
  <si>
    <t>Пластина перфорована тип L</t>
  </si>
  <si>
    <t>320050001</t>
  </si>
  <si>
    <t>50х50х10х2,0</t>
  </si>
  <si>
    <t>320050002</t>
  </si>
  <si>
    <t>60х60х10х2,0</t>
  </si>
  <si>
    <t>320050003</t>
  </si>
  <si>
    <t>75х75х12х3,0</t>
  </si>
  <si>
    <t>320050004</t>
  </si>
  <si>
    <t>100х100х15х2,0</t>
  </si>
  <si>
    <t>320050005</t>
  </si>
  <si>
    <t>150х150х25х2,5</t>
  </si>
  <si>
    <t>320050006</t>
  </si>
  <si>
    <t>200х200х30х3,0</t>
  </si>
  <si>
    <t>320050007</t>
  </si>
  <si>
    <t>250х250х30х3,0</t>
  </si>
  <si>
    <t>320050008</t>
  </si>
  <si>
    <t>300х300х40х4,0</t>
  </si>
  <si>
    <t>32006</t>
  </si>
  <si>
    <t>Пластина перфорована тип Т</t>
  </si>
  <si>
    <t>320060001</t>
  </si>
  <si>
    <t>70х50х16х2,0</t>
  </si>
  <si>
    <t>32007</t>
  </si>
  <si>
    <t>Кутник перфорованый</t>
  </si>
  <si>
    <t>320070009</t>
  </si>
  <si>
    <t>50х50х50х2,0</t>
  </si>
  <si>
    <t>320070010</t>
  </si>
  <si>
    <t>60х60х40х2,0</t>
  </si>
  <si>
    <t>320070011</t>
  </si>
  <si>
    <t>60х60х50х2,0</t>
  </si>
  <si>
    <t>320070012</t>
  </si>
  <si>
    <t>60х60х60х2,0</t>
  </si>
  <si>
    <t>320070013</t>
  </si>
  <si>
    <t>60х60х80х2,0</t>
  </si>
  <si>
    <t>320070014</t>
  </si>
  <si>
    <t>60х60х100х2,0</t>
  </si>
  <si>
    <t>320070001</t>
  </si>
  <si>
    <t>20х20х10х1,5</t>
  </si>
  <si>
    <t>320070015</t>
  </si>
  <si>
    <t>80х80х40х2,0</t>
  </si>
  <si>
    <t>320070002</t>
  </si>
  <si>
    <t>30х30х15х1,5</t>
  </si>
  <si>
    <t>320070016</t>
  </si>
  <si>
    <t>80х80х60х2,0</t>
  </si>
  <si>
    <t>320070003</t>
  </si>
  <si>
    <t>40х40х20х2,0</t>
  </si>
  <si>
    <t>320070017</t>
  </si>
  <si>
    <t>80х80х80х2,0</t>
  </si>
  <si>
    <t>320070004</t>
  </si>
  <si>
    <t>40х40х40х2,0</t>
  </si>
  <si>
    <t>320070018</t>
  </si>
  <si>
    <t>100х100х60х2,0</t>
  </si>
  <si>
    <t>320070005</t>
  </si>
  <si>
    <t>40х40х60х2,0</t>
  </si>
  <si>
    <t>320070019</t>
  </si>
  <si>
    <t>100х100х80х2,0</t>
  </si>
  <si>
    <t>320070006</t>
  </si>
  <si>
    <t>40х40х100х2,0</t>
  </si>
  <si>
    <t>320070020</t>
  </si>
  <si>
    <t>100х100х100х2,0</t>
  </si>
  <si>
    <t>320070007</t>
  </si>
  <si>
    <t>40х40х200х2,0</t>
  </si>
  <si>
    <t>320070021</t>
  </si>
  <si>
    <t>160х160х60х2,0</t>
  </si>
  <si>
    <t>320070008</t>
  </si>
  <si>
    <t>50х50х40х2,0</t>
  </si>
  <si>
    <t>320070022</t>
  </si>
  <si>
    <t>160х160х80х2,0</t>
  </si>
  <si>
    <t>32008</t>
  </si>
  <si>
    <t>Кутник монтажний</t>
  </si>
  <si>
    <t>320080001</t>
  </si>
  <si>
    <t>50х50х35х2,5</t>
  </si>
  <si>
    <t>320080002</t>
  </si>
  <si>
    <t>70х70х55х2,5</t>
  </si>
  <si>
    <t>320080003</t>
  </si>
  <si>
    <t>90х90х40х2,0</t>
  </si>
  <si>
    <t>320080004</t>
  </si>
  <si>
    <t>90х90х65х2,5</t>
  </si>
  <si>
    <t>320080005</t>
  </si>
  <si>
    <t>105х105х90х2,5</t>
  </si>
  <si>
    <t>320080006</t>
  </si>
  <si>
    <t>150х50х35х2,5</t>
  </si>
  <si>
    <t>32010</t>
  </si>
  <si>
    <t>Кутник вузький</t>
  </si>
  <si>
    <t>320100005</t>
  </si>
  <si>
    <t>60х60х15х2,0</t>
  </si>
  <si>
    <t>320100006</t>
  </si>
  <si>
    <t>75х75х15х2,0</t>
  </si>
  <si>
    <t>320100007</t>
  </si>
  <si>
    <t>90х90х20х2,0</t>
  </si>
  <si>
    <t>320100008</t>
  </si>
  <si>
    <t>100х100х20х2,0</t>
  </si>
  <si>
    <t>320100009</t>
  </si>
  <si>
    <t>100х100х20х4,0</t>
  </si>
  <si>
    <t>320100010</t>
  </si>
  <si>
    <t>120х120х20х2,0</t>
  </si>
  <si>
    <t>320100001</t>
  </si>
  <si>
    <t>25х25х15х2,0</t>
  </si>
  <si>
    <t>320100011</t>
  </si>
  <si>
    <t>125х125х20х2,0</t>
  </si>
  <si>
    <t>320100002</t>
  </si>
  <si>
    <t>30х30х15х2,0</t>
  </si>
  <si>
    <t>320100012</t>
  </si>
  <si>
    <t>125х125х20х5,0</t>
  </si>
  <si>
    <t>320100003</t>
  </si>
  <si>
    <t>40х40х15х2,0</t>
  </si>
  <si>
    <t>320100013</t>
  </si>
  <si>
    <t>150х150х20х2,0</t>
  </si>
  <si>
    <t>320100004</t>
  </si>
  <si>
    <t>50х50х15х2,0</t>
  </si>
  <si>
    <t>320100014</t>
  </si>
  <si>
    <t>150х150х25х5,0</t>
  </si>
  <si>
    <t>32011</t>
  </si>
  <si>
    <t>Кутник перфоровний посилений</t>
  </si>
  <si>
    <t>320110001</t>
  </si>
  <si>
    <t>60х80х40х2,5</t>
  </si>
  <si>
    <t>320110002</t>
  </si>
  <si>
    <t>65х65х90х2,5</t>
  </si>
  <si>
    <t>32012</t>
  </si>
  <si>
    <t>Кутник монтажний посилений</t>
  </si>
  <si>
    <t>320120003</t>
  </si>
  <si>
    <t>90х60х80х2,5</t>
  </si>
  <si>
    <t>320120004</t>
  </si>
  <si>
    <t>320120005</t>
  </si>
  <si>
    <t>320120006</t>
  </si>
  <si>
    <t>105х105х105х2,5</t>
  </si>
  <si>
    <t>320120007</t>
  </si>
  <si>
    <t>125х125х65х2,5</t>
  </si>
  <si>
    <t>320120008</t>
  </si>
  <si>
    <t>140х140х100х2,5</t>
  </si>
  <si>
    <t>320120001</t>
  </si>
  <si>
    <t>90х50х50х2,5</t>
  </si>
  <si>
    <t>320120009</t>
  </si>
  <si>
    <t>150х150х65х2.5</t>
  </si>
  <si>
    <t>320120002</t>
  </si>
  <si>
    <t>90х50х55х2,5</t>
  </si>
  <si>
    <t>32013</t>
  </si>
  <si>
    <t>Кутник монтажний регульований</t>
  </si>
  <si>
    <t>320130001</t>
  </si>
  <si>
    <t>320130002</t>
  </si>
  <si>
    <t>90х50х76х2,5</t>
  </si>
  <si>
    <t>320130003</t>
  </si>
  <si>
    <t>90х60х60х2,5</t>
  </si>
  <si>
    <t>320130004</t>
  </si>
  <si>
    <t>90х50х116х2,5</t>
  </si>
  <si>
    <t>32015</t>
  </si>
  <si>
    <t>Кутник перфорований асиметричний</t>
  </si>
  <si>
    <t>320150001</t>
  </si>
  <si>
    <t>40х120х40х2,0</t>
  </si>
  <si>
    <t>320150002</t>
  </si>
  <si>
    <t>40х140х40х2,0</t>
  </si>
  <si>
    <t>320150003</t>
  </si>
  <si>
    <t>40х200х40х2,0</t>
  </si>
  <si>
    <t>320150004</t>
  </si>
  <si>
    <t>95х95х40х2,0</t>
  </si>
  <si>
    <t>320150005</t>
  </si>
  <si>
    <t>120х95х40х2,0</t>
  </si>
  <si>
    <t>320150006</t>
  </si>
  <si>
    <t>120х95х170х2,0</t>
  </si>
  <si>
    <t>32016</t>
  </si>
  <si>
    <t>Кутник монтажний асиметричний</t>
  </si>
  <si>
    <t>320160001</t>
  </si>
  <si>
    <t>40х300х40х2,0</t>
  </si>
  <si>
    <t>320160002</t>
  </si>
  <si>
    <t>40х400х40х2,0</t>
  </si>
  <si>
    <t>32017</t>
  </si>
  <si>
    <t>Кутик широкий</t>
  </si>
  <si>
    <t>320170001</t>
  </si>
  <si>
    <t>30х30х30х2,0</t>
  </si>
  <si>
    <t>320170002</t>
  </si>
  <si>
    <t>320170003</t>
  </si>
  <si>
    <t>320170004</t>
  </si>
  <si>
    <t>75х40х25х2,0</t>
  </si>
  <si>
    <t>32018</t>
  </si>
  <si>
    <t>Кутик монтажний 135 градусов</t>
  </si>
  <si>
    <t>320180001</t>
  </si>
  <si>
    <t>320180002</t>
  </si>
  <si>
    <t>320180003</t>
  </si>
  <si>
    <t>320180004</t>
  </si>
  <si>
    <t>32019</t>
  </si>
  <si>
    <t>Кутник регульований</t>
  </si>
  <si>
    <t>320190001</t>
  </si>
  <si>
    <t>60х30х60х2,0</t>
  </si>
  <si>
    <t>320190002</t>
  </si>
  <si>
    <t>60х40х60х2,0</t>
  </si>
  <si>
    <t>320190003</t>
  </si>
  <si>
    <t>80х65х20х4,0</t>
  </si>
  <si>
    <t>32020</t>
  </si>
  <si>
    <t>Кутник для балок</t>
  </si>
  <si>
    <t>320200001</t>
  </si>
  <si>
    <t>100х75х30х3,0</t>
  </si>
  <si>
    <t>320200002</t>
  </si>
  <si>
    <t>100х50х50х4,0</t>
  </si>
  <si>
    <t>320200003</t>
  </si>
  <si>
    <t>120х80х35х4,0</t>
  </si>
  <si>
    <t>320200004</t>
  </si>
  <si>
    <t>180х120х40х5,0</t>
  </si>
  <si>
    <t>32030</t>
  </si>
  <si>
    <t>Підвіс для балок зовнішній</t>
  </si>
  <si>
    <t>320300012</t>
  </si>
  <si>
    <t>50х145х75х2,0</t>
  </si>
  <si>
    <t>320300013</t>
  </si>
  <si>
    <t>50х165х75х2,0</t>
  </si>
  <si>
    <t>320300014</t>
  </si>
  <si>
    <t>60х100х75х2,0</t>
  </si>
  <si>
    <t>320300015</t>
  </si>
  <si>
    <t>60х125х75х2,0</t>
  </si>
  <si>
    <t>320300016</t>
  </si>
  <si>
    <t>60х150х75х2,0</t>
  </si>
  <si>
    <t>320300017</t>
  </si>
  <si>
    <t>64х158х75х2,0</t>
  </si>
  <si>
    <t>320300001</t>
  </si>
  <si>
    <t>25х108х75х2,0</t>
  </si>
  <si>
    <t>320300018</t>
  </si>
  <si>
    <t>70х155х75х2,0</t>
  </si>
  <si>
    <t>320300002</t>
  </si>
  <si>
    <t>38х131х75х2,0</t>
  </si>
  <si>
    <t>320300019</t>
  </si>
  <si>
    <t>75х118х75х2,0</t>
  </si>
  <si>
    <t>320300003</t>
  </si>
  <si>
    <t>41х100х75х2,0</t>
  </si>
  <si>
    <t>320300020</t>
  </si>
  <si>
    <t>75х152х75х2,0</t>
  </si>
  <si>
    <t>320300004</t>
  </si>
  <si>
    <t>41х135х75х2,0</t>
  </si>
  <si>
    <t>320300021</t>
  </si>
  <si>
    <t>75х212х75х2,0</t>
  </si>
  <si>
    <t>320300005</t>
  </si>
  <si>
    <t>41х169х75х2,0</t>
  </si>
  <si>
    <t>320300022</t>
  </si>
  <si>
    <t>80х120х75х2,0</t>
  </si>
  <si>
    <t>320300006</t>
  </si>
  <si>
    <t>46х100х75х2,0</t>
  </si>
  <si>
    <t>320300023</t>
  </si>
  <si>
    <t>90х145х75х2,0</t>
  </si>
  <si>
    <t>320300007</t>
  </si>
  <si>
    <t>46х135х75х2,0</t>
  </si>
  <si>
    <t>320300024</t>
  </si>
  <si>
    <t>100х140х75х2,0</t>
  </si>
  <si>
    <t>320300008</t>
  </si>
  <si>
    <t>46х167х75х2,0</t>
  </si>
  <si>
    <t>320300025</t>
  </si>
  <si>
    <t>120х120х75х2,0</t>
  </si>
  <si>
    <t>320300009</t>
  </si>
  <si>
    <t>50х98х75х2,0</t>
  </si>
  <si>
    <t>320300026</t>
  </si>
  <si>
    <t>120х160х75х2,0</t>
  </si>
  <si>
    <t>320300010</t>
  </si>
  <si>
    <t>50х125х75х2,0</t>
  </si>
  <si>
    <t>320300027</t>
  </si>
  <si>
    <t>140х180х75х2,0</t>
  </si>
  <si>
    <t>320300011</t>
  </si>
  <si>
    <t>50х135х75х2,0</t>
  </si>
  <si>
    <t>32031</t>
  </si>
  <si>
    <t>Підвіс для балок внутрішній</t>
  </si>
  <si>
    <t>320310001</t>
  </si>
  <si>
    <t>320310002</t>
  </si>
  <si>
    <t>320310003</t>
  </si>
  <si>
    <t>320310004</t>
  </si>
  <si>
    <t>320310005</t>
  </si>
  <si>
    <t>32032</t>
  </si>
  <si>
    <t>Підвіс для балок полегшений</t>
  </si>
  <si>
    <t>320320001</t>
  </si>
  <si>
    <t>25х72х45х1,0</t>
  </si>
  <si>
    <t>320320002</t>
  </si>
  <si>
    <t>32х69х45х1,0</t>
  </si>
  <si>
    <t>320320003</t>
  </si>
  <si>
    <t>38х66х45х1,0</t>
  </si>
  <si>
    <t>320320004</t>
  </si>
  <si>
    <t>50х60х45х1,0</t>
  </si>
  <si>
    <t>32033</t>
  </si>
  <si>
    <t>Підвіс для балок роздільний</t>
  </si>
  <si>
    <t>320330001</t>
  </si>
  <si>
    <t>32х100х75х2,0</t>
  </si>
  <si>
    <t>320330002</t>
  </si>
  <si>
    <t>32х120х75х2,0</t>
  </si>
  <si>
    <t>320330003</t>
  </si>
  <si>
    <t>32х150х75х2,0</t>
  </si>
  <si>
    <t>32034</t>
  </si>
  <si>
    <t>З’єднувач універсальний</t>
  </si>
  <si>
    <t>320340001</t>
  </si>
  <si>
    <t>100х50х40х2,5 L</t>
  </si>
  <si>
    <t>320340002</t>
  </si>
  <si>
    <t>100х50х40х2,5 R</t>
  </si>
  <si>
    <t>32035</t>
  </si>
  <si>
    <t>З’єднувач для стропіл лівий</t>
  </si>
  <si>
    <t>320350001</t>
  </si>
  <si>
    <t>170х40х40х2,0</t>
  </si>
  <si>
    <t>320350002</t>
  </si>
  <si>
    <t>210х32х32х2,0</t>
  </si>
  <si>
    <t>320350003</t>
  </si>
  <si>
    <t>250х32х32х2,0</t>
  </si>
  <si>
    <t>32036</t>
  </si>
  <si>
    <t>З’єднувач для стропіл правий</t>
  </si>
  <si>
    <t>320360001</t>
  </si>
  <si>
    <t>320360002</t>
  </si>
  <si>
    <t>320360003</t>
  </si>
  <si>
    <t>32037</t>
  </si>
  <si>
    <t>Опора колони до бетону</t>
  </si>
  <si>
    <t>320370001</t>
  </si>
  <si>
    <t>70х60х100х5,0</t>
  </si>
  <si>
    <t>320370002</t>
  </si>
  <si>
    <t>80х60х100х5,0</t>
  </si>
  <si>
    <t>320370003</t>
  </si>
  <si>
    <t>90х60х100х5,0</t>
  </si>
  <si>
    <t>320370004</t>
  </si>
  <si>
    <t>100х60х100х5,0</t>
  </si>
  <si>
    <t>120х60х120х4,0</t>
  </si>
  <si>
    <t>320370005</t>
  </si>
  <si>
    <t>150х60х100х5,0</t>
  </si>
  <si>
    <t>32038</t>
  </si>
  <si>
    <t>Опора стовпа до грунту</t>
  </si>
  <si>
    <t>320380001</t>
  </si>
  <si>
    <t>71х150х600х2,0</t>
  </si>
  <si>
    <t>320380002</t>
  </si>
  <si>
    <t>91х150х750х2,0</t>
  </si>
  <si>
    <t>32039</t>
  </si>
  <si>
    <t>Опора стовпа пласка</t>
  </si>
  <si>
    <t>320390001</t>
  </si>
  <si>
    <t>71х71х150х2,0</t>
  </si>
  <si>
    <t>320390002</t>
  </si>
  <si>
    <t>91х91х150х2,0</t>
  </si>
  <si>
    <t>32050</t>
  </si>
  <si>
    <t>Стрічка монтажна стовщена</t>
  </si>
  <si>
    <t>Ціна за 1 м</t>
  </si>
  <si>
    <t>320500001</t>
  </si>
  <si>
    <t>2,0ммх40ммх10м</t>
  </si>
  <si>
    <t>320500002</t>
  </si>
  <si>
    <t>2,0ммх60ммх10м</t>
  </si>
  <si>
    <t>320500003</t>
  </si>
  <si>
    <t>2,0ммх80ммх10м</t>
  </si>
  <si>
    <t>30001</t>
  </si>
  <si>
    <t>Перфорована стрічка</t>
  </si>
  <si>
    <t>Упаковка, м</t>
  </si>
  <si>
    <t>Ціна за м.п.</t>
  </si>
  <si>
    <t>32052</t>
  </si>
  <si>
    <t>Стрічка монтажна хвиляста</t>
  </si>
  <si>
    <t>320520001</t>
  </si>
  <si>
    <t>0,55ммх12ммх25м</t>
  </si>
  <si>
    <t>320520002</t>
  </si>
  <si>
    <t>0,55ммх17ммх25м</t>
  </si>
  <si>
    <t>320520003</t>
  </si>
  <si>
    <t>0,75ммх12ммх25м</t>
  </si>
  <si>
    <t>320520004</t>
  </si>
  <si>
    <t>0,75ммх17ммх25м</t>
  </si>
  <si>
    <t>320520005</t>
  </si>
  <si>
    <t>1,00ммх17ммх25м</t>
  </si>
  <si>
    <t>320520006</t>
  </si>
  <si>
    <t>1,00ммх26ммх25м</t>
  </si>
  <si>
    <t>320520007</t>
  </si>
  <si>
    <t>1,25ммх26ммх25м</t>
  </si>
  <si>
    <t>320520008</t>
  </si>
  <si>
    <t>1,50ммх33ммх25м</t>
  </si>
  <si>
    <t>88 Хімічні анкери</t>
  </si>
  <si>
    <t>Найменування</t>
  </si>
  <si>
    <t>Об єм</t>
  </si>
  <si>
    <t>Ціна до 10 шт.</t>
  </si>
  <si>
    <t>Ціна від 10 шт.</t>
  </si>
  <si>
    <t>Хімічний анкер KEM-PSF 300 мл</t>
  </si>
  <si>
    <t>881000001</t>
  </si>
  <si>
    <t>300 мл</t>
  </si>
  <si>
    <t>Хімічний анкер KEM-PSF 300 мл (Зимний)</t>
  </si>
  <si>
    <t>881000002</t>
  </si>
  <si>
    <t>Хімічний анкер R-KEM II 300 мл</t>
  </si>
  <si>
    <t>881000003</t>
  </si>
  <si>
    <t>97 Інструмент</t>
  </si>
  <si>
    <t>Біта для шліца PHILLIPS</t>
  </si>
  <si>
    <t>№2</t>
  </si>
  <si>
    <t>№3</t>
  </si>
  <si>
    <t>матеріал: сталь S2</t>
  </si>
  <si>
    <t>№4</t>
  </si>
  <si>
    <t>№1</t>
  </si>
  <si>
    <t>100 мм</t>
  </si>
  <si>
    <t>150 мм</t>
  </si>
  <si>
    <t>Біта для шліца POZIDRIV</t>
  </si>
  <si>
    <t>50 мм</t>
  </si>
  <si>
    <t>75 мм</t>
  </si>
  <si>
    <t>25 мм</t>
  </si>
  <si>
    <t>Біта для шестигранного шліца</t>
  </si>
  <si>
    <t>Біта для шліца TORX</t>
  </si>
  <si>
    <t>матеріал : сталь S2</t>
  </si>
  <si>
    <t>H-1.5</t>
  </si>
  <si>
    <t>T-20</t>
  </si>
  <si>
    <t>H - 2</t>
  </si>
  <si>
    <t>H - 3</t>
  </si>
  <si>
    <t>T-25</t>
  </si>
  <si>
    <t>H - 4</t>
  </si>
  <si>
    <t>T-30</t>
  </si>
  <si>
    <t>H - 5</t>
  </si>
  <si>
    <t>H - 6</t>
  </si>
  <si>
    <t>T-40</t>
  </si>
  <si>
    <t>Насадка для шестигранної голівки</t>
  </si>
  <si>
    <t>№ 8</t>
  </si>
  <si>
    <t>№ 10</t>
  </si>
  <si>
    <t>№ 12</t>
  </si>
  <si>
    <t>№ 7</t>
  </si>
  <si>
    <t>№ 13</t>
  </si>
  <si>
    <t>Тримач магнітний для біт з посиленою голівкою</t>
  </si>
  <si>
    <t>Тримач пружинний для біт MF</t>
  </si>
  <si>
    <t xml:space="preserve"> Сверло по бетону SDS plus</t>
  </si>
  <si>
    <t>Сверло по металлу HSS DIN 338</t>
  </si>
  <si>
    <t>Ключ для конфірмату</t>
  </si>
  <si>
    <t>Викрутка зі змінними бітами 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</si>
</sst>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\£* #,##0.00_-;&quot;-£&quot;* #,##0.00_-;_-\£* \-??_-;_-@_-"/>
    <numFmt numFmtId="165" formatCode="_-* #,##0\ _B_F_-;\-* #,##0\ _B_F_-;_-* &quot;- &quot;_B_F_-;_-@_-"/>
    <numFmt numFmtId="166" formatCode="0.0"/>
  </numFmts>
  <fonts count="23" x14ac:knownFonts="1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11"/>
      <name val="Tahoma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 cyr"/>
    </font>
    <font>
      <sz val="10"/>
      <name val="Arial"/>
      <family val="2"/>
      <charset val="177"/>
    </font>
    <font>
      <sz val="10"/>
      <name val="Arial"/>
      <family val="2"/>
    </font>
    <font>
      <b/>
      <sz val="11"/>
      <color indexed="8"/>
      <name val="Calibri"/>
      <family val="2"/>
      <charset val="204"/>
    </font>
    <font>
      <b/>
      <sz val="28"/>
      <color indexed="8"/>
      <name val="Calibri"/>
      <family val="2"/>
      <charset val="204"/>
    </font>
    <font>
      <b/>
      <sz val="18"/>
      <color indexed="8"/>
      <name val="Calibri"/>
      <family val="2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7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b/>
      <sz val="7"/>
      <name val="Arial"/>
      <family val="2"/>
      <charset val="204"/>
    </font>
    <font>
      <b/>
      <u/>
      <sz val="7"/>
      <name val="Arial"/>
      <family val="2"/>
      <charset val="204"/>
    </font>
    <font>
      <sz val="7"/>
      <name val="Arial Cyr"/>
      <charset val="204"/>
    </font>
    <font>
      <sz val="7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</fills>
  <borders count="3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4" fillId="0" borderId="0"/>
    <xf numFmtId="0" fontId="3" fillId="0" borderId="0"/>
    <xf numFmtId="0" fontId="4" fillId="0" borderId="0"/>
    <xf numFmtId="164" fontId="21" fillId="0" borderId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2" fillId="0" borderId="0"/>
    <xf numFmtId="0" fontId="4" fillId="0" borderId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6" fillId="0" borderId="0"/>
    <xf numFmtId="0" fontId="7" fillId="0" borderId="0"/>
    <xf numFmtId="165" fontId="21" fillId="0" borderId="0" applyFill="0" applyBorder="0" applyAlignment="0" applyProtection="0"/>
  </cellStyleXfs>
  <cellXfs count="502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49" fontId="1" fillId="0" borderId="0" xfId="1" applyNumberFormat="1" applyAlignment="1">
      <alignment horizontal="right"/>
    </xf>
    <xf numFmtId="49" fontId="11" fillId="0" borderId="0" xfId="1" applyNumberFormat="1" applyFont="1" applyAlignment="1">
      <alignment horizontal="right"/>
    </xf>
    <xf numFmtId="49" fontId="1" fillId="0" borderId="0" xfId="1" applyNumberFormat="1" applyAlignment="1">
      <alignment horizontal="left"/>
    </xf>
    <xf numFmtId="0" fontId="13" fillId="0" borderId="0" xfId="1" applyFont="1"/>
    <xf numFmtId="0" fontId="14" fillId="2" borderId="0" xfId="1" applyFont="1" applyFill="1" applyAlignment="1">
      <alignment horizontal="center"/>
    </xf>
    <xf numFmtId="0" fontId="0" fillId="2" borderId="0" xfId="0" applyFill="1" applyAlignment="1">
      <alignment horizontal="center"/>
    </xf>
    <xf numFmtId="49" fontId="15" fillId="2" borderId="1" xfId="11" applyNumberFormat="1" applyFont="1" applyFill="1" applyBorder="1" applyAlignment="1">
      <alignment horizontal="left" vertical="center"/>
    </xf>
    <xf numFmtId="0" fontId="15" fillId="2" borderId="2" xfId="1" applyFont="1" applyFill="1" applyBorder="1"/>
    <xf numFmtId="0" fontId="0" fillId="2" borderId="2" xfId="0" applyFill="1" applyBorder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2" fontId="16" fillId="2" borderId="3" xfId="11" applyNumberFormat="1" applyFont="1" applyFill="1" applyBorder="1" applyAlignment="1">
      <alignment horizontal="center" vertical="center" wrapText="1"/>
    </xf>
    <xf numFmtId="0" fontId="16" fillId="2" borderId="3" xfId="1" applyFont="1" applyFill="1" applyBorder="1" applyAlignment="1">
      <alignment horizontal="center"/>
    </xf>
    <xf numFmtId="2" fontId="16" fillId="2" borderId="3" xfId="1" applyNumberFormat="1" applyFont="1" applyFill="1" applyBorder="1" applyAlignment="1">
      <alignment horizontal="center"/>
    </xf>
    <xf numFmtId="0" fontId="13" fillId="2" borderId="4" xfId="1" applyFont="1" applyFill="1" applyBorder="1"/>
    <xf numFmtId="2" fontId="13" fillId="2" borderId="3" xfId="1" applyNumberFormat="1" applyFont="1" applyFill="1" applyBorder="1" applyAlignment="1">
      <alignment horizontal="center" vertical="center" wrapText="1"/>
    </xf>
    <xf numFmtId="0" fontId="13" fillId="2" borderId="0" xfId="1" applyFont="1" applyFill="1"/>
    <xf numFmtId="0" fontId="13" fillId="2" borderId="3" xfId="11" applyFont="1" applyFill="1" applyBorder="1" applyAlignment="1">
      <alignment vertical="center"/>
    </xf>
    <xf numFmtId="166" fontId="13" fillId="2" borderId="5" xfId="4" applyNumberFormat="1" applyFont="1" applyFill="1" applyBorder="1" applyAlignment="1">
      <alignment horizontal="right" vertical="center"/>
    </xf>
    <xf numFmtId="0" fontId="13" fillId="2" borderId="6" xfId="11" applyFont="1" applyFill="1" applyBorder="1" applyAlignment="1">
      <alignment horizontal="center" vertical="center"/>
    </xf>
    <xf numFmtId="1" fontId="13" fillId="2" borderId="7" xfId="4" applyNumberFormat="1" applyFont="1" applyFill="1" applyBorder="1" applyAlignment="1">
      <alignment horizontal="left" vertical="center"/>
    </xf>
    <xf numFmtId="49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vertical="center"/>
    </xf>
    <xf numFmtId="2" fontId="13" fillId="2" borderId="3" xfId="1" applyNumberFormat="1" applyFont="1" applyFill="1" applyBorder="1"/>
    <xf numFmtId="0" fontId="13" fillId="2" borderId="8" xfId="11" applyFont="1" applyFill="1" applyBorder="1" applyAlignment="1">
      <alignment vertical="center"/>
    </xf>
    <xf numFmtId="0" fontId="13" fillId="2" borderId="9" xfId="11" applyFont="1" applyFill="1" applyBorder="1" applyAlignment="1">
      <alignment vertical="center"/>
    </xf>
    <xf numFmtId="0" fontId="13" fillId="2" borderId="10" xfId="11" applyFont="1" applyFill="1" applyBorder="1" applyAlignment="1">
      <alignment vertical="center"/>
    </xf>
    <xf numFmtId="166" fontId="13" fillId="2" borderId="1" xfId="4" applyNumberFormat="1" applyFont="1" applyFill="1" applyBorder="1" applyAlignment="1">
      <alignment horizontal="right" vertical="center"/>
    </xf>
    <xf numFmtId="0" fontId="13" fillId="2" borderId="2" xfId="11" applyFont="1" applyFill="1" applyBorder="1" applyAlignment="1">
      <alignment horizontal="center" vertical="center"/>
    </xf>
    <xf numFmtId="1" fontId="13" fillId="2" borderId="11" xfId="4" applyNumberFormat="1" applyFont="1" applyFill="1" applyBorder="1" applyAlignment="1">
      <alignment horizontal="left" vertical="center"/>
    </xf>
    <xf numFmtId="49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vertical="center"/>
    </xf>
    <xf numFmtId="2" fontId="13" fillId="2" borderId="10" xfId="1" applyNumberFormat="1" applyFont="1" applyFill="1" applyBorder="1"/>
    <xf numFmtId="0" fontId="13" fillId="2" borderId="0" xfId="11" applyFont="1" applyFill="1" applyAlignment="1">
      <alignment vertical="center"/>
    </xf>
    <xf numFmtId="166" fontId="13" fillId="2" borderId="0" xfId="4" applyNumberFormat="1" applyFont="1" applyFill="1" applyAlignment="1">
      <alignment horizontal="right" vertical="center"/>
    </xf>
    <xf numFmtId="0" fontId="13" fillId="2" borderId="0" xfId="11" applyFont="1" applyFill="1" applyAlignment="1">
      <alignment horizontal="center" vertical="center"/>
    </xf>
    <xf numFmtId="1" fontId="13" fillId="2" borderId="0" xfId="4" applyNumberFormat="1" applyFont="1" applyFill="1" applyAlignment="1">
      <alignment horizontal="left" vertical="center"/>
    </xf>
    <xf numFmtId="49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vertical="center"/>
    </xf>
    <xf numFmtId="2" fontId="13" fillId="2" borderId="0" xfId="1" applyNumberFormat="1" applyFont="1" applyFill="1"/>
    <xf numFmtId="49" fontId="17" fillId="2" borderId="1" xfId="11" applyNumberFormat="1" applyFont="1" applyFill="1" applyBorder="1" applyAlignment="1">
      <alignment horizontal="left" vertical="center"/>
    </xf>
    <xf numFmtId="0" fontId="17" fillId="2" borderId="2" xfId="1" applyFont="1" applyFill="1" applyBorder="1"/>
    <xf numFmtId="0" fontId="13" fillId="2" borderId="2" xfId="1" applyFont="1" applyFill="1" applyBorder="1"/>
    <xf numFmtId="0" fontId="13" fillId="2" borderId="11" xfId="1" applyFont="1" applyFill="1" applyBorder="1"/>
    <xf numFmtId="166" fontId="13" fillId="2" borderId="6" xfId="4" applyNumberFormat="1" applyFont="1" applyFill="1" applyBorder="1" applyAlignment="1">
      <alignment horizontal="right" vertical="center"/>
    </xf>
    <xf numFmtId="2" fontId="13" fillId="2" borderId="3" xfId="1" applyNumberFormat="1" applyFont="1" applyFill="1" applyBorder="1" applyAlignment="1">
      <alignment horizontal="right"/>
    </xf>
    <xf numFmtId="0" fontId="13" fillId="2" borderId="4" xfId="11" applyFont="1" applyFill="1" applyBorder="1" applyAlignment="1">
      <alignment vertical="center"/>
    </xf>
    <xf numFmtId="0" fontId="13" fillId="2" borderId="9" xfId="1" applyFont="1" applyFill="1" applyBorder="1"/>
    <xf numFmtId="0" fontId="13" fillId="2" borderId="12" xfId="1" applyFont="1" applyFill="1" applyBorder="1"/>
    <xf numFmtId="0" fontId="13" fillId="2" borderId="13" xfId="1" applyFont="1" applyFill="1" applyBorder="1" applyAlignment="1">
      <alignment horizontal="center"/>
    </xf>
    <xf numFmtId="0" fontId="13" fillId="2" borderId="14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right"/>
    </xf>
    <xf numFmtId="2" fontId="16" fillId="2" borderId="15" xfId="11" applyNumberFormat="1" applyFont="1" applyFill="1" applyBorder="1" applyAlignment="1">
      <alignment horizontal="center" vertical="center" wrapText="1"/>
    </xf>
    <xf numFmtId="0" fontId="13" fillId="2" borderId="3" xfId="1" applyFont="1" applyFill="1" applyBorder="1"/>
    <xf numFmtId="0" fontId="13" fillId="2" borderId="5" xfId="1" applyFont="1" applyFill="1" applyBorder="1"/>
    <xf numFmtId="0" fontId="13" fillId="2" borderId="6" xfId="1" applyFont="1" applyFill="1" applyBorder="1" applyAlignment="1">
      <alignment horizontal="center"/>
    </xf>
    <xf numFmtId="0" fontId="13" fillId="2" borderId="7" xfId="1" applyFont="1" applyFill="1" applyBorder="1" applyAlignment="1">
      <alignment horizontal="left"/>
    </xf>
    <xf numFmtId="49" fontId="13" fillId="2" borderId="3" xfId="1" applyNumberFormat="1" applyFont="1" applyFill="1" applyBorder="1" applyAlignment="1">
      <alignment horizontal="center"/>
    </xf>
    <xf numFmtId="2" fontId="13" fillId="2" borderId="3" xfId="1" applyNumberFormat="1" applyFont="1" applyFill="1" applyBorder="1" applyAlignment="1">
      <alignment horizontal="center"/>
    </xf>
    <xf numFmtId="2" fontId="13" fillId="2" borderId="16" xfId="1" applyNumberFormat="1" applyFont="1" applyFill="1" applyBorder="1" applyAlignment="1">
      <alignment horizontal="center" vertical="center" wrapText="1"/>
    </xf>
    <xf numFmtId="2" fontId="16" fillId="2" borderId="9" xfId="11" applyNumberFormat="1" applyFont="1" applyFill="1" applyBorder="1" applyAlignment="1">
      <alignment horizontal="center" vertical="center" wrapText="1"/>
    </xf>
    <xf numFmtId="166" fontId="13" fillId="2" borderId="5" xfId="1" applyNumberFormat="1" applyFont="1" applyFill="1" applyBorder="1"/>
    <xf numFmtId="2" fontId="13" fillId="2" borderId="0" xfId="1" applyNumberFormat="1" applyFont="1" applyFill="1" applyAlignment="1">
      <alignment horizontal="right"/>
    </xf>
    <xf numFmtId="2" fontId="13" fillId="2" borderId="9" xfId="1" applyNumberFormat="1" applyFont="1" applyFill="1" applyBorder="1"/>
    <xf numFmtId="0" fontId="13" fillId="2" borderId="12" xfId="11" applyFont="1" applyFill="1" applyBorder="1" applyAlignment="1">
      <alignment vertical="center"/>
    </xf>
    <xf numFmtId="166" fontId="13" fillId="2" borderId="12" xfId="4" applyNumberFormat="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center" vertical="center"/>
    </xf>
    <xf numFmtId="1" fontId="13" fillId="2" borderId="14" xfId="4" applyNumberFormat="1" applyFont="1" applyFill="1" applyBorder="1" applyAlignment="1">
      <alignment horizontal="left" vertical="center"/>
    </xf>
    <xf numFmtId="49" fontId="13" fillId="2" borderId="9" xfId="4" applyNumberFormat="1" applyFont="1" applyFill="1" applyBorder="1" applyAlignment="1">
      <alignment horizontal="center" vertical="center"/>
    </xf>
    <xf numFmtId="2" fontId="13" fillId="2" borderId="9" xfId="4" applyNumberFormat="1" applyFont="1" applyFill="1" applyBorder="1" applyAlignment="1">
      <alignment horizontal="center" vertical="center"/>
    </xf>
    <xf numFmtId="0" fontId="13" fillId="2" borderId="5" xfId="11" applyFont="1" applyFill="1" applyBorder="1" applyAlignment="1">
      <alignment vertical="center"/>
    </xf>
    <xf numFmtId="49" fontId="13" fillId="2" borderId="3" xfId="1" applyNumberFormat="1" applyFont="1" applyFill="1" applyBorder="1"/>
    <xf numFmtId="49" fontId="13" fillId="2" borderId="9" xfId="1" applyNumberFormat="1" applyFont="1" applyFill="1" applyBorder="1"/>
    <xf numFmtId="166" fontId="13" fillId="2" borderId="12" xfId="1" applyNumberFormat="1" applyFont="1" applyFill="1" applyBorder="1"/>
    <xf numFmtId="0" fontId="13" fillId="2" borderId="13" xfId="1" applyFont="1" applyFill="1" applyBorder="1"/>
    <xf numFmtId="49" fontId="17" fillId="2" borderId="4" xfId="11" applyNumberFormat="1" applyFont="1" applyFill="1" applyBorder="1" applyAlignment="1">
      <alignment horizontal="left" vertical="center"/>
    </xf>
    <xf numFmtId="49" fontId="13" fillId="2" borderId="3" xfId="11" applyNumberFormat="1" applyFont="1" applyFill="1" applyBorder="1" applyAlignment="1">
      <alignment vertical="center"/>
    </xf>
    <xf numFmtId="0" fontId="13" fillId="2" borderId="7" xfId="4" applyFont="1" applyFill="1" applyBorder="1" applyAlignment="1">
      <alignment horizontal="left"/>
    </xf>
    <xf numFmtId="49" fontId="13" fillId="2" borderId="9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vertical="center"/>
    </xf>
    <xf numFmtId="0" fontId="13" fillId="2" borderId="14" xfId="4" applyFont="1" applyFill="1" applyBorder="1" applyAlignment="1">
      <alignment horizontal="left"/>
    </xf>
    <xf numFmtId="166" fontId="13" fillId="2" borderId="2" xfId="4" applyNumberFormat="1" applyFont="1" applyFill="1" applyBorder="1" applyAlignment="1">
      <alignment horizontal="right" vertical="center"/>
    </xf>
    <xf numFmtId="0" fontId="13" fillId="2" borderId="11" xfId="4" applyFont="1" applyFill="1" applyBorder="1" applyAlignment="1">
      <alignment horizontal="left"/>
    </xf>
    <xf numFmtId="49" fontId="13" fillId="2" borderId="10" xfId="11" applyNumberFormat="1" applyFont="1" applyFill="1" applyBorder="1" applyAlignment="1">
      <alignment vertical="center"/>
    </xf>
    <xf numFmtId="49" fontId="13" fillId="2" borderId="10" xfId="4" applyNumberFormat="1" applyFont="1" applyFill="1" applyBorder="1" applyAlignment="1">
      <alignment horizontal="center"/>
    </xf>
    <xf numFmtId="49" fontId="13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vertical="center"/>
    </xf>
    <xf numFmtId="0" fontId="13" fillId="2" borderId="0" xfId="4" applyFont="1" applyFill="1" applyAlignment="1">
      <alignment horizontal="left"/>
    </xf>
    <xf numFmtId="49" fontId="13" fillId="2" borderId="0" xfId="4" applyNumberFormat="1" applyFont="1" applyFill="1" applyAlignment="1">
      <alignment horizontal="center"/>
    </xf>
    <xf numFmtId="49" fontId="17" fillId="2" borderId="2" xfId="11" applyNumberFormat="1" applyFont="1" applyFill="1" applyBorder="1" applyAlignment="1">
      <alignment horizontal="left" vertical="center"/>
    </xf>
    <xf numFmtId="0" fontId="17" fillId="2" borderId="4" xfId="1" applyFont="1" applyFill="1" applyBorder="1"/>
    <xf numFmtId="0" fontId="17" fillId="2" borderId="0" xfId="1" applyFont="1" applyFill="1"/>
    <xf numFmtId="0" fontId="13" fillId="2" borderId="17" xfId="1" applyFont="1" applyFill="1" applyBorder="1"/>
    <xf numFmtId="0" fontId="13" fillId="2" borderId="13" xfId="11" applyFont="1" applyFill="1" applyBorder="1" applyAlignment="1">
      <alignment vertical="center"/>
    </xf>
    <xf numFmtId="2" fontId="13" fillId="2" borderId="18" xfId="1" applyNumberFormat="1" applyFont="1" applyFill="1" applyBorder="1" applyAlignment="1">
      <alignment horizontal="center" vertical="center" wrapText="1"/>
    </xf>
    <xf numFmtId="2" fontId="16" fillId="2" borderId="10" xfId="11" applyNumberFormat="1" applyFont="1" applyFill="1" applyBorder="1" applyAlignment="1">
      <alignment horizontal="center" vertical="center" wrapText="1"/>
    </xf>
    <xf numFmtId="0" fontId="0" fillId="2" borderId="0" xfId="0" applyFill="1"/>
    <xf numFmtId="49" fontId="13" fillId="2" borderId="8" xfId="4" applyNumberFormat="1" applyFont="1" applyFill="1" applyBorder="1" applyAlignment="1">
      <alignment horizontal="center"/>
    </xf>
    <xf numFmtId="49" fontId="17" fillId="2" borderId="1" xfId="1" applyNumberFormat="1" applyFont="1" applyFill="1" applyBorder="1" applyAlignment="1">
      <alignment horizontal="left"/>
    </xf>
    <xf numFmtId="2" fontId="13" fillId="2" borderId="8" xfId="1" applyNumberFormat="1" applyFont="1" applyFill="1" applyBorder="1" applyAlignment="1">
      <alignment horizontal="center"/>
    </xf>
    <xf numFmtId="2" fontId="13" fillId="2" borderId="3" xfId="11" applyNumberFormat="1" applyFont="1" applyFill="1" applyBorder="1" applyAlignment="1">
      <alignment vertical="center"/>
    </xf>
    <xf numFmtId="2" fontId="13" fillId="2" borderId="7" xfId="4" applyNumberFormat="1" applyFont="1" applyFill="1" applyBorder="1" applyAlignment="1">
      <alignment horizontal="center"/>
    </xf>
    <xf numFmtId="2" fontId="13" fillId="2" borderId="5" xfId="1" applyNumberFormat="1" applyFont="1" applyFill="1" applyBorder="1"/>
    <xf numFmtId="2" fontId="13" fillId="2" borderId="14" xfId="4" applyNumberFormat="1" applyFont="1" applyFill="1" applyBorder="1" applyAlignment="1">
      <alignment horizontal="center"/>
    </xf>
    <xf numFmtId="2" fontId="13" fillId="2" borderId="12" xfId="1" applyNumberFormat="1" applyFont="1" applyFill="1" applyBorder="1"/>
    <xf numFmtId="0" fontId="13" fillId="2" borderId="17" xfId="11" applyFont="1" applyFill="1" applyBorder="1" applyAlignment="1">
      <alignment vertical="center"/>
    </xf>
    <xf numFmtId="49" fontId="0" fillId="2" borderId="0" xfId="0" applyNumberFormat="1" applyFill="1"/>
    <xf numFmtId="0" fontId="13" fillId="2" borderId="14" xfId="1" applyFont="1" applyFill="1" applyBorder="1"/>
    <xf numFmtId="2" fontId="18" fillId="2" borderId="4" xfId="11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 vertical="center"/>
    </xf>
    <xf numFmtId="49" fontId="13" fillId="2" borderId="0" xfId="1" applyNumberFormat="1" applyFont="1" applyFill="1"/>
    <xf numFmtId="2" fontId="13" fillId="2" borderId="17" xfId="1" applyNumberFormat="1" applyFont="1" applyFill="1" applyBorder="1"/>
    <xf numFmtId="49" fontId="13" fillId="2" borderId="5" xfId="11" applyNumberFormat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vertical="center"/>
    </xf>
    <xf numFmtId="0" fontId="13" fillId="2" borderId="12" xfId="4" applyFont="1" applyFill="1" applyBorder="1" applyAlignment="1">
      <alignment horizontal="right" vertical="center"/>
    </xf>
    <xf numFmtId="0" fontId="13" fillId="2" borderId="14" xfId="4" applyFont="1" applyFill="1" applyBorder="1" applyAlignment="1">
      <alignment horizontal="left" vertical="center"/>
    </xf>
    <xf numFmtId="2" fontId="13" fillId="2" borderId="12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left" vertical="center"/>
    </xf>
    <xf numFmtId="0" fontId="13" fillId="2" borderId="5" xfId="4" applyFont="1" applyFill="1" applyBorder="1" applyAlignment="1">
      <alignment horizontal="right" vertical="center"/>
    </xf>
    <xf numFmtId="0" fontId="13" fillId="2" borderId="7" xfId="4" applyFont="1" applyFill="1" applyBorder="1" applyAlignment="1">
      <alignment horizontal="left" vertical="center"/>
    </xf>
    <xf numFmtId="2" fontId="13" fillId="2" borderId="5" xfId="4" applyNumberFormat="1" applyFont="1" applyFill="1" applyBorder="1" applyAlignment="1">
      <alignment horizontal="center" vertical="center"/>
    </xf>
    <xf numFmtId="2" fontId="13" fillId="2" borderId="0" xfId="4" applyNumberFormat="1" applyFont="1" applyFill="1" applyAlignment="1">
      <alignment horizontal="right" vertical="center"/>
    </xf>
    <xf numFmtId="166" fontId="13" fillId="2" borderId="7" xfId="4" applyNumberFormat="1" applyFont="1" applyFill="1" applyBorder="1" applyAlignment="1">
      <alignment horizontal="left" vertical="center"/>
    </xf>
    <xf numFmtId="2" fontId="13" fillId="2" borderId="3" xfId="4" applyNumberFormat="1" applyFont="1" applyFill="1" applyBorder="1" applyAlignment="1">
      <alignment horizontal="right" vertical="center"/>
    </xf>
    <xf numFmtId="0" fontId="13" fillId="2" borderId="1" xfId="11" applyFont="1" applyFill="1" applyBorder="1" applyAlignment="1">
      <alignment vertical="center"/>
    </xf>
    <xf numFmtId="2" fontId="13" fillId="2" borderId="9" xfId="4" applyNumberFormat="1" applyFont="1" applyFill="1" applyBorder="1" applyAlignment="1">
      <alignment horizontal="right" vertical="center"/>
    </xf>
    <xf numFmtId="0" fontId="18" fillId="2" borderId="4" xfId="11" applyFont="1" applyFill="1" applyBorder="1" applyAlignment="1">
      <alignment vertical="center"/>
    </xf>
    <xf numFmtId="2" fontId="13" fillId="2" borderId="1" xfId="4" applyNumberFormat="1" applyFont="1" applyFill="1" applyBorder="1" applyAlignment="1">
      <alignment horizontal="center" vertical="center"/>
    </xf>
    <xf numFmtId="0" fontId="17" fillId="2" borderId="4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left" vertical="center"/>
    </xf>
    <xf numFmtId="2" fontId="13" fillId="2" borderId="2" xfId="1" applyNumberFormat="1" applyFont="1" applyFill="1" applyBorder="1"/>
    <xf numFmtId="0" fontId="17" fillId="2" borderId="4" xfId="1" applyFont="1" applyFill="1" applyBorder="1" applyAlignment="1">
      <alignment horizontal="left"/>
    </xf>
    <xf numFmtId="166" fontId="13" fillId="2" borderId="5" xfId="11" applyNumberFormat="1" applyFont="1" applyFill="1" applyBorder="1" applyAlignment="1">
      <alignment vertical="center"/>
    </xf>
    <xf numFmtId="2" fontId="13" fillId="2" borderId="12" xfId="1" applyNumberFormat="1" applyFont="1" applyFill="1" applyBorder="1" applyAlignment="1">
      <alignment horizontal="right"/>
    </xf>
    <xf numFmtId="166" fontId="13" fillId="2" borderId="12" xfId="11" applyNumberFormat="1" applyFont="1" applyFill="1" applyBorder="1" applyAlignment="1">
      <alignment vertical="center"/>
    </xf>
    <xf numFmtId="166" fontId="13" fillId="2" borderId="0" xfId="11" applyNumberFormat="1" applyFont="1" applyFill="1" applyAlignment="1">
      <alignment vertical="center"/>
    </xf>
    <xf numFmtId="166" fontId="13" fillId="2" borderId="2" xfId="11" applyNumberFormat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left" vertical="center"/>
    </xf>
    <xf numFmtId="49" fontId="13" fillId="2" borderId="2" xfId="4" applyNumberFormat="1" applyFont="1" applyFill="1" applyBorder="1" applyAlignment="1">
      <alignment horizontal="center"/>
    </xf>
    <xf numFmtId="2" fontId="13" fillId="2" borderId="2" xfId="4" applyNumberFormat="1" applyFont="1" applyFill="1" applyBorder="1" applyAlignment="1">
      <alignment horizontal="center" vertical="center"/>
    </xf>
    <xf numFmtId="2" fontId="13" fillId="2" borderId="2" xfId="1" applyNumberFormat="1" applyFont="1" applyFill="1" applyBorder="1" applyAlignment="1">
      <alignment horizontal="right"/>
    </xf>
    <xf numFmtId="2" fontId="13" fillId="2" borderId="19" xfId="4" applyNumberFormat="1" applyFont="1" applyFill="1" applyBorder="1" applyAlignment="1">
      <alignment horizontal="center" vertical="center"/>
    </xf>
    <xf numFmtId="2" fontId="13" fillId="2" borderId="5" xfId="1" applyNumberFormat="1" applyFont="1" applyFill="1" applyBorder="1" applyAlignment="1">
      <alignment horizontal="right"/>
    </xf>
    <xf numFmtId="166" fontId="13" fillId="2" borderId="4" xfId="4" applyNumberFormat="1" applyFont="1" applyFill="1" applyBorder="1" applyAlignment="1">
      <alignment horizontal="right" vertical="center"/>
    </xf>
    <xf numFmtId="1" fontId="13" fillId="2" borderId="17" xfId="4" applyNumberFormat="1" applyFont="1" applyFill="1" applyBorder="1" applyAlignment="1">
      <alignment horizontal="left" vertical="center"/>
    </xf>
    <xf numFmtId="2" fontId="13" fillId="2" borderId="8" xfId="4" applyNumberFormat="1" applyFont="1" applyFill="1" applyBorder="1" applyAlignment="1">
      <alignment horizontal="center" vertical="center"/>
    </xf>
    <xf numFmtId="0" fontId="13" fillId="2" borderId="0" xfId="11" applyFont="1" applyFill="1" applyAlignment="1">
      <alignment horizontal="left" vertical="center"/>
    </xf>
    <xf numFmtId="0" fontId="17" fillId="2" borderId="4" xfId="11" applyFont="1" applyFill="1" applyBorder="1" applyAlignment="1">
      <alignment vertical="center"/>
    </xf>
    <xf numFmtId="0" fontId="13" fillId="2" borderId="0" xfId="11" applyFont="1" applyFill="1" applyAlignment="1">
      <alignment horizontal="right" vertical="center"/>
    </xf>
    <xf numFmtId="0" fontId="13" fillId="2" borderId="0" xfId="1" applyFont="1" applyFill="1" applyAlignment="1">
      <alignment horizontal="left"/>
    </xf>
    <xf numFmtId="0" fontId="13" fillId="2" borderId="13" xfId="1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left" vertical="center"/>
    </xf>
    <xf numFmtId="49" fontId="13" fillId="2" borderId="13" xfId="11" applyNumberFormat="1" applyFont="1" applyFill="1" applyBorder="1" applyAlignment="1">
      <alignment vertical="center"/>
    </xf>
    <xf numFmtId="0" fontId="13" fillId="2" borderId="13" xfId="1" applyFont="1" applyFill="1" applyBorder="1" applyAlignment="1">
      <alignment horizontal="left"/>
    </xf>
    <xf numFmtId="0" fontId="13" fillId="2" borderId="2" xfId="11" applyFont="1" applyFill="1" applyBorder="1" applyAlignment="1">
      <alignment horizontal="left" vertical="center"/>
    </xf>
    <xf numFmtId="0" fontId="19" fillId="2" borderId="0" xfId="1" applyFont="1" applyFill="1"/>
    <xf numFmtId="49" fontId="17" fillId="2" borderId="1" xfId="1" applyNumberFormat="1" applyFont="1" applyFill="1" applyBorder="1" applyAlignment="1">
      <alignment horizontal="left" vertical="center"/>
    </xf>
    <xf numFmtId="166" fontId="13" fillId="2" borderId="13" xfId="4" applyNumberFormat="1" applyFont="1" applyFill="1" applyBorder="1" applyAlignment="1">
      <alignment horizontal="right" vertical="center"/>
    </xf>
    <xf numFmtId="1" fontId="13" fillId="2" borderId="13" xfId="4" applyNumberFormat="1" applyFont="1" applyFill="1" applyBorder="1" applyAlignment="1">
      <alignment horizontal="left" vertical="center"/>
    </xf>
    <xf numFmtId="49" fontId="20" fillId="2" borderId="9" xfId="4" applyNumberFormat="1" applyFont="1" applyFill="1" applyBorder="1" applyAlignment="1">
      <alignment horizontal="center"/>
    </xf>
    <xf numFmtId="49" fontId="20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horizontal="center" vertical="center" wrapText="1"/>
    </xf>
    <xf numFmtId="2" fontId="16" fillId="2" borderId="0" xfId="11" applyNumberFormat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/>
    </xf>
    <xf numFmtId="2" fontId="16" fillId="2" borderId="0" xfId="1" applyNumberFormat="1" applyFont="1" applyFill="1" applyAlignment="1">
      <alignment horizontal="center"/>
    </xf>
    <xf numFmtId="2" fontId="13" fillId="2" borderId="0" xfId="1" applyNumberFormat="1" applyFont="1" applyFill="1" applyAlignment="1">
      <alignment horizontal="center" vertical="center" wrapText="1"/>
    </xf>
    <xf numFmtId="0" fontId="13" fillId="2" borderId="8" xfId="1" applyFont="1" applyFill="1" applyBorder="1"/>
    <xf numFmtId="0" fontId="13" fillId="2" borderId="6" xfId="11" applyFont="1" applyFill="1" applyBorder="1" applyAlignment="1">
      <alignment vertical="center"/>
    </xf>
    <xf numFmtId="0" fontId="18" fillId="2" borderId="4" xfId="11" applyFont="1" applyFill="1" applyBorder="1" applyAlignment="1">
      <alignment horizontal="left" vertical="center"/>
    </xf>
    <xf numFmtId="0" fontId="13" fillId="2" borderId="8" xfId="11" applyFont="1" applyFill="1" applyBorder="1" applyAlignment="1">
      <alignment horizontal="left" vertical="center"/>
    </xf>
    <xf numFmtId="166" fontId="13" fillId="2" borderId="14" xfId="4" applyNumberFormat="1" applyFont="1" applyFill="1" applyBorder="1" applyAlignment="1">
      <alignment horizontal="left" vertical="center"/>
    </xf>
    <xf numFmtId="166" fontId="13" fillId="2" borderId="11" xfId="4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/>
    </xf>
    <xf numFmtId="0" fontId="17" fillId="2" borderId="1" xfId="11" applyFont="1" applyFill="1" applyBorder="1" applyAlignment="1">
      <alignment horizontal="left" vertical="center"/>
    </xf>
    <xf numFmtId="49" fontId="13" fillId="2" borderId="5" xfId="4" applyNumberFormat="1" applyFont="1" applyFill="1" applyBorder="1" applyAlignment="1">
      <alignment horizontal="right" vertical="center"/>
    </xf>
    <xf numFmtId="49" fontId="13" fillId="2" borderId="6" xfId="11" applyNumberFormat="1" applyFont="1" applyFill="1" applyBorder="1" applyAlignment="1">
      <alignment horizontal="center" vertical="center"/>
    </xf>
    <xf numFmtId="49" fontId="13" fillId="2" borderId="7" xfId="4" applyNumberFormat="1" applyFont="1" applyFill="1" applyBorder="1" applyAlignment="1">
      <alignment horizontal="left" vertical="center"/>
    </xf>
    <xf numFmtId="49" fontId="13" fillId="2" borderId="12" xfId="4" applyNumberFormat="1" applyFont="1" applyFill="1" applyBorder="1" applyAlignment="1">
      <alignment horizontal="right" vertical="center"/>
    </xf>
    <xf numFmtId="49" fontId="13" fillId="2" borderId="13" xfId="11" applyNumberFormat="1" applyFont="1" applyFill="1" applyBorder="1" applyAlignment="1">
      <alignment horizontal="center" vertical="center"/>
    </xf>
    <xf numFmtId="49" fontId="13" fillId="2" borderId="14" xfId="4" applyNumberFormat="1" applyFont="1" applyFill="1" applyBorder="1" applyAlignment="1">
      <alignment horizontal="left" vertical="center"/>
    </xf>
    <xf numFmtId="49" fontId="13" fillId="2" borderId="1" xfId="4" applyNumberFormat="1" applyFont="1" applyFill="1" applyBorder="1" applyAlignment="1">
      <alignment horizontal="right" vertical="center"/>
    </xf>
    <xf numFmtId="49" fontId="13" fillId="2" borderId="2" xfId="11" applyNumberFormat="1" applyFont="1" applyFill="1" applyBorder="1" applyAlignment="1">
      <alignment horizontal="center" vertical="center"/>
    </xf>
    <xf numFmtId="49" fontId="13" fillId="2" borderId="11" xfId="4" applyNumberFormat="1" applyFont="1" applyFill="1" applyBorder="1" applyAlignment="1">
      <alignment horizontal="left" vertical="center"/>
    </xf>
    <xf numFmtId="49" fontId="20" fillId="2" borderId="10" xfId="4" applyNumberFormat="1" applyFont="1" applyFill="1" applyBorder="1" applyAlignment="1">
      <alignment horizontal="center"/>
    </xf>
    <xf numFmtId="0" fontId="13" fillId="2" borderId="2" xfId="11" applyFont="1" applyFill="1" applyBorder="1" applyAlignment="1">
      <alignment vertical="center"/>
    </xf>
    <xf numFmtId="49" fontId="20" fillId="2" borderId="2" xfId="4" applyNumberFormat="1" applyFont="1" applyFill="1" applyBorder="1" applyAlignment="1">
      <alignment horizontal="center"/>
    </xf>
    <xf numFmtId="49" fontId="13" fillId="2" borderId="0" xfId="4" applyNumberFormat="1" applyFont="1" applyFill="1" applyAlignment="1">
      <alignment horizontal="right" vertical="center"/>
    </xf>
    <xf numFmtId="49" fontId="13" fillId="2" borderId="0" xfId="11" applyNumberFormat="1" applyFont="1" applyFill="1" applyAlignment="1">
      <alignment horizontal="center" vertical="center"/>
    </xf>
    <xf numFmtId="49" fontId="13" fillId="2" borderId="0" xfId="4" applyNumberFormat="1" applyFont="1" applyFill="1" applyAlignment="1">
      <alignment horizontal="left" vertical="center"/>
    </xf>
    <xf numFmtId="49" fontId="20" fillId="2" borderId="0" xfId="4" applyNumberFormat="1" applyFont="1" applyFill="1" applyAlignment="1">
      <alignment horizontal="center"/>
    </xf>
    <xf numFmtId="0" fontId="17" fillId="2" borderId="11" xfId="1" applyFont="1" applyFill="1" applyBorder="1"/>
    <xf numFmtId="2" fontId="13" fillId="2" borderId="4" xfId="1" applyNumberFormat="1" applyFont="1" applyFill="1" applyBorder="1" applyAlignment="1">
      <alignment horizontal="right"/>
    </xf>
    <xf numFmtId="2" fontId="13" fillId="2" borderId="4" xfId="1" applyNumberFormat="1" applyFont="1" applyFill="1" applyBorder="1"/>
    <xf numFmtId="49" fontId="13" fillId="2" borderId="5" xfId="11" applyNumberFormat="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right" vertical="center"/>
    </xf>
    <xf numFmtId="49" fontId="13" fillId="2" borderId="3" xfId="11" applyNumberFormat="1" applyFont="1" applyFill="1" applyBorder="1" applyAlignment="1">
      <alignment horizontal="left" vertical="center"/>
    </xf>
    <xf numFmtId="49" fontId="13" fillId="2" borderId="1" xfId="11" applyNumberFormat="1" applyFont="1" applyFill="1" applyBorder="1" applyAlignment="1">
      <alignment horizontal="left" vertical="center"/>
    </xf>
    <xf numFmtId="1" fontId="13" fillId="2" borderId="1" xfId="4" applyNumberFormat="1" applyFont="1" applyFill="1" applyBorder="1" applyAlignment="1">
      <alignment horizontal="right" vertical="center"/>
    </xf>
    <xf numFmtId="1" fontId="13" fillId="2" borderId="12" xfId="4" applyNumberFormat="1" applyFont="1" applyFill="1" applyBorder="1" applyAlignment="1">
      <alignment horizontal="right" vertical="center"/>
    </xf>
    <xf numFmtId="0" fontId="13" fillId="2" borderId="1" xfId="1" applyFont="1" applyFill="1" applyBorder="1"/>
    <xf numFmtId="49" fontId="17" fillId="2" borderId="0" xfId="11" applyNumberFormat="1" applyFont="1" applyFill="1" applyAlignment="1">
      <alignment horizontal="left" vertical="center"/>
    </xf>
    <xf numFmtId="49" fontId="13" fillId="2" borderId="7" xfId="4" applyNumberFormat="1" applyFont="1" applyFill="1" applyBorder="1" applyAlignment="1">
      <alignment horizontal="center"/>
    </xf>
    <xf numFmtId="49" fontId="13" fillId="2" borderId="12" xfId="11" applyNumberFormat="1" applyFont="1" applyFill="1" applyBorder="1" applyAlignment="1">
      <alignment horizontal="left" vertical="center"/>
    </xf>
    <xf numFmtId="49" fontId="13" fillId="2" borderId="0" xfId="11" applyNumberFormat="1" applyFont="1" applyFill="1" applyAlignment="1">
      <alignment horizontal="left" vertical="center"/>
    </xf>
    <xf numFmtId="49" fontId="13" fillId="2" borderId="9" xfId="11" applyNumberFormat="1" applyFont="1" applyFill="1" applyBorder="1" applyAlignment="1">
      <alignment horizontal="left" vertical="center"/>
    </xf>
    <xf numFmtId="0" fontId="19" fillId="2" borderId="4" xfId="1" applyFont="1" applyFill="1" applyBorder="1"/>
    <xf numFmtId="166" fontId="13" fillId="2" borderId="5" xfId="1" applyNumberFormat="1" applyFont="1" applyFill="1" applyBorder="1" applyAlignment="1">
      <alignment horizontal="right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center"/>
    </xf>
    <xf numFmtId="0" fontId="17" fillId="2" borderId="4" xfId="1" applyFont="1" applyFill="1" applyBorder="1" applyAlignment="1">
      <alignment wrapText="1"/>
    </xf>
    <xf numFmtId="49" fontId="13" fillId="2" borderId="8" xfId="11" applyNumberFormat="1" applyFont="1" applyFill="1" applyBorder="1" applyAlignment="1">
      <alignment vertical="center"/>
    </xf>
    <xf numFmtId="2" fontId="13" fillId="2" borderId="6" xfId="4" applyNumberFormat="1" applyFont="1" applyFill="1" applyBorder="1" applyAlignment="1">
      <alignment horizontal="center" vertical="center"/>
    </xf>
    <xf numFmtId="2" fontId="13" fillId="2" borderId="13" xfId="4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left"/>
    </xf>
    <xf numFmtId="49" fontId="13" fillId="2" borderId="12" xfId="11" applyNumberFormat="1" applyFont="1" applyFill="1" applyBorder="1" applyAlignment="1">
      <alignment vertical="center"/>
    </xf>
    <xf numFmtId="0" fontId="13" fillId="2" borderId="4" xfId="4" applyFont="1" applyFill="1" applyBorder="1" applyAlignment="1">
      <alignment horizontal="left"/>
    </xf>
    <xf numFmtId="0" fontId="13" fillId="2" borderId="3" xfId="4" applyFont="1" applyFill="1" applyBorder="1" applyAlignment="1">
      <alignment horizontal="left"/>
    </xf>
    <xf numFmtId="0" fontId="17" fillId="2" borderId="2" xfId="11" applyFont="1" applyFill="1" applyBorder="1" applyAlignment="1">
      <alignment horizontal="left" vertical="center"/>
    </xf>
    <xf numFmtId="0" fontId="17" fillId="2" borderId="0" xfId="11" applyFont="1" applyFill="1" applyAlignment="1">
      <alignment horizontal="left" vertical="center"/>
    </xf>
    <xf numFmtId="2" fontId="13" fillId="2" borderId="11" xfId="1" applyNumberFormat="1" applyFont="1" applyFill="1" applyBorder="1"/>
    <xf numFmtId="49" fontId="13" fillId="2" borderId="13" xfId="4" applyNumberFormat="1" applyFont="1" applyFill="1" applyBorder="1" applyAlignment="1">
      <alignment horizontal="center"/>
    </xf>
    <xf numFmtId="2" fontId="13" fillId="2" borderId="13" xfId="1" applyNumberFormat="1" applyFont="1" applyFill="1" applyBorder="1"/>
    <xf numFmtId="2" fontId="13" fillId="2" borderId="14" xfId="1" applyNumberFormat="1" applyFont="1" applyFill="1" applyBorder="1"/>
    <xf numFmtId="0" fontId="17" fillId="2" borderId="2" xfId="11" applyFont="1" applyFill="1" applyBorder="1" applyAlignment="1">
      <alignment vertical="center"/>
    </xf>
    <xf numFmtId="0" fontId="16" fillId="2" borderId="1" xfId="1" applyFont="1" applyFill="1" applyBorder="1" applyAlignment="1">
      <alignment horizontal="center"/>
    </xf>
    <xf numFmtId="0" fontId="13" fillId="2" borderId="12" xfId="4" applyFont="1" applyFill="1" applyBorder="1" applyAlignment="1">
      <alignment horizontal="right"/>
    </xf>
    <xf numFmtId="0" fontId="13" fillId="2" borderId="9" xfId="4" applyFont="1" applyFill="1" applyBorder="1" applyAlignment="1">
      <alignment horizontal="center"/>
    </xf>
    <xf numFmtId="0" fontId="13" fillId="2" borderId="5" xfId="4" applyFont="1" applyFill="1" applyBorder="1" applyAlignment="1">
      <alignment horizontal="right"/>
    </xf>
    <xf numFmtId="0" fontId="13" fillId="2" borderId="3" xfId="4" applyFont="1" applyFill="1" applyBorder="1" applyAlignment="1">
      <alignment horizontal="center"/>
    </xf>
    <xf numFmtId="2" fontId="13" fillId="2" borderId="1" xfId="1" applyNumberFormat="1" applyFont="1" applyFill="1" applyBorder="1"/>
    <xf numFmtId="49" fontId="17" fillId="2" borderId="0" xfId="1" applyNumberFormat="1" applyFont="1" applyFill="1"/>
    <xf numFmtId="0" fontId="17" fillId="2" borderId="17" xfId="1" applyFont="1" applyFill="1" applyBorder="1"/>
    <xf numFmtId="0" fontId="13" fillId="0" borderId="0" xfId="1" applyFont="1" applyAlignment="1">
      <alignment horizontal="center"/>
    </xf>
    <xf numFmtId="0" fontId="13" fillId="2" borderId="0" xfId="4" applyFont="1" applyFill="1" applyAlignment="1">
      <alignment horizontal="center"/>
    </xf>
    <xf numFmtId="0" fontId="13" fillId="2" borderId="0" xfId="1" applyFont="1" applyFill="1" applyAlignment="1">
      <alignment horizontal="center"/>
    </xf>
    <xf numFmtId="49" fontId="13" fillId="2" borderId="1" xfId="11" applyNumberFormat="1" applyFont="1" applyFill="1" applyBorder="1" applyAlignment="1">
      <alignment vertical="center"/>
    </xf>
    <xf numFmtId="2" fontId="13" fillId="2" borderId="5" xfId="4" applyNumberFormat="1" applyFont="1" applyFill="1" applyBorder="1" applyAlignment="1">
      <alignment horizontal="right" vertical="center"/>
    </xf>
    <xf numFmtId="0" fontId="13" fillId="2" borderId="7" xfId="1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right"/>
    </xf>
    <xf numFmtId="2" fontId="13" fillId="2" borderId="12" xfId="4" applyNumberFormat="1" applyFont="1" applyFill="1" applyBorder="1" applyAlignment="1">
      <alignment horizontal="right" vertical="center"/>
    </xf>
    <xf numFmtId="0" fontId="13" fillId="2" borderId="3" xfId="1" applyFont="1" applyFill="1" applyBorder="1" applyAlignment="1">
      <alignment horizontal="left"/>
    </xf>
    <xf numFmtId="0" fontId="13" fillId="2" borderId="5" xfId="11" applyFont="1" applyFill="1" applyBorder="1" applyAlignment="1">
      <alignment horizontal="left" vertical="center"/>
    </xf>
    <xf numFmtId="49" fontId="13" fillId="2" borderId="0" xfId="1" applyNumberFormat="1" applyFont="1" applyFill="1" applyAlignment="1">
      <alignment horizontal="center"/>
    </xf>
    <xf numFmtId="166" fontId="13" fillId="2" borderId="12" xfId="11" applyNumberFormat="1" applyFont="1" applyFill="1" applyBorder="1" applyAlignment="1">
      <alignment horizontal="right" vertical="center"/>
    </xf>
    <xf numFmtId="49" fontId="13" fillId="2" borderId="14" xfId="11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horizontal="center" vertical="center"/>
    </xf>
    <xf numFmtId="0" fontId="13" fillId="2" borderId="3" xfId="11" applyFont="1" applyFill="1" applyBorder="1" applyAlignment="1">
      <alignment horizontal="left" vertical="center"/>
    </xf>
    <xf numFmtId="0" fontId="17" fillId="2" borderId="12" xfId="11" applyFont="1" applyFill="1" applyBorder="1" applyAlignment="1">
      <alignment horizontal="left" vertical="center" wrapText="1"/>
    </xf>
    <xf numFmtId="49" fontId="13" fillId="2" borderId="17" xfId="4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right" vertical="center"/>
    </xf>
    <xf numFmtId="0" fontId="13" fillId="2" borderId="4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left" vertical="center"/>
    </xf>
    <xf numFmtId="1" fontId="13" fillId="2" borderId="13" xfId="4" applyNumberFormat="1" applyFont="1" applyFill="1" applyBorder="1" applyAlignment="1">
      <alignment horizontal="right" vertical="center"/>
    </xf>
    <xf numFmtId="0" fontId="13" fillId="2" borderId="13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vertical="center"/>
    </xf>
    <xf numFmtId="0" fontId="13" fillId="2" borderId="10" xfId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right" vertical="center"/>
    </xf>
    <xf numFmtId="0" fontId="13" fillId="2" borderId="2" xfId="1" applyFont="1" applyFill="1" applyBorder="1" applyAlignment="1">
      <alignment horizontal="center" vertical="center"/>
    </xf>
    <xf numFmtId="1" fontId="13" fillId="2" borderId="5" xfId="1" applyNumberFormat="1" applyFont="1" applyFill="1" applyBorder="1" applyAlignment="1">
      <alignment horizontal="right"/>
    </xf>
    <xf numFmtId="166" fontId="13" fillId="2" borderId="13" xfId="4" applyNumberFormat="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left" vertical="center"/>
    </xf>
    <xf numFmtId="0" fontId="13" fillId="2" borderId="10" xfId="1" applyFont="1" applyFill="1" applyBorder="1"/>
    <xf numFmtId="166" fontId="13" fillId="2" borderId="0" xfId="4" applyNumberFormat="1" applyFont="1" applyFill="1" applyAlignment="1">
      <alignment horizontal="center" vertical="center"/>
    </xf>
    <xf numFmtId="0" fontId="13" fillId="2" borderId="0" xfId="1" applyFont="1" applyFill="1" applyAlignment="1">
      <alignment horizontal="left" vertical="center"/>
    </xf>
    <xf numFmtId="49" fontId="13" fillId="2" borderId="8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/>
    </xf>
    <xf numFmtId="0" fontId="13" fillId="2" borderId="2" xfId="1" applyFont="1" applyFill="1" applyBorder="1" applyAlignment="1">
      <alignment horizontal="left"/>
    </xf>
    <xf numFmtId="49" fontId="13" fillId="2" borderId="2" xfId="1" applyNumberFormat="1" applyFont="1" applyFill="1" applyBorder="1" applyAlignment="1">
      <alignment horizontal="center"/>
    </xf>
    <xf numFmtId="2" fontId="13" fillId="2" borderId="2" xfId="1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center"/>
    </xf>
    <xf numFmtId="2" fontId="13" fillId="2" borderId="6" xfId="1" applyNumberFormat="1" applyFont="1" applyFill="1" applyBorder="1"/>
    <xf numFmtId="0" fontId="13" fillId="2" borderId="5" xfId="1" applyFont="1" applyFill="1" applyBorder="1" applyAlignment="1">
      <alignment horizontal="center" vertical="center"/>
    </xf>
    <xf numFmtId="0" fontId="13" fillId="0" borderId="7" xfId="1" applyFont="1" applyBorder="1" applyAlignment="1">
      <alignment horizontal="left"/>
    </xf>
    <xf numFmtId="49" fontId="13" fillId="2" borderId="2" xfId="4" applyNumberFormat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right"/>
    </xf>
    <xf numFmtId="0" fontId="13" fillId="2" borderId="12" xfId="1" applyFont="1" applyFill="1" applyBorder="1" applyAlignment="1">
      <alignment horizontal="right"/>
    </xf>
    <xf numFmtId="0" fontId="13" fillId="2" borderId="1" xfId="1" applyFont="1" applyFill="1" applyBorder="1" applyAlignment="1">
      <alignment horizontal="right"/>
    </xf>
    <xf numFmtId="0" fontId="13" fillId="2" borderId="11" xfId="1" applyFont="1" applyFill="1" applyBorder="1" applyAlignment="1">
      <alignment horizontal="left"/>
    </xf>
    <xf numFmtId="49" fontId="13" fillId="2" borderId="10" xfId="1" applyNumberFormat="1" applyFont="1" applyFill="1" applyBorder="1" applyAlignment="1">
      <alignment horizontal="center"/>
    </xf>
    <xf numFmtId="2" fontId="13" fillId="2" borderId="10" xfId="1" applyNumberFormat="1" applyFont="1" applyFill="1" applyBorder="1" applyAlignment="1">
      <alignment horizontal="center"/>
    </xf>
    <xf numFmtId="0" fontId="13" fillId="2" borderId="2" xfId="1" applyFont="1" applyFill="1" applyBorder="1" applyAlignment="1">
      <alignment horizontal="right"/>
    </xf>
    <xf numFmtId="49" fontId="17" fillId="2" borderId="4" xfId="1" applyNumberFormat="1" applyFont="1" applyFill="1" applyBorder="1" applyAlignment="1">
      <alignment horizontal="left" vertical="center"/>
    </xf>
    <xf numFmtId="49" fontId="13" fillId="2" borderId="10" xfId="1" applyNumberFormat="1" applyFont="1" applyFill="1" applyBorder="1"/>
    <xf numFmtId="49" fontId="13" fillId="2" borderId="3" xfId="1" applyNumberFormat="1" applyFont="1" applyFill="1" applyBorder="1" applyAlignment="1">
      <alignment horizontal="left"/>
    </xf>
    <xf numFmtId="0" fontId="13" fillId="2" borderId="9" xfId="1" applyFont="1" applyFill="1" applyBorder="1" applyAlignment="1">
      <alignment horizontal="left"/>
    </xf>
    <xf numFmtId="2" fontId="13" fillId="2" borderId="12" xfId="1" applyNumberFormat="1" applyFont="1" applyFill="1" applyBorder="1" applyAlignment="1">
      <alignment horizontal="center"/>
    </xf>
    <xf numFmtId="0" fontId="13" fillId="2" borderId="0" xfId="1" applyFont="1" applyFill="1" applyAlignment="1">
      <alignment horizontal="right"/>
    </xf>
    <xf numFmtId="2" fontId="13" fillId="2" borderId="0" xfId="1" applyNumberFormat="1" applyFont="1" applyFill="1" applyAlignment="1">
      <alignment horizontal="center"/>
    </xf>
    <xf numFmtId="0" fontId="17" fillId="2" borderId="11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center" vertical="center"/>
    </xf>
    <xf numFmtId="2" fontId="13" fillId="2" borderId="13" xfId="1" applyNumberFormat="1" applyFont="1" applyFill="1" applyBorder="1" applyAlignment="1">
      <alignment horizontal="center" vertical="center" wrapText="1"/>
    </xf>
    <xf numFmtId="0" fontId="17" fillId="2" borderId="8" xfId="1" applyFont="1" applyFill="1" applyBorder="1" applyAlignment="1">
      <alignment horizontal="left" vertical="center"/>
    </xf>
    <xf numFmtId="49" fontId="17" fillId="2" borderId="10" xfId="1" applyNumberFormat="1" applyFont="1" applyFill="1" applyBorder="1" applyAlignment="1">
      <alignment horizontal="left" vertical="center"/>
    </xf>
    <xf numFmtId="0" fontId="17" fillId="2" borderId="4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 vertical="center"/>
    </xf>
    <xf numFmtId="49" fontId="17" fillId="2" borderId="2" xfId="1" applyNumberFormat="1" applyFont="1" applyFill="1" applyBorder="1" applyAlignment="1">
      <alignment horizontal="left" vertical="center"/>
    </xf>
    <xf numFmtId="0" fontId="17" fillId="2" borderId="0" xfId="1" applyFont="1" applyFill="1" applyAlignment="1">
      <alignment horizontal="left" vertical="center"/>
    </xf>
    <xf numFmtId="0" fontId="13" fillId="2" borderId="4" xfId="1" applyFont="1" applyFill="1" applyBorder="1" applyAlignment="1">
      <alignment horizontal="left"/>
    </xf>
    <xf numFmtId="0" fontId="13" fillId="2" borderId="6" xfId="1" applyFont="1" applyFill="1" applyBorder="1" applyAlignment="1">
      <alignment horizontal="left" vertical="center"/>
    </xf>
    <xf numFmtId="0" fontId="13" fillId="2" borderId="2" xfId="1" applyFont="1" applyFill="1" applyBorder="1" applyAlignment="1">
      <alignment horizontal="left" vertical="center"/>
    </xf>
    <xf numFmtId="0" fontId="17" fillId="2" borderId="12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/>
    </xf>
    <xf numFmtId="0" fontId="17" fillId="2" borderId="11" xfId="1" applyFont="1" applyFill="1" applyBorder="1" applyAlignment="1">
      <alignment horizontal="left"/>
    </xf>
    <xf numFmtId="0" fontId="17" fillId="2" borderId="1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vertical="center"/>
    </xf>
    <xf numFmtId="2" fontId="13" fillId="2" borderId="8" xfId="1" applyNumberFormat="1" applyFont="1" applyFill="1" applyBorder="1"/>
    <xf numFmtId="49" fontId="13" fillId="2" borderId="3" xfId="1" applyNumberFormat="1" applyFont="1" applyFill="1" applyBorder="1" applyAlignment="1">
      <alignment vertical="center"/>
    </xf>
    <xf numFmtId="49" fontId="13" fillId="2" borderId="10" xfId="1" applyNumberFormat="1" applyFont="1" applyFill="1" applyBorder="1" applyAlignment="1">
      <alignment vertical="center"/>
    </xf>
    <xf numFmtId="166" fontId="13" fillId="2" borderId="2" xfId="4" applyNumberFormat="1" applyFont="1" applyFill="1" applyBorder="1" applyAlignment="1">
      <alignment horizontal="center" vertical="center"/>
    </xf>
    <xf numFmtId="49" fontId="13" fillId="2" borderId="0" xfId="1" applyNumberFormat="1" applyFont="1" applyFill="1" applyAlignment="1">
      <alignment vertical="center"/>
    </xf>
    <xf numFmtId="49" fontId="17" fillId="2" borderId="20" xfId="1" applyNumberFormat="1" applyFont="1" applyFill="1" applyBorder="1" applyAlignment="1">
      <alignment horizontal="left" vertical="center"/>
    </xf>
    <xf numFmtId="0" fontId="17" fillId="2" borderId="21" xfId="1" applyFont="1" applyFill="1" applyBorder="1" applyAlignment="1">
      <alignment horizontal="left"/>
    </xf>
    <xf numFmtId="0" fontId="13" fillId="2" borderId="4" xfId="1" applyFont="1" applyFill="1" applyBorder="1" applyAlignment="1">
      <alignment vertical="center"/>
    </xf>
    <xf numFmtId="0" fontId="13" fillId="2" borderId="0" xfId="1" applyFont="1" applyFill="1" applyAlignment="1">
      <alignment vertical="center"/>
    </xf>
    <xf numFmtId="0" fontId="13" fillId="2" borderId="12" xfId="1" applyFont="1" applyFill="1" applyBorder="1" applyAlignment="1">
      <alignment horizontal="left" vertical="center"/>
    </xf>
    <xf numFmtId="0" fontId="13" fillId="2" borderId="5" xfId="1" applyFont="1" applyFill="1" applyBorder="1" applyAlignment="1">
      <alignment vertical="center"/>
    </xf>
    <xf numFmtId="49" fontId="13" fillId="2" borderId="6" xfId="4" applyNumberFormat="1" applyFont="1" applyFill="1" applyBorder="1" applyAlignment="1">
      <alignment horizontal="center"/>
    </xf>
    <xf numFmtId="49" fontId="13" fillId="2" borderId="5" xfId="1" applyNumberFormat="1" applyFont="1" applyFill="1" applyBorder="1" applyAlignment="1">
      <alignment vertical="center"/>
    </xf>
    <xf numFmtId="0" fontId="13" fillId="2" borderId="11" xfId="1" applyFont="1" applyFill="1" applyBorder="1" applyAlignment="1">
      <alignment horizontal="left" vertical="center"/>
    </xf>
    <xf numFmtId="49" fontId="13" fillId="2" borderId="12" xfId="1" applyNumberFormat="1" applyFont="1" applyFill="1" applyBorder="1" applyAlignment="1">
      <alignment vertical="center"/>
    </xf>
    <xf numFmtId="0" fontId="13" fillId="2" borderId="14" xfId="1" applyFont="1" applyFill="1" applyBorder="1" applyAlignment="1">
      <alignment horizontal="left" vertical="center"/>
    </xf>
    <xf numFmtId="0" fontId="13" fillId="2" borderId="6" xfId="1" applyFont="1" applyFill="1" applyBorder="1"/>
    <xf numFmtId="0" fontId="18" fillId="2" borderId="4" xfId="1" applyFont="1" applyFill="1" applyBorder="1" applyAlignment="1">
      <alignment horizontal="left" vertical="center"/>
    </xf>
    <xf numFmtId="166" fontId="13" fillId="2" borderId="17" xfId="4" applyNumberFormat="1" applyFont="1" applyFill="1" applyBorder="1" applyAlignment="1">
      <alignment horizontal="left" vertical="center"/>
    </xf>
    <xf numFmtId="166" fontId="13" fillId="2" borderId="0" xfId="4" applyNumberFormat="1" applyFont="1" applyFill="1" applyAlignment="1">
      <alignment horizontal="left" vertical="center"/>
    </xf>
    <xf numFmtId="0" fontId="13" fillId="2" borderId="4" xfId="1" applyFont="1" applyFill="1" applyBorder="1" applyAlignment="1">
      <alignment horizontal="center" vertical="center"/>
    </xf>
    <xf numFmtId="2" fontId="13" fillId="2" borderId="22" xfId="1" applyNumberFormat="1" applyFont="1" applyFill="1" applyBorder="1"/>
    <xf numFmtId="2" fontId="13" fillId="2" borderId="23" xfId="1" applyNumberFormat="1" applyFont="1" applyFill="1" applyBorder="1"/>
    <xf numFmtId="0" fontId="13" fillId="2" borderId="10" xfId="1" applyFont="1" applyFill="1" applyBorder="1" applyAlignment="1">
      <alignment horizontal="left" vertical="center"/>
    </xf>
    <xf numFmtId="1" fontId="13" fillId="2" borderId="6" xfId="4" applyNumberFormat="1" applyFont="1" applyFill="1" applyBorder="1" applyAlignment="1">
      <alignment horizontal="center" vertical="center"/>
    </xf>
    <xf numFmtId="1" fontId="13" fillId="2" borderId="13" xfId="4" applyNumberFormat="1" applyFont="1" applyFill="1" applyBorder="1" applyAlignment="1">
      <alignment horizontal="center" vertical="center"/>
    </xf>
    <xf numFmtId="1" fontId="13" fillId="2" borderId="0" xfId="4" applyNumberFormat="1" applyFont="1" applyFill="1" applyAlignment="1">
      <alignment horizontal="center" vertical="center"/>
    </xf>
    <xf numFmtId="0" fontId="17" fillId="2" borderId="1" xfId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right" vertical="center"/>
    </xf>
    <xf numFmtId="0" fontId="13" fillId="2" borderId="6" xfId="4" applyFont="1" applyFill="1" applyBorder="1" applyAlignment="1">
      <alignment horizontal="right" vertical="center"/>
    </xf>
    <xf numFmtId="0" fontId="13" fillId="2" borderId="8" xfId="1" applyFont="1" applyFill="1" applyBorder="1" applyAlignment="1">
      <alignment horizontal="left" vertical="center"/>
    </xf>
    <xf numFmtId="0" fontId="13" fillId="2" borderId="0" xfId="4" applyFont="1" applyFill="1" applyAlignment="1">
      <alignment horizontal="right" vertical="center"/>
    </xf>
    <xf numFmtId="49" fontId="17" fillId="2" borderId="11" xfId="1" applyNumberFormat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center" vertical="center"/>
    </xf>
    <xf numFmtId="0" fontId="13" fillId="2" borderId="6" xfId="4" applyFont="1" applyFill="1" applyBorder="1" applyAlignment="1">
      <alignment horizontal="center" vertical="center"/>
    </xf>
    <xf numFmtId="49" fontId="13" fillId="2" borderId="4" xfId="1" applyNumberFormat="1" applyFont="1" applyFill="1" applyBorder="1" applyAlignment="1">
      <alignment horizontal="left" vertical="center"/>
    </xf>
    <xf numFmtId="0" fontId="13" fillId="2" borderId="0" xfId="4" applyFont="1" applyFill="1" applyAlignment="1">
      <alignment horizontal="center" vertical="center"/>
    </xf>
    <xf numFmtId="0" fontId="13" fillId="2" borderId="9" xfId="1" applyFont="1" applyFill="1" applyBorder="1" applyAlignment="1">
      <alignment horizontal="right"/>
    </xf>
    <xf numFmtId="0" fontId="13" fillId="2" borderId="13" xfId="1" applyFont="1" applyFill="1" applyBorder="1" applyAlignment="1">
      <alignment horizontal="right"/>
    </xf>
    <xf numFmtId="0" fontId="13" fillId="2" borderId="3" xfId="1" applyFont="1" applyFill="1" applyBorder="1" applyAlignment="1">
      <alignment horizontal="right" vertical="center"/>
    </xf>
    <xf numFmtId="49" fontId="13" fillId="2" borderId="3" xfId="1" applyNumberFormat="1" applyFont="1" applyFill="1" applyBorder="1" applyAlignment="1">
      <alignment horizontal="left" vertical="center"/>
    </xf>
    <xf numFmtId="49" fontId="13" fillId="2" borderId="9" xfId="1" applyNumberFormat="1" applyFont="1" applyFill="1" applyBorder="1" applyAlignment="1">
      <alignment horizontal="left" vertical="center"/>
    </xf>
    <xf numFmtId="0" fontId="13" fillId="2" borderId="10" xfId="1" applyFont="1" applyFill="1" applyBorder="1" applyAlignment="1">
      <alignment horizontal="left"/>
    </xf>
    <xf numFmtId="2" fontId="16" fillId="2" borderId="8" xfId="11" applyNumberFormat="1" applyFont="1" applyFill="1" applyBorder="1" applyAlignment="1">
      <alignment horizontal="center" vertical="center" wrapText="1"/>
    </xf>
    <xf numFmtId="0" fontId="13" fillId="2" borderId="0" xfId="11" applyFont="1" applyFill="1" applyAlignment="1">
      <alignment horizontal="left" vertical="top"/>
    </xf>
    <xf numFmtId="49" fontId="13" fillId="2" borderId="0" xfId="1" applyNumberFormat="1" applyFont="1" applyFill="1" applyAlignment="1">
      <alignment horizontal="right" vertical="top"/>
    </xf>
    <xf numFmtId="0" fontId="13" fillId="2" borderId="0" xfId="1" applyFont="1" applyFill="1" applyAlignment="1">
      <alignment horizontal="center" vertical="top"/>
    </xf>
    <xf numFmtId="0" fontId="0" fillId="2" borderId="0" xfId="1" applyFont="1" applyFill="1" applyAlignment="1">
      <alignment horizontal="center" vertical="top"/>
    </xf>
    <xf numFmtId="49" fontId="13" fillId="2" borderId="0" xfId="1" applyNumberFormat="1" applyFont="1" applyFill="1" applyAlignment="1">
      <alignment horizontal="center" vertical="top"/>
    </xf>
    <xf numFmtId="2" fontId="13" fillId="2" borderId="0" xfId="1" applyNumberFormat="1" applyFont="1" applyFill="1" applyAlignment="1">
      <alignment vertical="top"/>
    </xf>
    <xf numFmtId="49" fontId="13" fillId="2" borderId="13" xfId="11" applyNumberFormat="1" applyFont="1" applyFill="1" applyBorder="1" applyAlignment="1">
      <alignment horizontal="center" vertical="center" wrapText="1"/>
    </xf>
    <xf numFmtId="2" fontId="16" fillId="2" borderId="13" xfId="11" applyNumberFormat="1" applyFont="1" applyFill="1" applyBorder="1" applyAlignment="1">
      <alignment horizontal="center" vertical="center" wrapText="1"/>
    </xf>
    <xf numFmtId="0" fontId="16" fillId="2" borderId="13" xfId="1" applyFont="1" applyFill="1" applyBorder="1" applyAlignment="1">
      <alignment horizontal="center"/>
    </xf>
    <xf numFmtId="2" fontId="16" fillId="2" borderId="13" xfId="1" applyNumberFormat="1" applyFont="1" applyFill="1" applyBorder="1" applyAlignment="1">
      <alignment horizontal="center"/>
    </xf>
    <xf numFmtId="49" fontId="13" fillId="2" borderId="13" xfId="1" applyNumberFormat="1" applyFont="1" applyFill="1" applyBorder="1" applyAlignment="1">
      <alignment horizontal="center"/>
    </xf>
    <xf numFmtId="2" fontId="13" fillId="2" borderId="13" xfId="1" applyNumberFormat="1" applyFont="1" applyFill="1" applyBorder="1" applyAlignment="1">
      <alignment horizontal="center"/>
    </xf>
    <xf numFmtId="0" fontId="13" fillId="2" borderId="12" xfId="1" applyFont="1" applyFill="1" applyBorder="1" applyAlignment="1">
      <alignment vertical="top"/>
    </xf>
    <xf numFmtId="0" fontId="13" fillId="2" borderId="3" xfId="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vertical="top"/>
    </xf>
    <xf numFmtId="0" fontId="13" fillId="2" borderId="10" xfId="1" applyFont="1" applyFill="1" applyBorder="1" applyAlignment="1">
      <alignment horizontal="left" vertical="top"/>
    </xf>
    <xf numFmtId="49" fontId="13" fillId="2" borderId="10" xfId="1" applyNumberFormat="1" applyFont="1" applyFill="1" applyBorder="1" applyAlignment="1">
      <alignment horizontal="center" vertical="top"/>
    </xf>
    <xf numFmtId="2" fontId="13" fillId="2" borderId="10" xfId="1" applyNumberFormat="1" applyFont="1" applyFill="1" applyBorder="1" applyAlignment="1">
      <alignment horizontal="center" vertical="top"/>
    </xf>
    <xf numFmtId="2" fontId="13" fillId="2" borderId="8" xfId="1" applyNumberFormat="1" applyFont="1" applyFill="1" applyBorder="1" applyAlignment="1">
      <alignment vertical="top"/>
    </xf>
    <xf numFmtId="49" fontId="13" fillId="2" borderId="6" xfId="1" applyNumberFormat="1" applyFont="1" applyFill="1" applyBorder="1" applyAlignment="1">
      <alignment horizontal="center"/>
    </xf>
    <xf numFmtId="2" fontId="13" fillId="2" borderId="6" xfId="1" applyNumberFormat="1" applyFont="1" applyFill="1" applyBorder="1" applyAlignment="1">
      <alignment horizontal="center"/>
    </xf>
    <xf numFmtId="2" fontId="13" fillId="2" borderId="7" xfId="1" applyNumberFormat="1" applyFont="1" applyFill="1" applyBorder="1"/>
    <xf numFmtId="0" fontId="13" fillId="2" borderId="3" xfId="1" applyFont="1" applyFill="1" applyBorder="1" applyAlignment="1">
      <alignment vertical="top"/>
    </xf>
    <xf numFmtId="1" fontId="13" fillId="2" borderId="13" xfId="1" applyNumberFormat="1" applyFont="1" applyFill="1" applyBorder="1" applyAlignment="1">
      <alignment horizontal="right" vertical="center"/>
    </xf>
    <xf numFmtId="0" fontId="13" fillId="2" borderId="24" xfId="1" applyFont="1" applyFill="1" applyBorder="1"/>
    <xf numFmtId="0" fontId="13" fillId="2" borderId="25" xfId="1" applyFont="1" applyFill="1" applyBorder="1"/>
    <xf numFmtId="0" fontId="13" fillId="2" borderId="26" xfId="1" applyFont="1" applyFill="1" applyBorder="1"/>
    <xf numFmtId="0" fontId="13" fillId="2" borderId="3" xfId="11" applyFont="1" applyFill="1" applyBorder="1" applyAlignment="1">
      <alignment vertical="top"/>
    </xf>
    <xf numFmtId="0" fontId="13" fillId="2" borderId="7" xfId="1" applyFont="1" applyFill="1" applyBorder="1"/>
    <xf numFmtId="49" fontId="13" fillId="2" borderId="9" xfId="1" applyNumberFormat="1" applyFont="1" applyFill="1" applyBorder="1" applyAlignment="1">
      <alignment horizontal="right" vertical="top"/>
    </xf>
    <xf numFmtId="49" fontId="13" fillId="2" borderId="9" xfId="1" applyNumberFormat="1" applyFont="1" applyFill="1" applyBorder="1" applyAlignment="1">
      <alignment horizontal="center" vertical="top"/>
    </xf>
    <xf numFmtId="2" fontId="13" fillId="2" borderId="9" xfId="1" applyNumberFormat="1" applyFont="1" applyFill="1" applyBorder="1" applyAlignment="1">
      <alignment vertical="top"/>
    </xf>
    <xf numFmtId="0" fontId="13" fillId="2" borderId="9" xfId="1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right" vertical="top"/>
    </xf>
    <xf numFmtId="0" fontId="13" fillId="2" borderId="5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right" vertical="center"/>
    </xf>
    <xf numFmtId="0" fontId="13" fillId="2" borderId="17" xfId="11" applyFont="1" applyFill="1" applyBorder="1" applyAlignment="1">
      <alignment horizontal="left" vertical="center"/>
    </xf>
    <xf numFmtId="0" fontId="13" fillId="2" borderId="6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right" vertical="center"/>
    </xf>
    <xf numFmtId="0" fontId="13" fillId="2" borderId="9" xfId="11" applyFont="1" applyFill="1" applyBorder="1" applyAlignment="1">
      <alignment horizontal="left" vertical="center"/>
    </xf>
    <xf numFmtId="49" fontId="13" fillId="2" borderId="14" xfId="4" applyNumberFormat="1" applyFont="1" applyFill="1" applyBorder="1" applyAlignment="1">
      <alignment horizontal="center"/>
    </xf>
    <xf numFmtId="0" fontId="13" fillId="2" borderId="12" xfId="11" applyFont="1" applyFill="1" applyBorder="1" applyAlignment="1">
      <alignment horizontal="center" vertical="center"/>
    </xf>
    <xf numFmtId="0" fontId="13" fillId="2" borderId="1" xfId="11" applyFont="1" applyFill="1" applyBorder="1" applyAlignment="1">
      <alignment horizontal="right" vertical="center"/>
    </xf>
    <xf numFmtId="0" fontId="13" fillId="2" borderId="11" xfId="11" applyFont="1" applyFill="1" applyBorder="1" applyAlignment="1">
      <alignment horizontal="left" vertical="center"/>
    </xf>
    <xf numFmtId="166" fontId="13" fillId="2" borderId="13" xfId="11" applyNumberFormat="1" applyFont="1" applyFill="1" applyBorder="1" applyAlignment="1">
      <alignment horizontal="center" vertical="center"/>
    </xf>
    <xf numFmtId="166" fontId="13" fillId="2" borderId="5" xfId="11" applyNumberFormat="1" applyFont="1" applyFill="1" applyBorder="1" applyAlignment="1">
      <alignment horizontal="right" vertical="center"/>
    </xf>
    <xf numFmtId="166" fontId="13" fillId="2" borderId="6" xfId="11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center" vertical="center"/>
    </xf>
    <xf numFmtId="2" fontId="13" fillId="2" borderId="4" xfId="4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right" vertical="center"/>
    </xf>
    <xf numFmtId="2" fontId="13" fillId="2" borderId="7" xfId="4" applyNumberFormat="1" applyFont="1" applyFill="1" applyBorder="1" applyAlignment="1">
      <alignment horizontal="center" vertical="center"/>
    </xf>
    <xf numFmtId="2" fontId="13" fillId="2" borderId="3" xfId="11" applyNumberFormat="1" applyFont="1" applyFill="1" applyBorder="1" applyAlignment="1">
      <alignment horizontal="center" vertical="center"/>
    </xf>
    <xf numFmtId="2" fontId="13" fillId="0" borderId="3" xfId="1" applyNumberFormat="1" applyFont="1" applyBorder="1" applyAlignment="1">
      <alignment horizontal="center"/>
    </xf>
    <xf numFmtId="0" fontId="13" fillId="2" borderId="27" xfId="11" applyFont="1" applyFill="1" applyBorder="1" applyAlignment="1">
      <alignment vertical="center"/>
    </xf>
    <xf numFmtId="2" fontId="13" fillId="2" borderId="27" xfId="4" applyNumberFormat="1" applyFont="1" applyFill="1" applyBorder="1" applyAlignment="1">
      <alignment horizontal="center" vertical="center"/>
    </xf>
    <xf numFmtId="49" fontId="20" fillId="2" borderId="28" xfId="4" applyNumberFormat="1" applyFont="1" applyFill="1" applyBorder="1" applyAlignment="1">
      <alignment horizontal="center"/>
    </xf>
    <xf numFmtId="49" fontId="20" fillId="2" borderId="29" xfId="4" applyNumberFormat="1" applyFont="1" applyFill="1" applyBorder="1" applyAlignment="1">
      <alignment horizontal="center"/>
    </xf>
    <xf numFmtId="2" fontId="13" fillId="2" borderId="30" xfId="4" applyNumberFormat="1" applyFont="1" applyFill="1" applyBorder="1" applyAlignment="1">
      <alignment horizontal="center" vertical="center"/>
    </xf>
    <xf numFmtId="49" fontId="20" fillId="2" borderId="14" xfId="4" applyNumberFormat="1" applyFont="1" applyFill="1" applyBorder="1" applyAlignment="1">
      <alignment horizontal="center"/>
    </xf>
    <xf numFmtId="49" fontId="20" fillId="2" borderId="7" xfId="4" applyNumberFormat="1" applyFont="1" applyFill="1" applyBorder="1" applyAlignment="1">
      <alignment horizontal="center"/>
    </xf>
    <xf numFmtId="49" fontId="13" fillId="2" borderId="5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horizontal="center" vertical="center" wrapText="1"/>
    </xf>
    <xf numFmtId="2" fontId="13" fillId="2" borderId="9" xfId="1" applyNumberFormat="1" applyFont="1" applyFill="1" applyBorder="1" applyAlignment="1">
      <alignment horizontal="center" vertical="center" wrapText="1"/>
    </xf>
    <xf numFmtId="0" fontId="13" fillId="2" borderId="3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49" fontId="13" fillId="2" borderId="2" xfId="11" applyNumberFormat="1" applyFont="1" applyFill="1" applyBorder="1" applyAlignment="1">
      <alignment horizontal="center" vertical="center" wrapText="1"/>
    </xf>
    <xf numFmtId="49" fontId="13" fillId="2" borderId="14" xfId="1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 vertical="center"/>
    </xf>
    <xf numFmtId="49" fontId="13" fillId="2" borderId="5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49" fontId="1" fillId="0" borderId="0" xfId="1" applyNumberFormat="1" applyAlignment="1">
      <alignment horizontal="left" wrapText="1"/>
    </xf>
    <xf numFmtId="49" fontId="12" fillId="0" borderId="0" xfId="1" applyNumberFormat="1" applyFont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0" fontId="14" fillId="3" borderId="0" xfId="1" applyFont="1" applyFill="1" applyAlignment="1">
      <alignment horizontal="center"/>
    </xf>
    <xf numFmtId="49" fontId="13" fillId="2" borderId="34" xfId="4" applyNumberFormat="1" applyFont="1" applyFill="1" applyBorder="1" applyAlignment="1">
      <alignment horizontal="center" vertical="center"/>
    </xf>
    <xf numFmtId="49" fontId="13" fillId="2" borderId="32" xfId="4" applyNumberFormat="1" applyFont="1" applyFill="1" applyBorder="1" applyAlignment="1">
      <alignment horizontal="center" vertical="center"/>
    </xf>
    <xf numFmtId="49" fontId="13" fillId="2" borderId="28" xfId="4" applyNumberFormat="1" applyFont="1" applyFill="1" applyBorder="1" applyAlignment="1">
      <alignment horizontal="center" vertical="center"/>
    </xf>
    <xf numFmtId="0" fontId="13" fillId="2" borderId="10" xfId="11" applyFont="1" applyFill="1" applyBorder="1" applyAlignment="1">
      <alignment horizontal="center" vertical="center"/>
    </xf>
    <xf numFmtId="49" fontId="13" fillId="2" borderId="10" xfId="11" applyNumberFormat="1" applyFont="1" applyFill="1" applyBorder="1" applyAlignment="1">
      <alignment horizontal="center" vertical="center" wrapText="1"/>
    </xf>
    <xf numFmtId="1" fontId="13" fillId="2" borderId="3" xfId="4" applyNumberFormat="1" applyFont="1" applyFill="1" applyBorder="1" applyAlignment="1">
      <alignment horizontal="center" vertical="center"/>
    </xf>
    <xf numFmtId="1" fontId="13" fillId="2" borderId="9" xfId="4" applyNumberFormat="1" applyFont="1" applyFill="1" applyBorder="1" applyAlignment="1">
      <alignment horizontal="center" vertical="center"/>
    </xf>
    <xf numFmtId="0" fontId="13" fillId="2" borderId="4" xfId="11" applyFont="1" applyFill="1" applyBorder="1" applyAlignment="1">
      <alignment vertical="center"/>
    </xf>
    <xf numFmtId="0" fontId="13" fillId="2" borderId="17" xfId="11" applyFont="1" applyFill="1" applyBorder="1" applyAlignment="1">
      <alignment vertical="center"/>
    </xf>
    <xf numFmtId="0" fontId="13" fillId="2" borderId="12" xfId="11" applyFont="1" applyFill="1" applyBorder="1" applyAlignment="1">
      <alignment vertical="center"/>
    </xf>
    <xf numFmtId="0" fontId="13" fillId="2" borderId="4" xfId="11" applyFont="1" applyFill="1" applyBorder="1" applyAlignment="1">
      <alignment horizontal="center" vertical="center"/>
    </xf>
    <xf numFmtId="0" fontId="13" fillId="2" borderId="0" xfId="11" applyFont="1" applyFill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0" fontId="13" fillId="2" borderId="9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0" fontId="13" fillId="2" borderId="7" xfId="4" applyFont="1" applyFill="1" applyBorder="1" applyAlignment="1">
      <alignment horizontal="center"/>
    </xf>
    <xf numFmtId="0" fontId="13" fillId="2" borderId="6" xfId="4" applyFont="1" applyFill="1" applyBorder="1" applyAlignment="1">
      <alignment horizontal="center"/>
    </xf>
    <xf numFmtId="0" fontId="13" fillId="2" borderId="14" xfId="4" applyFont="1" applyFill="1" applyBorder="1" applyAlignment="1">
      <alignment horizontal="center"/>
    </xf>
    <xf numFmtId="0" fontId="13" fillId="2" borderId="13" xfId="4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/>
    </xf>
    <xf numFmtId="49" fontId="20" fillId="2" borderId="5" xfId="4" applyNumberFormat="1" applyFont="1" applyFill="1" applyBorder="1" applyAlignment="1">
      <alignment horizontal="center"/>
    </xf>
    <xf numFmtId="49" fontId="13" fillId="2" borderId="7" xfId="11" applyNumberFormat="1" applyFont="1" applyFill="1" applyBorder="1" applyAlignment="1">
      <alignment horizontal="center" vertical="center" wrapText="1"/>
    </xf>
    <xf numFmtId="0" fontId="13" fillId="2" borderId="9" xfId="4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/>
    </xf>
    <xf numFmtId="0" fontId="13" fillId="2" borderId="3" xfId="4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center" vertical="center"/>
    </xf>
    <xf numFmtId="49" fontId="13" fillId="2" borderId="3" xfId="4" applyNumberFormat="1" applyFont="1" applyFill="1" applyBorder="1" applyAlignment="1">
      <alignment horizontal="center" vertic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8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31" xfId="4" applyNumberFormat="1" applyFont="1" applyFill="1" applyBorder="1" applyAlignment="1">
      <alignment horizontal="center" vertical="center"/>
    </xf>
    <xf numFmtId="49" fontId="13" fillId="2" borderId="33" xfId="4" applyNumberFormat="1" applyFont="1" applyFill="1" applyBorder="1" applyAlignment="1">
      <alignment horizontal="center" vertical="center"/>
    </xf>
    <xf numFmtId="0" fontId="13" fillId="2" borderId="9" xfId="11" applyFont="1" applyFill="1" applyBorder="1" applyAlignment="1">
      <alignment horizontal="center" vertical="center"/>
    </xf>
    <xf numFmtId="49" fontId="13" fillId="2" borderId="9" xfId="11" applyNumberFormat="1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/>
    </xf>
    <xf numFmtId="0" fontId="13" fillId="2" borderId="11" xfId="11" applyFont="1" applyFill="1" applyBorder="1" applyAlignment="1">
      <alignment horizontal="center" vertical="center"/>
    </xf>
    <xf numFmtId="49" fontId="13" fillId="2" borderId="11" xfId="11" applyNumberFormat="1" applyFont="1" applyFill="1" applyBorder="1" applyAlignment="1">
      <alignment horizontal="center" vertical="center" wrapText="1"/>
    </xf>
    <xf numFmtId="0" fontId="13" fillId="2" borderId="13" xfId="1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top"/>
    </xf>
    <xf numFmtId="0" fontId="13" fillId="2" borderId="11" xfId="1" applyFont="1" applyFill="1" applyBorder="1" applyAlignment="1">
      <alignment horizontal="center" vertical="top"/>
    </xf>
    <xf numFmtId="0" fontId="13" fillId="2" borderId="6" xfId="1" applyFont="1" applyFill="1" applyBorder="1" applyAlignment="1">
      <alignment horizontal="center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top"/>
    </xf>
    <xf numFmtId="0" fontId="13" fillId="2" borderId="7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vertical="center"/>
    </xf>
    <xf numFmtId="0" fontId="13" fillId="2" borderId="14" xfId="1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center" vertical="center"/>
    </xf>
  </cellXfs>
  <cellStyles count="17">
    <cellStyle name="0,0_x000d__x000a_NA_x000d__x000a_" xfId="1" xr:uid="{00000000-0005-0000-0000-000000000000}"/>
    <cellStyle name="0,0_x000d__x000a_NA_x000d__x000a_ 2" xfId="2" xr:uid="{00000000-0005-0000-0000-000001000000}"/>
    <cellStyle name="0,0_x000d__x000a_NA_x000d__x000a_ 3" xfId="3" xr:uid="{00000000-0005-0000-0000-000002000000}"/>
    <cellStyle name="Normal_Catalogue Prices2" xfId="4" xr:uid="{00000000-0005-0000-0000-000003000000}"/>
    <cellStyle name="Normalny_Cennik KOELNER 2002" xfId="5" xr:uid="{00000000-0005-0000-0000-000004000000}"/>
    <cellStyle name="Walutowy_Cennik KOELNER 2002" xfId="6" xr:uid="{00000000-0005-0000-0000-000005000000}"/>
    <cellStyle name="Гиперссылка 2" xfId="7" xr:uid="{00000000-0005-0000-0000-000006000000}"/>
    <cellStyle name="Гиперссылка 2 2" xfId="8" xr:uid="{00000000-0005-0000-0000-000007000000}"/>
    <cellStyle name="Звичайний" xfId="0" builtinId="0"/>
    <cellStyle name="Обычный 2" xfId="9" xr:uid="{00000000-0005-0000-0000-000009000000}"/>
    <cellStyle name="Обычный 3" xfId="10" xr:uid="{00000000-0005-0000-0000-00000A000000}"/>
    <cellStyle name="Обычный_price_new_all_29.03.05" xfId="11" xr:uid="{00000000-0005-0000-0000-00000B000000}"/>
    <cellStyle name="Процентный 2" xfId="12" xr:uid="{00000000-0005-0000-0000-00000C000000}"/>
    <cellStyle name="Процентный 3" xfId="13" xr:uid="{00000000-0005-0000-0000-00000D000000}"/>
    <cellStyle name="Стиль 1" xfId="14" xr:uid="{00000000-0005-0000-0000-00000E000000}"/>
    <cellStyle name="常规 2" xfId="15" xr:uid="{00000000-0005-0000-0000-00000F000000}"/>
    <cellStyle name="常规_PI" xfId="16" xr:uid="{00000000-0005-0000-0000-00001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8.emf"/><Relationship Id="rId21" Type="http://schemas.openxmlformats.org/officeDocument/2006/relationships/image" Target="../media/image22.emf"/><Relationship Id="rId42" Type="http://schemas.openxmlformats.org/officeDocument/2006/relationships/image" Target="../media/image43.emf"/><Relationship Id="rId63" Type="http://schemas.openxmlformats.org/officeDocument/2006/relationships/image" Target="../media/image64.emf"/><Relationship Id="rId84" Type="http://schemas.openxmlformats.org/officeDocument/2006/relationships/image" Target="../media/image85.png"/><Relationship Id="rId138" Type="http://schemas.openxmlformats.org/officeDocument/2006/relationships/image" Target="../media/image139.jpeg"/><Relationship Id="rId159" Type="http://schemas.openxmlformats.org/officeDocument/2006/relationships/image" Target="../media/image160.png"/><Relationship Id="rId107" Type="http://schemas.openxmlformats.org/officeDocument/2006/relationships/image" Target="../media/image108.png"/><Relationship Id="rId11" Type="http://schemas.openxmlformats.org/officeDocument/2006/relationships/image" Target="../media/image12.emf"/><Relationship Id="rId32" Type="http://schemas.openxmlformats.org/officeDocument/2006/relationships/image" Target="../media/image33.png"/><Relationship Id="rId53" Type="http://schemas.openxmlformats.org/officeDocument/2006/relationships/image" Target="../media/image54.emf"/><Relationship Id="rId74" Type="http://schemas.openxmlformats.org/officeDocument/2006/relationships/image" Target="../media/image75.emf"/><Relationship Id="rId128" Type="http://schemas.openxmlformats.org/officeDocument/2006/relationships/image" Target="../media/image129.jpeg"/><Relationship Id="rId149" Type="http://schemas.openxmlformats.org/officeDocument/2006/relationships/image" Target="../media/image150.jpeg"/><Relationship Id="rId5" Type="http://schemas.openxmlformats.org/officeDocument/2006/relationships/image" Target="../media/image6.emf"/><Relationship Id="rId95" Type="http://schemas.openxmlformats.org/officeDocument/2006/relationships/image" Target="../media/image96.png"/><Relationship Id="rId160" Type="http://schemas.openxmlformats.org/officeDocument/2006/relationships/image" Target="../media/image161.png"/><Relationship Id="rId22" Type="http://schemas.openxmlformats.org/officeDocument/2006/relationships/image" Target="../media/image23.emf"/><Relationship Id="rId43" Type="http://schemas.openxmlformats.org/officeDocument/2006/relationships/image" Target="../media/image44.emf"/><Relationship Id="rId64" Type="http://schemas.openxmlformats.org/officeDocument/2006/relationships/image" Target="../media/image65.emf"/><Relationship Id="rId118" Type="http://schemas.openxmlformats.org/officeDocument/2006/relationships/image" Target="../media/image119.emf"/><Relationship Id="rId139" Type="http://schemas.openxmlformats.org/officeDocument/2006/relationships/image" Target="../media/image140.jpeg"/><Relationship Id="rId80" Type="http://schemas.openxmlformats.org/officeDocument/2006/relationships/image" Target="../media/image81.emf"/><Relationship Id="rId85" Type="http://schemas.openxmlformats.org/officeDocument/2006/relationships/image" Target="../media/image86.png"/><Relationship Id="rId150" Type="http://schemas.openxmlformats.org/officeDocument/2006/relationships/image" Target="../media/image151.jpeg"/><Relationship Id="rId155" Type="http://schemas.openxmlformats.org/officeDocument/2006/relationships/image" Target="../media/image156.png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33" Type="http://schemas.openxmlformats.org/officeDocument/2006/relationships/image" Target="../media/image34.emf"/><Relationship Id="rId38" Type="http://schemas.openxmlformats.org/officeDocument/2006/relationships/image" Target="../media/image39.wmf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08" Type="http://schemas.openxmlformats.org/officeDocument/2006/relationships/image" Target="../media/image109.png"/><Relationship Id="rId124" Type="http://schemas.openxmlformats.org/officeDocument/2006/relationships/image" Target="../media/image125.png"/><Relationship Id="rId129" Type="http://schemas.openxmlformats.org/officeDocument/2006/relationships/image" Target="../media/image130.jpeg"/><Relationship Id="rId54" Type="http://schemas.openxmlformats.org/officeDocument/2006/relationships/image" Target="../media/image55.emf"/><Relationship Id="rId70" Type="http://schemas.openxmlformats.org/officeDocument/2006/relationships/image" Target="../media/image71.png"/><Relationship Id="rId75" Type="http://schemas.openxmlformats.org/officeDocument/2006/relationships/image" Target="../media/image76.png"/><Relationship Id="rId91" Type="http://schemas.openxmlformats.org/officeDocument/2006/relationships/image" Target="../media/image92.png"/><Relationship Id="rId96" Type="http://schemas.openxmlformats.org/officeDocument/2006/relationships/image" Target="../media/image97.png"/><Relationship Id="rId140" Type="http://schemas.openxmlformats.org/officeDocument/2006/relationships/image" Target="../media/image141.jpeg"/><Relationship Id="rId145" Type="http://schemas.openxmlformats.org/officeDocument/2006/relationships/image" Target="../media/image146.jpeg"/><Relationship Id="rId1" Type="http://schemas.openxmlformats.org/officeDocument/2006/relationships/image" Target="../media/image2.emf"/><Relationship Id="rId6" Type="http://schemas.openxmlformats.org/officeDocument/2006/relationships/image" Target="../media/image7.png"/><Relationship Id="rId23" Type="http://schemas.openxmlformats.org/officeDocument/2006/relationships/image" Target="../media/image24.emf"/><Relationship Id="rId28" Type="http://schemas.openxmlformats.org/officeDocument/2006/relationships/image" Target="../media/image29.png"/><Relationship Id="rId49" Type="http://schemas.openxmlformats.org/officeDocument/2006/relationships/image" Target="../media/image50.jpeg"/><Relationship Id="rId114" Type="http://schemas.openxmlformats.org/officeDocument/2006/relationships/image" Target="../media/image115.wmf"/><Relationship Id="rId119" Type="http://schemas.openxmlformats.org/officeDocument/2006/relationships/image" Target="../media/image120.emf"/><Relationship Id="rId44" Type="http://schemas.openxmlformats.org/officeDocument/2006/relationships/image" Target="../media/image45.emf"/><Relationship Id="rId60" Type="http://schemas.openxmlformats.org/officeDocument/2006/relationships/image" Target="../media/image61.png"/><Relationship Id="rId65" Type="http://schemas.openxmlformats.org/officeDocument/2006/relationships/image" Target="../media/image66.png"/><Relationship Id="rId81" Type="http://schemas.openxmlformats.org/officeDocument/2006/relationships/image" Target="../media/image82.emf"/><Relationship Id="rId86" Type="http://schemas.openxmlformats.org/officeDocument/2006/relationships/image" Target="../media/image87.png"/><Relationship Id="rId130" Type="http://schemas.openxmlformats.org/officeDocument/2006/relationships/image" Target="../media/image131.jpeg"/><Relationship Id="rId135" Type="http://schemas.openxmlformats.org/officeDocument/2006/relationships/image" Target="../media/image136.jpeg"/><Relationship Id="rId151" Type="http://schemas.openxmlformats.org/officeDocument/2006/relationships/image" Target="../media/image152.jpeg"/><Relationship Id="rId156" Type="http://schemas.openxmlformats.org/officeDocument/2006/relationships/image" Target="../media/image157.png"/><Relationship Id="rId13" Type="http://schemas.openxmlformats.org/officeDocument/2006/relationships/image" Target="../media/image14.emf"/><Relationship Id="rId18" Type="http://schemas.openxmlformats.org/officeDocument/2006/relationships/image" Target="../media/image19.emf"/><Relationship Id="rId39" Type="http://schemas.openxmlformats.org/officeDocument/2006/relationships/image" Target="../media/image40.emf"/><Relationship Id="rId109" Type="http://schemas.openxmlformats.org/officeDocument/2006/relationships/image" Target="../media/image110.png"/><Relationship Id="rId34" Type="http://schemas.openxmlformats.org/officeDocument/2006/relationships/image" Target="../media/image35.emf"/><Relationship Id="rId50" Type="http://schemas.openxmlformats.org/officeDocument/2006/relationships/image" Target="../media/image51.jpeg"/><Relationship Id="rId55" Type="http://schemas.openxmlformats.org/officeDocument/2006/relationships/image" Target="../media/image56.emf"/><Relationship Id="rId76" Type="http://schemas.openxmlformats.org/officeDocument/2006/relationships/image" Target="../media/image77.png"/><Relationship Id="rId97" Type="http://schemas.openxmlformats.org/officeDocument/2006/relationships/image" Target="../media/image98.png"/><Relationship Id="rId104" Type="http://schemas.openxmlformats.org/officeDocument/2006/relationships/image" Target="../media/image105.png"/><Relationship Id="rId120" Type="http://schemas.openxmlformats.org/officeDocument/2006/relationships/image" Target="../media/image121.wmf"/><Relationship Id="rId125" Type="http://schemas.openxmlformats.org/officeDocument/2006/relationships/image" Target="../media/image126.emf"/><Relationship Id="rId141" Type="http://schemas.openxmlformats.org/officeDocument/2006/relationships/image" Target="../media/image142.jpeg"/><Relationship Id="rId146" Type="http://schemas.openxmlformats.org/officeDocument/2006/relationships/image" Target="../media/image147.jpeg"/><Relationship Id="rId7" Type="http://schemas.openxmlformats.org/officeDocument/2006/relationships/image" Target="../media/image8.emf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" Type="http://schemas.openxmlformats.org/officeDocument/2006/relationships/image" Target="../media/image3.emf"/><Relationship Id="rId29" Type="http://schemas.openxmlformats.org/officeDocument/2006/relationships/image" Target="../media/image30.emf"/><Relationship Id="rId24" Type="http://schemas.openxmlformats.org/officeDocument/2006/relationships/image" Target="../media/image25.emf"/><Relationship Id="rId40" Type="http://schemas.openxmlformats.org/officeDocument/2006/relationships/image" Target="../media/image41.emf"/><Relationship Id="rId45" Type="http://schemas.openxmlformats.org/officeDocument/2006/relationships/image" Target="../media/image46.emf"/><Relationship Id="rId66" Type="http://schemas.openxmlformats.org/officeDocument/2006/relationships/image" Target="../media/image67.emf"/><Relationship Id="rId87" Type="http://schemas.openxmlformats.org/officeDocument/2006/relationships/image" Target="../media/image88.png"/><Relationship Id="rId110" Type="http://schemas.openxmlformats.org/officeDocument/2006/relationships/image" Target="../media/image111.jpeg"/><Relationship Id="rId115" Type="http://schemas.openxmlformats.org/officeDocument/2006/relationships/image" Target="../media/image116.emf"/><Relationship Id="rId131" Type="http://schemas.openxmlformats.org/officeDocument/2006/relationships/image" Target="../media/image132.jpeg"/><Relationship Id="rId136" Type="http://schemas.openxmlformats.org/officeDocument/2006/relationships/image" Target="../media/image137.jpeg"/><Relationship Id="rId157" Type="http://schemas.openxmlformats.org/officeDocument/2006/relationships/image" Target="../media/image158.jpeg"/><Relationship Id="rId61" Type="http://schemas.openxmlformats.org/officeDocument/2006/relationships/image" Target="../media/image62.emf"/><Relationship Id="rId82" Type="http://schemas.openxmlformats.org/officeDocument/2006/relationships/image" Target="../media/image83.emf"/><Relationship Id="rId152" Type="http://schemas.openxmlformats.org/officeDocument/2006/relationships/image" Target="../media/image153.png"/><Relationship Id="rId19" Type="http://schemas.openxmlformats.org/officeDocument/2006/relationships/image" Target="../media/image20.emf"/><Relationship Id="rId14" Type="http://schemas.openxmlformats.org/officeDocument/2006/relationships/image" Target="../media/image15.emf"/><Relationship Id="rId30" Type="http://schemas.openxmlformats.org/officeDocument/2006/relationships/image" Target="../media/image31.wmf"/><Relationship Id="rId35" Type="http://schemas.openxmlformats.org/officeDocument/2006/relationships/image" Target="../media/image36.png"/><Relationship Id="rId56" Type="http://schemas.openxmlformats.org/officeDocument/2006/relationships/image" Target="../media/image57.jpeg"/><Relationship Id="rId77" Type="http://schemas.openxmlformats.org/officeDocument/2006/relationships/image" Target="../media/image78.emf"/><Relationship Id="rId100" Type="http://schemas.openxmlformats.org/officeDocument/2006/relationships/image" Target="../media/image101.png"/><Relationship Id="rId105" Type="http://schemas.openxmlformats.org/officeDocument/2006/relationships/image" Target="../media/image106.jpeg"/><Relationship Id="rId126" Type="http://schemas.openxmlformats.org/officeDocument/2006/relationships/image" Target="../media/image127.jpeg"/><Relationship Id="rId147" Type="http://schemas.openxmlformats.org/officeDocument/2006/relationships/image" Target="../media/image148.jpeg"/><Relationship Id="rId8" Type="http://schemas.openxmlformats.org/officeDocument/2006/relationships/image" Target="../media/image9.emf"/><Relationship Id="rId51" Type="http://schemas.openxmlformats.org/officeDocument/2006/relationships/image" Target="../media/image52.png"/><Relationship Id="rId72" Type="http://schemas.openxmlformats.org/officeDocument/2006/relationships/image" Target="../media/image73.jpeg"/><Relationship Id="rId93" Type="http://schemas.openxmlformats.org/officeDocument/2006/relationships/image" Target="../media/image94.png"/><Relationship Id="rId98" Type="http://schemas.openxmlformats.org/officeDocument/2006/relationships/image" Target="../media/image99.png"/><Relationship Id="rId121" Type="http://schemas.openxmlformats.org/officeDocument/2006/relationships/image" Target="../media/image122.emf"/><Relationship Id="rId142" Type="http://schemas.openxmlformats.org/officeDocument/2006/relationships/image" Target="../media/image143.jpeg"/><Relationship Id="rId3" Type="http://schemas.openxmlformats.org/officeDocument/2006/relationships/image" Target="../media/image4.emf"/><Relationship Id="rId25" Type="http://schemas.openxmlformats.org/officeDocument/2006/relationships/image" Target="../media/image26.wmf"/><Relationship Id="rId46" Type="http://schemas.openxmlformats.org/officeDocument/2006/relationships/image" Target="../media/image47.emf"/><Relationship Id="rId67" Type="http://schemas.openxmlformats.org/officeDocument/2006/relationships/image" Target="../media/image68.emf"/><Relationship Id="rId116" Type="http://schemas.openxmlformats.org/officeDocument/2006/relationships/image" Target="../media/image117.emf"/><Relationship Id="rId137" Type="http://schemas.openxmlformats.org/officeDocument/2006/relationships/image" Target="../media/image138.png"/><Relationship Id="rId158" Type="http://schemas.openxmlformats.org/officeDocument/2006/relationships/image" Target="../media/image159.png"/><Relationship Id="rId20" Type="http://schemas.openxmlformats.org/officeDocument/2006/relationships/image" Target="../media/image21.emf"/><Relationship Id="rId41" Type="http://schemas.openxmlformats.org/officeDocument/2006/relationships/image" Target="../media/image42.emf"/><Relationship Id="rId62" Type="http://schemas.openxmlformats.org/officeDocument/2006/relationships/image" Target="../media/image63.emf"/><Relationship Id="rId83" Type="http://schemas.openxmlformats.org/officeDocument/2006/relationships/image" Target="../media/image84.png"/><Relationship Id="rId88" Type="http://schemas.openxmlformats.org/officeDocument/2006/relationships/image" Target="../media/image89.png"/><Relationship Id="rId111" Type="http://schemas.openxmlformats.org/officeDocument/2006/relationships/image" Target="../media/image112.wmf"/><Relationship Id="rId132" Type="http://schemas.openxmlformats.org/officeDocument/2006/relationships/image" Target="../media/image133.jpeg"/><Relationship Id="rId153" Type="http://schemas.openxmlformats.org/officeDocument/2006/relationships/image" Target="../media/image154.jpeg"/><Relationship Id="rId15" Type="http://schemas.openxmlformats.org/officeDocument/2006/relationships/image" Target="../media/image16.emf"/><Relationship Id="rId36" Type="http://schemas.openxmlformats.org/officeDocument/2006/relationships/image" Target="../media/image37.emf"/><Relationship Id="rId57" Type="http://schemas.openxmlformats.org/officeDocument/2006/relationships/image" Target="../media/image58.emf"/><Relationship Id="rId106" Type="http://schemas.openxmlformats.org/officeDocument/2006/relationships/image" Target="../media/image107.jpeg"/><Relationship Id="rId127" Type="http://schemas.openxmlformats.org/officeDocument/2006/relationships/image" Target="../media/image128.jpeg"/><Relationship Id="rId10" Type="http://schemas.openxmlformats.org/officeDocument/2006/relationships/image" Target="../media/image11.emf"/><Relationship Id="rId31" Type="http://schemas.openxmlformats.org/officeDocument/2006/relationships/image" Target="../media/image32.emf"/><Relationship Id="rId52" Type="http://schemas.openxmlformats.org/officeDocument/2006/relationships/image" Target="../media/image53.png"/><Relationship Id="rId73" Type="http://schemas.openxmlformats.org/officeDocument/2006/relationships/image" Target="../media/image74.png"/><Relationship Id="rId78" Type="http://schemas.openxmlformats.org/officeDocument/2006/relationships/image" Target="../media/image79.emf"/><Relationship Id="rId94" Type="http://schemas.openxmlformats.org/officeDocument/2006/relationships/image" Target="../media/image95.jpe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jpeg"/><Relationship Id="rId143" Type="http://schemas.openxmlformats.org/officeDocument/2006/relationships/image" Target="../media/image144.jpeg"/><Relationship Id="rId148" Type="http://schemas.openxmlformats.org/officeDocument/2006/relationships/image" Target="../media/image149.jpeg"/><Relationship Id="rId4" Type="http://schemas.openxmlformats.org/officeDocument/2006/relationships/image" Target="../media/image5.emf"/><Relationship Id="rId9" Type="http://schemas.openxmlformats.org/officeDocument/2006/relationships/image" Target="../media/image10.png"/><Relationship Id="rId26" Type="http://schemas.openxmlformats.org/officeDocument/2006/relationships/image" Target="../media/image27.wmf"/><Relationship Id="rId47" Type="http://schemas.openxmlformats.org/officeDocument/2006/relationships/image" Target="../media/image48.emf"/><Relationship Id="rId68" Type="http://schemas.openxmlformats.org/officeDocument/2006/relationships/image" Target="../media/image69.emf"/><Relationship Id="rId89" Type="http://schemas.openxmlformats.org/officeDocument/2006/relationships/image" Target="../media/image90.jpeg"/><Relationship Id="rId112" Type="http://schemas.openxmlformats.org/officeDocument/2006/relationships/image" Target="../media/image113.wmf"/><Relationship Id="rId133" Type="http://schemas.openxmlformats.org/officeDocument/2006/relationships/image" Target="../media/image134.jpeg"/><Relationship Id="rId154" Type="http://schemas.openxmlformats.org/officeDocument/2006/relationships/image" Target="../media/image155.png"/><Relationship Id="rId16" Type="http://schemas.openxmlformats.org/officeDocument/2006/relationships/image" Target="../media/image17.emf"/><Relationship Id="rId37" Type="http://schemas.openxmlformats.org/officeDocument/2006/relationships/image" Target="../media/image38.jpeg"/><Relationship Id="rId58" Type="http://schemas.openxmlformats.org/officeDocument/2006/relationships/image" Target="../media/image59.png"/><Relationship Id="rId79" Type="http://schemas.openxmlformats.org/officeDocument/2006/relationships/image" Target="../media/image80.emf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44" Type="http://schemas.openxmlformats.org/officeDocument/2006/relationships/image" Target="../media/image145.jpeg"/><Relationship Id="rId90" Type="http://schemas.openxmlformats.org/officeDocument/2006/relationships/image" Target="../media/image91.jpeg"/><Relationship Id="rId27" Type="http://schemas.openxmlformats.org/officeDocument/2006/relationships/image" Target="../media/image28.wmf"/><Relationship Id="rId48" Type="http://schemas.openxmlformats.org/officeDocument/2006/relationships/image" Target="../media/image49.emf"/><Relationship Id="rId69" Type="http://schemas.openxmlformats.org/officeDocument/2006/relationships/image" Target="../media/image70.jpeg"/><Relationship Id="rId113" Type="http://schemas.openxmlformats.org/officeDocument/2006/relationships/image" Target="../media/image114.wmf"/><Relationship Id="rId134" Type="http://schemas.openxmlformats.org/officeDocument/2006/relationships/image" Target="../media/image1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390525</xdr:colOff>
      <xdr:row>4</xdr:row>
      <xdr:rowOff>28575</xdr:rowOff>
    </xdr:from>
    <xdr:to>
      <xdr:col>7</xdr:col>
      <xdr:colOff>28575</xdr:colOff>
      <xdr:row>15</xdr:row>
      <xdr:rowOff>161925</xdr:rowOff>
    </xdr:to>
    <xdr:pic>
      <xdr:nvPicPr>
        <xdr:cNvPr id="1364" name="Рисунок 4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09725" y="1057275"/>
          <a:ext cx="2686050" cy="2228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</xdr:row>
      <xdr:rowOff>104775</xdr:rowOff>
    </xdr:from>
    <xdr:to>
      <xdr:col>6</xdr:col>
      <xdr:colOff>371475</xdr:colOff>
      <xdr:row>6</xdr:row>
      <xdr:rowOff>28575</xdr:rowOff>
    </xdr:to>
    <xdr:pic>
      <xdr:nvPicPr>
        <xdr:cNvPr id="66009" name="Picture 1">
          <a:extLst>
            <a:ext uri="{FF2B5EF4-FFF2-40B4-BE49-F238E27FC236}">
              <a16:creationId xmlns:a16="http://schemas.microsoft.com/office/drawing/2014/main" id="{00000000-0008-0000-0200-0000D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61975"/>
          <a:ext cx="209550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46</xdr:row>
      <xdr:rowOff>104775</xdr:rowOff>
    </xdr:from>
    <xdr:to>
      <xdr:col>6</xdr:col>
      <xdr:colOff>323850</xdr:colOff>
      <xdr:row>49</xdr:row>
      <xdr:rowOff>38100</xdr:rowOff>
    </xdr:to>
    <xdr:pic>
      <xdr:nvPicPr>
        <xdr:cNvPr id="66010" name="Picture 143">
          <a:extLst>
            <a:ext uri="{FF2B5EF4-FFF2-40B4-BE49-F238E27FC236}">
              <a16:creationId xmlns:a16="http://schemas.microsoft.com/office/drawing/2014/main" id="{00000000-0008-0000-0200-0000D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6296025"/>
          <a:ext cx="209550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74</xdr:row>
      <xdr:rowOff>38100</xdr:rowOff>
    </xdr:from>
    <xdr:to>
      <xdr:col>6</xdr:col>
      <xdr:colOff>504825</xdr:colOff>
      <xdr:row>77</xdr:row>
      <xdr:rowOff>28575</xdr:rowOff>
    </xdr:to>
    <xdr:pic>
      <xdr:nvPicPr>
        <xdr:cNvPr id="66011" name="Picture 4">
          <a:extLst>
            <a:ext uri="{FF2B5EF4-FFF2-40B4-BE49-F238E27FC236}">
              <a16:creationId xmlns:a16="http://schemas.microsoft.com/office/drawing/2014/main" id="{00000000-0008-0000-0200-0000D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9972675"/>
          <a:ext cx="22860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168</xdr:row>
      <xdr:rowOff>85725</xdr:rowOff>
    </xdr:from>
    <xdr:to>
      <xdr:col>8</xdr:col>
      <xdr:colOff>66675</xdr:colOff>
      <xdr:row>170</xdr:row>
      <xdr:rowOff>47625</xdr:rowOff>
    </xdr:to>
    <xdr:pic>
      <xdr:nvPicPr>
        <xdr:cNvPr id="66012" name="Picture 5">
          <a:extLst>
            <a:ext uri="{FF2B5EF4-FFF2-40B4-BE49-F238E27FC236}">
              <a16:creationId xmlns:a16="http://schemas.microsoft.com/office/drawing/2014/main" id="{00000000-0008-0000-0200-0000D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22555200"/>
          <a:ext cx="2933700" cy="228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183</xdr:row>
      <xdr:rowOff>38100</xdr:rowOff>
    </xdr:from>
    <xdr:to>
      <xdr:col>6</xdr:col>
      <xdr:colOff>152400</xdr:colOff>
      <xdr:row>186</xdr:row>
      <xdr:rowOff>9525</xdr:rowOff>
    </xdr:to>
    <xdr:pic>
      <xdr:nvPicPr>
        <xdr:cNvPr id="66013" name="Picture 6">
          <a:extLst>
            <a:ext uri="{FF2B5EF4-FFF2-40B4-BE49-F238E27FC236}">
              <a16:creationId xmlns:a16="http://schemas.microsoft.com/office/drawing/2014/main" id="{00000000-0008-0000-0200-0000D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4507825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211</xdr:row>
      <xdr:rowOff>28575</xdr:rowOff>
    </xdr:from>
    <xdr:to>
      <xdr:col>6</xdr:col>
      <xdr:colOff>152400</xdr:colOff>
      <xdr:row>213</xdr:row>
      <xdr:rowOff>133350</xdr:rowOff>
    </xdr:to>
    <xdr:pic>
      <xdr:nvPicPr>
        <xdr:cNvPr id="66014" name="Picture 6">
          <a:extLst>
            <a:ext uri="{FF2B5EF4-FFF2-40B4-BE49-F238E27FC236}">
              <a16:creationId xmlns:a16="http://schemas.microsoft.com/office/drawing/2014/main" id="{00000000-0008-0000-0200-0000D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8232100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211</xdr:row>
      <xdr:rowOff>19050</xdr:rowOff>
    </xdr:from>
    <xdr:to>
      <xdr:col>16</xdr:col>
      <xdr:colOff>161925</xdr:colOff>
      <xdr:row>213</xdr:row>
      <xdr:rowOff>123825</xdr:rowOff>
    </xdr:to>
    <xdr:pic>
      <xdr:nvPicPr>
        <xdr:cNvPr id="66015" name="Picture 6">
          <a:extLst>
            <a:ext uri="{FF2B5EF4-FFF2-40B4-BE49-F238E27FC236}">
              <a16:creationId xmlns:a16="http://schemas.microsoft.com/office/drawing/2014/main" id="{00000000-0008-0000-0200-0000D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43250" y="28222575"/>
          <a:ext cx="19335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225</xdr:row>
      <xdr:rowOff>104775</xdr:rowOff>
    </xdr:from>
    <xdr:to>
      <xdr:col>4</xdr:col>
      <xdr:colOff>161925</xdr:colOff>
      <xdr:row>228</xdr:row>
      <xdr:rowOff>133350</xdr:rowOff>
    </xdr:to>
    <xdr:pic>
      <xdr:nvPicPr>
        <xdr:cNvPr id="66016" name="Рисунок 165">
          <a:extLst>
            <a:ext uri="{FF2B5EF4-FFF2-40B4-BE49-F238E27FC236}">
              <a16:creationId xmlns:a16="http://schemas.microsoft.com/office/drawing/2014/main" id="{00000000-0008-0000-0200-0000E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4744" r="13365" b="26476"/>
        <a:stretch>
          <a:fillRect/>
        </a:stretch>
      </xdr:blipFill>
      <xdr:spPr bwMode="auto">
        <a:xfrm>
          <a:off x="57150" y="30175200"/>
          <a:ext cx="1466850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238</xdr:row>
      <xdr:rowOff>0</xdr:rowOff>
    </xdr:from>
    <xdr:to>
      <xdr:col>7</xdr:col>
      <xdr:colOff>466725</xdr:colOff>
      <xdr:row>241</xdr:row>
      <xdr:rowOff>47625</xdr:rowOff>
    </xdr:to>
    <xdr:pic>
      <xdr:nvPicPr>
        <xdr:cNvPr id="66017" name="Picture 3">
          <a:extLst>
            <a:ext uri="{FF2B5EF4-FFF2-40B4-BE49-F238E27FC236}">
              <a16:creationId xmlns:a16="http://schemas.microsoft.com/office/drawing/2014/main" id="{00000000-0008-0000-0200-0000E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8100" y="31803975"/>
          <a:ext cx="28003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6</xdr:col>
      <xdr:colOff>95250</xdr:colOff>
      <xdr:row>244</xdr:row>
      <xdr:rowOff>9525</xdr:rowOff>
    </xdr:from>
    <xdr:to>
      <xdr:col>7</xdr:col>
      <xdr:colOff>476250</xdr:colOff>
      <xdr:row>247</xdr:row>
      <xdr:rowOff>114300</xdr:rowOff>
    </xdr:to>
    <xdr:pic>
      <xdr:nvPicPr>
        <xdr:cNvPr id="66018" name="Picture 7">
          <a:extLst>
            <a:ext uri="{FF2B5EF4-FFF2-40B4-BE49-F238E27FC236}">
              <a16:creationId xmlns:a16="http://schemas.microsoft.com/office/drawing/2014/main" id="{00000000-0008-0000-0200-0000E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14525" y="32613600"/>
          <a:ext cx="93345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13</xdr:col>
      <xdr:colOff>409575</xdr:colOff>
      <xdr:row>244</xdr:row>
      <xdr:rowOff>57150</xdr:rowOff>
    </xdr:from>
    <xdr:to>
      <xdr:col>17</xdr:col>
      <xdr:colOff>66675</xdr:colOff>
      <xdr:row>247</xdr:row>
      <xdr:rowOff>85725</xdr:rowOff>
    </xdr:to>
    <xdr:grpSp>
      <xdr:nvGrpSpPr>
        <xdr:cNvPr id="66019" name="Group 737">
          <a:extLst>
            <a:ext uri="{FF2B5EF4-FFF2-40B4-BE49-F238E27FC236}">
              <a16:creationId xmlns:a16="http://schemas.microsoft.com/office/drawing/2014/main" id="{00000000-0008-0000-0200-0000E3010100}"/>
            </a:ext>
          </a:extLst>
        </xdr:cNvPr>
        <xdr:cNvGrpSpPr>
          <a:grpSpLocks/>
        </xdr:cNvGrpSpPr>
      </xdr:nvGrpSpPr>
      <xdr:grpSpPr bwMode="auto">
        <a:xfrm>
          <a:off x="5004435" y="31741110"/>
          <a:ext cx="1173480" cy="417195"/>
          <a:chOff x="8043" y="47820"/>
          <a:chExt cx="1102" cy="682"/>
        </a:xfrm>
      </xdr:grpSpPr>
      <xdr:pic>
        <xdr:nvPicPr>
          <xdr:cNvPr id="66192" name="Picture 738">
            <a:extLst>
              <a:ext uri="{FF2B5EF4-FFF2-40B4-BE49-F238E27FC236}">
                <a16:creationId xmlns:a16="http://schemas.microsoft.com/office/drawing/2014/main" id="{00000000-0008-0000-0200-00009002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043" y="47820"/>
            <a:ext cx="288" cy="681"/>
          </a:xfrm>
          <a:prstGeom prst="rect">
            <a:avLst/>
          </a:prstGeom>
          <a:noFill/>
          <a:ln w="9525">
            <a:noFill/>
            <a:round/>
            <a:headEnd/>
            <a:tailEnd/>
          </a:ln>
        </xdr:spPr>
      </xdr:pic>
      <xdr:sp macro="" textlink="">
        <xdr:nvSpPr>
          <xdr:cNvPr id="66193" name="Oval 739">
            <a:extLst>
              <a:ext uri="{FF2B5EF4-FFF2-40B4-BE49-F238E27FC236}">
                <a16:creationId xmlns:a16="http://schemas.microsoft.com/office/drawing/2014/main" id="{00000000-0008-0000-0200-000091020100}"/>
              </a:ext>
            </a:extLst>
          </xdr:cNvPr>
          <xdr:cNvSpPr>
            <a:spLocks noChangeArrowheads="1"/>
          </xdr:cNvSpPr>
        </xdr:nvSpPr>
        <xdr:spPr bwMode="auto">
          <a:xfrm>
            <a:off x="8541" y="47840"/>
            <a:ext cx="603" cy="644"/>
          </a:xfrm>
          <a:prstGeom prst="ellipse">
            <a:avLst/>
          </a:prstGeom>
          <a:solidFill>
            <a:srgbClr val="FFFFFF"/>
          </a:solidFill>
          <a:ln w="9360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38100</xdr:colOff>
      <xdr:row>258</xdr:row>
      <xdr:rowOff>38100</xdr:rowOff>
    </xdr:from>
    <xdr:to>
      <xdr:col>6</xdr:col>
      <xdr:colOff>190500</xdr:colOff>
      <xdr:row>260</xdr:row>
      <xdr:rowOff>133350</xdr:rowOff>
    </xdr:to>
    <xdr:pic>
      <xdr:nvPicPr>
        <xdr:cNvPr id="66020" name="Picture 9">
          <a:extLst>
            <a:ext uri="{FF2B5EF4-FFF2-40B4-BE49-F238E27FC236}">
              <a16:creationId xmlns:a16="http://schemas.microsoft.com/office/drawing/2014/main" id="{00000000-0008-0000-0200-0000E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8100" y="34509075"/>
          <a:ext cx="19716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257</xdr:row>
      <xdr:rowOff>66675</xdr:rowOff>
    </xdr:from>
    <xdr:to>
      <xdr:col>11</xdr:col>
      <xdr:colOff>47625</xdr:colOff>
      <xdr:row>259</xdr:row>
      <xdr:rowOff>104775</xdr:rowOff>
    </xdr:to>
    <xdr:pic>
      <xdr:nvPicPr>
        <xdr:cNvPr id="66021" name="Picture 11">
          <a:extLst>
            <a:ext uri="{FF2B5EF4-FFF2-40B4-BE49-F238E27FC236}">
              <a16:creationId xmlns:a16="http://schemas.microsoft.com/office/drawing/2014/main" id="{00000000-0008-0000-0200-0000E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133725" y="34404300"/>
          <a:ext cx="952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272</xdr:row>
      <xdr:rowOff>28575</xdr:rowOff>
    </xdr:from>
    <xdr:to>
      <xdr:col>3</xdr:col>
      <xdr:colOff>38100</xdr:colOff>
      <xdr:row>274</xdr:row>
      <xdr:rowOff>123825</xdr:rowOff>
    </xdr:to>
    <xdr:pic>
      <xdr:nvPicPr>
        <xdr:cNvPr id="66022" name="Picture 12">
          <a:extLst>
            <a:ext uri="{FF2B5EF4-FFF2-40B4-BE49-F238E27FC236}">
              <a16:creationId xmlns:a16="http://schemas.microsoft.com/office/drawing/2014/main" id="{00000000-0008-0000-0200-0000E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6675" y="36366450"/>
          <a:ext cx="1076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283</xdr:row>
      <xdr:rowOff>0</xdr:rowOff>
    </xdr:from>
    <xdr:to>
      <xdr:col>3</xdr:col>
      <xdr:colOff>38100</xdr:colOff>
      <xdr:row>285</xdr:row>
      <xdr:rowOff>123825</xdr:rowOff>
    </xdr:to>
    <xdr:pic>
      <xdr:nvPicPr>
        <xdr:cNvPr id="66023" name="Picture 148">
          <a:extLst>
            <a:ext uri="{FF2B5EF4-FFF2-40B4-BE49-F238E27FC236}">
              <a16:creationId xmlns:a16="http://schemas.microsoft.com/office/drawing/2014/main" id="{00000000-0008-0000-0200-0000E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6200" y="37804725"/>
          <a:ext cx="10668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294</xdr:row>
      <xdr:rowOff>57150</xdr:rowOff>
    </xdr:from>
    <xdr:to>
      <xdr:col>6</xdr:col>
      <xdr:colOff>200025</xdr:colOff>
      <xdr:row>297</xdr:row>
      <xdr:rowOff>19050</xdr:rowOff>
    </xdr:to>
    <xdr:pic>
      <xdr:nvPicPr>
        <xdr:cNvPr id="66024" name="Picture 13">
          <a:extLst>
            <a:ext uri="{FF2B5EF4-FFF2-40B4-BE49-F238E27FC236}">
              <a16:creationId xmlns:a16="http://schemas.microsoft.com/office/drawing/2014/main" id="{00000000-0008-0000-0200-0000E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7150" y="39328725"/>
          <a:ext cx="19621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309</xdr:row>
      <xdr:rowOff>76200</xdr:rowOff>
    </xdr:from>
    <xdr:to>
      <xdr:col>6</xdr:col>
      <xdr:colOff>228600</xdr:colOff>
      <xdr:row>312</xdr:row>
      <xdr:rowOff>38100</xdr:rowOff>
    </xdr:to>
    <xdr:pic>
      <xdr:nvPicPr>
        <xdr:cNvPr id="66025" name="Picture 14">
          <a:extLst>
            <a:ext uri="{FF2B5EF4-FFF2-40B4-BE49-F238E27FC236}">
              <a16:creationId xmlns:a16="http://schemas.microsoft.com/office/drawing/2014/main" id="{00000000-0008-0000-0200-0000E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6675" y="41348025"/>
          <a:ext cx="198120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323</xdr:row>
      <xdr:rowOff>47625</xdr:rowOff>
    </xdr:from>
    <xdr:to>
      <xdr:col>4</xdr:col>
      <xdr:colOff>180975</xdr:colOff>
      <xdr:row>325</xdr:row>
      <xdr:rowOff>114300</xdr:rowOff>
    </xdr:to>
    <xdr:pic>
      <xdr:nvPicPr>
        <xdr:cNvPr id="66026" name="Picture 18">
          <a:extLst>
            <a:ext uri="{FF2B5EF4-FFF2-40B4-BE49-F238E27FC236}">
              <a16:creationId xmlns:a16="http://schemas.microsoft.com/office/drawing/2014/main" id="{00000000-0008-0000-0200-0000E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6200" y="43186350"/>
          <a:ext cx="14668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331</xdr:row>
      <xdr:rowOff>9525</xdr:rowOff>
    </xdr:from>
    <xdr:to>
      <xdr:col>6</xdr:col>
      <xdr:colOff>314325</xdr:colOff>
      <xdr:row>333</xdr:row>
      <xdr:rowOff>47625</xdr:rowOff>
    </xdr:to>
    <xdr:pic>
      <xdr:nvPicPr>
        <xdr:cNvPr id="66027" name="Picture 22">
          <a:extLst>
            <a:ext uri="{FF2B5EF4-FFF2-40B4-BE49-F238E27FC236}">
              <a16:creationId xmlns:a16="http://schemas.microsoft.com/office/drawing/2014/main" id="{00000000-0008-0000-0200-0000E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8100" y="44215050"/>
          <a:ext cx="2095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340</xdr:row>
      <xdr:rowOff>28575</xdr:rowOff>
    </xdr:from>
    <xdr:to>
      <xdr:col>6</xdr:col>
      <xdr:colOff>314325</xdr:colOff>
      <xdr:row>342</xdr:row>
      <xdr:rowOff>66675</xdr:rowOff>
    </xdr:to>
    <xdr:pic>
      <xdr:nvPicPr>
        <xdr:cNvPr id="66028" name="Picture 23">
          <a:extLst>
            <a:ext uri="{FF2B5EF4-FFF2-40B4-BE49-F238E27FC236}">
              <a16:creationId xmlns:a16="http://schemas.microsoft.com/office/drawing/2014/main" id="{00000000-0008-0000-0200-0000E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6675" y="45434250"/>
          <a:ext cx="206692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356</xdr:row>
      <xdr:rowOff>38100</xdr:rowOff>
    </xdr:from>
    <xdr:to>
      <xdr:col>4</xdr:col>
      <xdr:colOff>66675</xdr:colOff>
      <xdr:row>358</xdr:row>
      <xdr:rowOff>133350</xdr:rowOff>
    </xdr:to>
    <xdr:pic>
      <xdr:nvPicPr>
        <xdr:cNvPr id="66029" name="Picture 146">
          <a:extLst>
            <a:ext uri="{FF2B5EF4-FFF2-40B4-BE49-F238E27FC236}">
              <a16:creationId xmlns:a16="http://schemas.microsoft.com/office/drawing/2014/main" id="{00000000-0008-0000-0200-0000E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7577375"/>
          <a:ext cx="13811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364</xdr:row>
      <xdr:rowOff>28575</xdr:rowOff>
    </xdr:from>
    <xdr:to>
      <xdr:col>4</xdr:col>
      <xdr:colOff>123825</xdr:colOff>
      <xdr:row>367</xdr:row>
      <xdr:rowOff>9525</xdr:rowOff>
    </xdr:to>
    <xdr:pic>
      <xdr:nvPicPr>
        <xdr:cNvPr id="66030" name="Picture 146">
          <a:extLst>
            <a:ext uri="{FF2B5EF4-FFF2-40B4-BE49-F238E27FC236}">
              <a16:creationId xmlns:a16="http://schemas.microsoft.com/office/drawing/2014/main" id="{00000000-0008-0000-0200-0000E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8634650"/>
          <a:ext cx="143827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374</xdr:row>
      <xdr:rowOff>9525</xdr:rowOff>
    </xdr:from>
    <xdr:to>
      <xdr:col>4</xdr:col>
      <xdr:colOff>133350</xdr:colOff>
      <xdr:row>376</xdr:row>
      <xdr:rowOff>123825</xdr:rowOff>
    </xdr:to>
    <xdr:pic>
      <xdr:nvPicPr>
        <xdr:cNvPr id="66031" name="Picture 146">
          <a:extLst>
            <a:ext uri="{FF2B5EF4-FFF2-40B4-BE49-F238E27FC236}">
              <a16:creationId xmlns:a16="http://schemas.microsoft.com/office/drawing/2014/main" id="{00000000-0008-0000-0200-0000E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9949100"/>
          <a:ext cx="14478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381</xdr:row>
      <xdr:rowOff>123825</xdr:rowOff>
    </xdr:from>
    <xdr:to>
      <xdr:col>4</xdr:col>
      <xdr:colOff>257175</xdr:colOff>
      <xdr:row>384</xdr:row>
      <xdr:rowOff>133350</xdr:rowOff>
    </xdr:to>
    <xdr:pic>
      <xdr:nvPicPr>
        <xdr:cNvPr id="66032" name="Picture 146">
          <a:extLst>
            <a:ext uri="{FF2B5EF4-FFF2-40B4-BE49-F238E27FC236}">
              <a16:creationId xmlns:a16="http://schemas.microsoft.com/office/drawing/2014/main" id="{00000000-0008-0000-0200-0000F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7150" y="50996850"/>
          <a:ext cx="1562100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394</xdr:row>
      <xdr:rowOff>28575</xdr:rowOff>
    </xdr:from>
    <xdr:to>
      <xdr:col>6</xdr:col>
      <xdr:colOff>476250</xdr:colOff>
      <xdr:row>396</xdr:row>
      <xdr:rowOff>123825</xdr:rowOff>
    </xdr:to>
    <xdr:pic>
      <xdr:nvPicPr>
        <xdr:cNvPr id="66033" name="Picture 29">
          <a:extLst>
            <a:ext uri="{FF2B5EF4-FFF2-40B4-BE49-F238E27FC236}">
              <a16:creationId xmlns:a16="http://schemas.microsoft.com/office/drawing/2014/main" id="{00000000-0008-0000-0200-0000F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57150" y="52635150"/>
          <a:ext cx="2238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402</xdr:row>
      <xdr:rowOff>0</xdr:rowOff>
    </xdr:from>
    <xdr:to>
      <xdr:col>7</xdr:col>
      <xdr:colOff>28575</xdr:colOff>
      <xdr:row>404</xdr:row>
      <xdr:rowOff>123825</xdr:rowOff>
    </xdr:to>
    <xdr:pic>
      <xdr:nvPicPr>
        <xdr:cNvPr id="66034" name="Picture 31">
          <a:extLst>
            <a:ext uri="{FF2B5EF4-FFF2-40B4-BE49-F238E27FC236}">
              <a16:creationId xmlns:a16="http://schemas.microsoft.com/office/drawing/2014/main" id="{00000000-0008-0000-0200-0000F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8100" y="53673375"/>
          <a:ext cx="23622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412</xdr:row>
      <xdr:rowOff>66675</xdr:rowOff>
    </xdr:from>
    <xdr:to>
      <xdr:col>4</xdr:col>
      <xdr:colOff>133350</xdr:colOff>
      <xdr:row>414</xdr:row>
      <xdr:rowOff>114300</xdr:rowOff>
    </xdr:to>
    <xdr:pic>
      <xdr:nvPicPr>
        <xdr:cNvPr id="66035" name="Picture 28">
          <a:extLst>
            <a:ext uri="{FF2B5EF4-FFF2-40B4-BE49-F238E27FC236}">
              <a16:creationId xmlns:a16="http://schemas.microsoft.com/office/drawing/2014/main" id="{00000000-0008-0000-0200-0000F3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57150" y="5507355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437</xdr:row>
      <xdr:rowOff>47625</xdr:rowOff>
    </xdr:from>
    <xdr:to>
      <xdr:col>6</xdr:col>
      <xdr:colOff>228600</xdr:colOff>
      <xdr:row>439</xdr:row>
      <xdr:rowOff>95250</xdr:rowOff>
    </xdr:to>
    <xdr:pic>
      <xdr:nvPicPr>
        <xdr:cNvPr id="66036" name="Picture 32">
          <a:extLst>
            <a:ext uri="{FF2B5EF4-FFF2-40B4-BE49-F238E27FC236}">
              <a16:creationId xmlns:a16="http://schemas.microsoft.com/office/drawing/2014/main" id="{00000000-0008-0000-0200-0000F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7625" y="58388250"/>
          <a:ext cx="2000250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467</xdr:row>
      <xdr:rowOff>47625</xdr:rowOff>
    </xdr:from>
    <xdr:to>
      <xdr:col>6</xdr:col>
      <xdr:colOff>57150</xdr:colOff>
      <xdr:row>470</xdr:row>
      <xdr:rowOff>9525</xdr:rowOff>
    </xdr:to>
    <xdr:pic>
      <xdr:nvPicPr>
        <xdr:cNvPr id="66037" name="Picture 33">
          <a:extLst>
            <a:ext uri="{FF2B5EF4-FFF2-40B4-BE49-F238E27FC236}">
              <a16:creationId xmlns:a16="http://schemas.microsoft.com/office/drawing/2014/main" id="{00000000-0008-0000-0200-0000F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38100" y="62388750"/>
          <a:ext cx="1838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503</xdr:row>
      <xdr:rowOff>47625</xdr:rowOff>
    </xdr:from>
    <xdr:to>
      <xdr:col>6</xdr:col>
      <xdr:colOff>209550</xdr:colOff>
      <xdr:row>505</xdr:row>
      <xdr:rowOff>57150</xdr:rowOff>
    </xdr:to>
    <xdr:pic>
      <xdr:nvPicPr>
        <xdr:cNvPr id="66038" name="Picture 34">
          <a:extLst>
            <a:ext uri="{FF2B5EF4-FFF2-40B4-BE49-F238E27FC236}">
              <a16:creationId xmlns:a16="http://schemas.microsoft.com/office/drawing/2014/main" id="{00000000-0008-0000-0200-0000F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8575" y="67189350"/>
          <a:ext cx="20002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514</xdr:row>
      <xdr:rowOff>66675</xdr:rowOff>
    </xdr:from>
    <xdr:to>
      <xdr:col>3</xdr:col>
      <xdr:colOff>219075</xdr:colOff>
      <xdr:row>520</xdr:row>
      <xdr:rowOff>28575</xdr:rowOff>
    </xdr:to>
    <xdr:pic>
      <xdr:nvPicPr>
        <xdr:cNvPr id="66039" name="Picture 36">
          <a:extLst>
            <a:ext uri="{FF2B5EF4-FFF2-40B4-BE49-F238E27FC236}">
              <a16:creationId xmlns:a16="http://schemas.microsoft.com/office/drawing/2014/main" id="{00000000-0008-0000-0200-0000F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7625" y="68675250"/>
          <a:ext cx="1276350" cy="762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536</xdr:row>
      <xdr:rowOff>19050</xdr:rowOff>
    </xdr:from>
    <xdr:to>
      <xdr:col>3</xdr:col>
      <xdr:colOff>228600</xdr:colOff>
      <xdr:row>538</xdr:row>
      <xdr:rowOff>57150</xdr:rowOff>
    </xdr:to>
    <xdr:pic>
      <xdr:nvPicPr>
        <xdr:cNvPr id="66040" name="Picture 37">
          <a:extLst>
            <a:ext uri="{FF2B5EF4-FFF2-40B4-BE49-F238E27FC236}">
              <a16:creationId xmlns:a16="http://schemas.microsoft.com/office/drawing/2014/main" id="{00000000-0008-0000-0200-0000F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 t="57872" r="-2458"/>
        <a:stretch>
          <a:fillRect/>
        </a:stretch>
      </xdr:blipFill>
      <xdr:spPr bwMode="auto">
        <a:xfrm>
          <a:off x="38100" y="71561325"/>
          <a:ext cx="12954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575</xdr:row>
      <xdr:rowOff>38100</xdr:rowOff>
    </xdr:from>
    <xdr:to>
      <xdr:col>3</xdr:col>
      <xdr:colOff>171450</xdr:colOff>
      <xdr:row>578</xdr:row>
      <xdr:rowOff>9525</xdr:rowOff>
    </xdr:to>
    <xdr:pic>
      <xdr:nvPicPr>
        <xdr:cNvPr id="66041" name="Рисунок 149">
          <a:extLst>
            <a:ext uri="{FF2B5EF4-FFF2-40B4-BE49-F238E27FC236}">
              <a16:creationId xmlns:a16="http://schemas.microsoft.com/office/drawing/2014/main" id="{00000000-0008-0000-0200-0000F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28575" y="76781025"/>
          <a:ext cx="12477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588</xdr:row>
      <xdr:rowOff>19050</xdr:rowOff>
    </xdr:from>
    <xdr:to>
      <xdr:col>4</xdr:col>
      <xdr:colOff>400050</xdr:colOff>
      <xdr:row>592</xdr:row>
      <xdr:rowOff>9525</xdr:rowOff>
    </xdr:to>
    <xdr:pic>
      <xdr:nvPicPr>
        <xdr:cNvPr id="66042" name="Picture 38">
          <a:extLst>
            <a:ext uri="{FF2B5EF4-FFF2-40B4-BE49-F238E27FC236}">
              <a16:creationId xmlns:a16="http://schemas.microsoft.com/office/drawing/2014/main" id="{00000000-0008-0000-0200-0000F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7625" y="78552675"/>
          <a:ext cx="17145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588</xdr:row>
      <xdr:rowOff>47625</xdr:rowOff>
    </xdr:from>
    <xdr:to>
      <xdr:col>12</xdr:col>
      <xdr:colOff>142875</xdr:colOff>
      <xdr:row>591</xdr:row>
      <xdr:rowOff>19050</xdr:rowOff>
    </xdr:to>
    <xdr:pic>
      <xdr:nvPicPr>
        <xdr:cNvPr id="66043" name="Picture 39">
          <a:extLst>
            <a:ext uri="{FF2B5EF4-FFF2-40B4-BE49-F238E27FC236}">
              <a16:creationId xmlns:a16="http://schemas.microsoft.com/office/drawing/2014/main" id="{00000000-0008-0000-0200-0000F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3162300" y="78581250"/>
          <a:ext cx="12001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606</xdr:row>
      <xdr:rowOff>19050</xdr:rowOff>
    </xdr:from>
    <xdr:to>
      <xdr:col>3</xdr:col>
      <xdr:colOff>247650</xdr:colOff>
      <xdr:row>609</xdr:row>
      <xdr:rowOff>9525</xdr:rowOff>
    </xdr:to>
    <xdr:pic>
      <xdr:nvPicPr>
        <xdr:cNvPr id="66044" name="Picture 41">
          <a:extLst>
            <a:ext uri="{FF2B5EF4-FFF2-40B4-BE49-F238E27FC236}">
              <a16:creationId xmlns:a16="http://schemas.microsoft.com/office/drawing/2014/main" id="{00000000-0008-0000-0200-0000F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6200" y="80952975"/>
          <a:ext cx="127635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606</xdr:row>
      <xdr:rowOff>95250</xdr:rowOff>
    </xdr:from>
    <xdr:to>
      <xdr:col>12</xdr:col>
      <xdr:colOff>95250</xdr:colOff>
      <xdr:row>608</xdr:row>
      <xdr:rowOff>95250</xdr:rowOff>
    </xdr:to>
    <xdr:pic>
      <xdr:nvPicPr>
        <xdr:cNvPr id="66045" name="Picture 615">
          <a:extLst>
            <a:ext uri="{FF2B5EF4-FFF2-40B4-BE49-F238E27FC236}">
              <a16:creationId xmlns:a16="http://schemas.microsoft.com/office/drawing/2014/main" id="{00000000-0008-0000-0200-0000F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3162300" y="81029175"/>
          <a:ext cx="115252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628</xdr:row>
      <xdr:rowOff>9525</xdr:rowOff>
    </xdr:from>
    <xdr:to>
      <xdr:col>1</xdr:col>
      <xdr:colOff>57150</xdr:colOff>
      <xdr:row>631</xdr:row>
      <xdr:rowOff>9525</xdr:rowOff>
    </xdr:to>
    <xdr:pic>
      <xdr:nvPicPr>
        <xdr:cNvPr id="66046" name="Picture 44">
          <a:extLst>
            <a:ext uri="{FF2B5EF4-FFF2-40B4-BE49-F238E27FC236}">
              <a16:creationId xmlns:a16="http://schemas.microsoft.com/office/drawing/2014/main" id="{00000000-0008-0000-0200-0000F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38100" y="83877150"/>
          <a:ext cx="59055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626</xdr:row>
      <xdr:rowOff>47625</xdr:rowOff>
    </xdr:from>
    <xdr:to>
      <xdr:col>10</xdr:col>
      <xdr:colOff>238125</xdr:colOff>
      <xdr:row>630</xdr:row>
      <xdr:rowOff>104775</xdr:rowOff>
    </xdr:to>
    <xdr:pic>
      <xdr:nvPicPr>
        <xdr:cNvPr id="66047" name="Picture 45">
          <a:extLst>
            <a:ext uri="{FF2B5EF4-FFF2-40B4-BE49-F238E27FC236}">
              <a16:creationId xmlns:a16="http://schemas.microsoft.com/office/drawing/2014/main" id="{00000000-0008-0000-0200-0000F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3181350" y="83648550"/>
          <a:ext cx="7429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637</xdr:row>
      <xdr:rowOff>57150</xdr:rowOff>
    </xdr:from>
    <xdr:to>
      <xdr:col>2</xdr:col>
      <xdr:colOff>152400</xdr:colOff>
      <xdr:row>639</xdr:row>
      <xdr:rowOff>133350</xdr:rowOff>
    </xdr:to>
    <xdr:pic>
      <xdr:nvPicPr>
        <xdr:cNvPr id="66048" name="Рисунок 147">
          <a:extLst>
            <a:ext uri="{FF2B5EF4-FFF2-40B4-BE49-F238E27FC236}">
              <a16:creationId xmlns:a16="http://schemas.microsoft.com/office/drawing/2014/main" id="{00000000-0008-0000-0200-00000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66675" y="85124925"/>
          <a:ext cx="10096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700</xdr:row>
      <xdr:rowOff>57150</xdr:rowOff>
    </xdr:from>
    <xdr:to>
      <xdr:col>4</xdr:col>
      <xdr:colOff>457200</xdr:colOff>
      <xdr:row>704</xdr:row>
      <xdr:rowOff>114300</xdr:rowOff>
    </xdr:to>
    <xdr:pic>
      <xdr:nvPicPr>
        <xdr:cNvPr id="66049" name="Picture 59">
          <a:extLst>
            <a:ext uri="{FF2B5EF4-FFF2-40B4-BE49-F238E27FC236}">
              <a16:creationId xmlns:a16="http://schemas.microsoft.com/office/drawing/2014/main" id="{00000000-0008-0000-0200-00000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6675" y="93583125"/>
          <a:ext cx="17526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180975</xdr:colOff>
      <xdr:row>700</xdr:row>
      <xdr:rowOff>66675</xdr:rowOff>
    </xdr:from>
    <xdr:to>
      <xdr:col>13</xdr:col>
      <xdr:colOff>428625</xdr:colOff>
      <xdr:row>704</xdr:row>
      <xdr:rowOff>133350</xdr:rowOff>
    </xdr:to>
    <xdr:pic>
      <xdr:nvPicPr>
        <xdr:cNvPr id="66050" name="Picture 59">
          <a:extLst>
            <a:ext uri="{FF2B5EF4-FFF2-40B4-BE49-F238E27FC236}">
              <a16:creationId xmlns:a16="http://schemas.microsoft.com/office/drawing/2014/main" id="{00000000-0008-0000-0200-00000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105150" y="93592650"/>
          <a:ext cx="1781175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721</xdr:row>
      <xdr:rowOff>47625</xdr:rowOff>
    </xdr:from>
    <xdr:to>
      <xdr:col>6</xdr:col>
      <xdr:colOff>57150</xdr:colOff>
      <xdr:row>726</xdr:row>
      <xdr:rowOff>0</xdr:rowOff>
    </xdr:to>
    <xdr:pic>
      <xdr:nvPicPr>
        <xdr:cNvPr id="66051" name="Picture 59">
          <a:extLst>
            <a:ext uri="{FF2B5EF4-FFF2-40B4-BE49-F238E27FC236}">
              <a16:creationId xmlns:a16="http://schemas.microsoft.com/office/drawing/2014/main" id="{00000000-0008-0000-0200-00000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28575" y="96373950"/>
          <a:ext cx="1847850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171450</xdr:colOff>
      <xdr:row>721</xdr:row>
      <xdr:rowOff>38100</xdr:rowOff>
    </xdr:from>
    <xdr:to>
      <xdr:col>16</xdr:col>
      <xdr:colOff>342900</xdr:colOff>
      <xdr:row>725</xdr:row>
      <xdr:rowOff>114300</xdr:rowOff>
    </xdr:to>
    <xdr:pic>
      <xdr:nvPicPr>
        <xdr:cNvPr id="66052" name="Picture 59">
          <a:extLst>
            <a:ext uri="{FF2B5EF4-FFF2-40B4-BE49-F238E27FC236}">
              <a16:creationId xmlns:a16="http://schemas.microsoft.com/office/drawing/2014/main" id="{00000000-0008-0000-0200-00000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095625" y="96364425"/>
          <a:ext cx="21621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741</xdr:row>
      <xdr:rowOff>47625</xdr:rowOff>
    </xdr:from>
    <xdr:to>
      <xdr:col>2</xdr:col>
      <xdr:colOff>57150</xdr:colOff>
      <xdr:row>745</xdr:row>
      <xdr:rowOff>123825</xdr:rowOff>
    </xdr:to>
    <xdr:pic>
      <xdr:nvPicPr>
        <xdr:cNvPr id="66053" name="Рисунок 162">
          <a:extLst>
            <a:ext uri="{FF2B5EF4-FFF2-40B4-BE49-F238E27FC236}">
              <a16:creationId xmlns:a16="http://schemas.microsoft.com/office/drawing/2014/main" id="{00000000-0008-0000-0200-00000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8100" y="99040950"/>
          <a:ext cx="9429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741</xdr:row>
      <xdr:rowOff>66675</xdr:rowOff>
    </xdr:from>
    <xdr:to>
      <xdr:col>10</xdr:col>
      <xdr:colOff>304800</xdr:colOff>
      <xdr:row>746</xdr:row>
      <xdr:rowOff>19050</xdr:rowOff>
    </xdr:to>
    <xdr:pic>
      <xdr:nvPicPr>
        <xdr:cNvPr id="66054" name="Picture 66">
          <a:extLst>
            <a:ext uri="{FF2B5EF4-FFF2-40B4-BE49-F238E27FC236}">
              <a16:creationId xmlns:a16="http://schemas.microsoft.com/office/drawing/2014/main" id="{00000000-0008-0000-0200-00000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162300" y="99060000"/>
          <a:ext cx="828675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754</xdr:row>
      <xdr:rowOff>47625</xdr:rowOff>
    </xdr:from>
    <xdr:to>
      <xdr:col>7</xdr:col>
      <xdr:colOff>361950</xdr:colOff>
      <xdr:row>756</xdr:row>
      <xdr:rowOff>104775</xdr:rowOff>
    </xdr:to>
    <xdr:pic>
      <xdr:nvPicPr>
        <xdr:cNvPr id="66055" name="Picture 67">
          <a:extLst>
            <a:ext uri="{FF2B5EF4-FFF2-40B4-BE49-F238E27FC236}">
              <a16:creationId xmlns:a16="http://schemas.microsoft.com/office/drawing/2014/main" id="{00000000-0008-0000-0200-00000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7625" y="100831650"/>
          <a:ext cx="268605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763</xdr:row>
      <xdr:rowOff>47625</xdr:rowOff>
    </xdr:from>
    <xdr:to>
      <xdr:col>1</xdr:col>
      <xdr:colOff>257175</xdr:colOff>
      <xdr:row>766</xdr:row>
      <xdr:rowOff>95250</xdr:rowOff>
    </xdr:to>
    <xdr:pic>
      <xdr:nvPicPr>
        <xdr:cNvPr id="66056" name="Picture 68">
          <a:extLst>
            <a:ext uri="{FF2B5EF4-FFF2-40B4-BE49-F238E27FC236}">
              <a16:creationId xmlns:a16="http://schemas.microsoft.com/office/drawing/2014/main" id="{00000000-0008-0000-0200-00000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57150" y="102031800"/>
          <a:ext cx="77152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763</xdr:row>
      <xdr:rowOff>57150</xdr:rowOff>
    </xdr:from>
    <xdr:to>
      <xdr:col>12</xdr:col>
      <xdr:colOff>38100</xdr:colOff>
      <xdr:row>766</xdr:row>
      <xdr:rowOff>104775</xdr:rowOff>
    </xdr:to>
    <xdr:pic>
      <xdr:nvPicPr>
        <xdr:cNvPr id="66057" name="Picture 69">
          <a:extLst>
            <a:ext uri="{FF2B5EF4-FFF2-40B4-BE49-F238E27FC236}">
              <a16:creationId xmlns:a16="http://schemas.microsoft.com/office/drawing/2014/main" id="{00000000-0008-0000-0200-00000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238500" y="102041325"/>
          <a:ext cx="10191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775</xdr:row>
      <xdr:rowOff>114300</xdr:rowOff>
    </xdr:from>
    <xdr:to>
      <xdr:col>2</xdr:col>
      <xdr:colOff>38100</xdr:colOff>
      <xdr:row>778</xdr:row>
      <xdr:rowOff>9525</xdr:rowOff>
    </xdr:to>
    <xdr:pic>
      <xdr:nvPicPr>
        <xdr:cNvPr id="66058" name="Picture 70">
          <a:extLst>
            <a:ext uri="{FF2B5EF4-FFF2-40B4-BE49-F238E27FC236}">
              <a16:creationId xmlns:a16="http://schemas.microsoft.com/office/drawing/2014/main" id="{00000000-0008-0000-0200-00000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28575" y="103698675"/>
          <a:ext cx="93345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776</xdr:row>
      <xdr:rowOff>19050</xdr:rowOff>
    </xdr:from>
    <xdr:to>
      <xdr:col>12</xdr:col>
      <xdr:colOff>85725</xdr:colOff>
      <xdr:row>778</xdr:row>
      <xdr:rowOff>95250</xdr:rowOff>
    </xdr:to>
    <xdr:pic>
      <xdr:nvPicPr>
        <xdr:cNvPr id="66059" name="Picture 600">
          <a:extLst>
            <a:ext uri="{FF2B5EF4-FFF2-40B4-BE49-F238E27FC236}">
              <a16:creationId xmlns:a16="http://schemas.microsoft.com/office/drawing/2014/main" id="{00000000-0008-0000-0200-00000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200400" y="103736775"/>
          <a:ext cx="11049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792</xdr:row>
      <xdr:rowOff>28575</xdr:rowOff>
    </xdr:from>
    <xdr:to>
      <xdr:col>4</xdr:col>
      <xdr:colOff>38100</xdr:colOff>
      <xdr:row>794</xdr:row>
      <xdr:rowOff>104775</xdr:rowOff>
    </xdr:to>
    <xdr:pic>
      <xdr:nvPicPr>
        <xdr:cNvPr id="66060" name="Picture 72">
          <a:extLst>
            <a:ext uri="{FF2B5EF4-FFF2-40B4-BE49-F238E27FC236}">
              <a16:creationId xmlns:a16="http://schemas.microsoft.com/office/drawing/2014/main" id="{00000000-0008-0000-0200-00000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8100" y="105879900"/>
          <a:ext cx="1362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791</xdr:row>
      <xdr:rowOff>66675</xdr:rowOff>
    </xdr:from>
    <xdr:to>
      <xdr:col>13</xdr:col>
      <xdr:colOff>152400</xdr:colOff>
      <xdr:row>794</xdr:row>
      <xdr:rowOff>66675</xdr:rowOff>
    </xdr:to>
    <xdr:pic>
      <xdr:nvPicPr>
        <xdr:cNvPr id="66061" name="Picture 73">
          <a:extLst>
            <a:ext uri="{FF2B5EF4-FFF2-40B4-BE49-F238E27FC236}">
              <a16:creationId xmlns:a16="http://schemas.microsoft.com/office/drawing/2014/main" id="{00000000-0008-0000-0200-00000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152775" y="105784650"/>
          <a:ext cx="145732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798</xdr:row>
      <xdr:rowOff>104775</xdr:rowOff>
    </xdr:from>
    <xdr:to>
      <xdr:col>12</xdr:col>
      <xdr:colOff>200025</xdr:colOff>
      <xdr:row>801</xdr:row>
      <xdr:rowOff>76200</xdr:rowOff>
    </xdr:to>
    <xdr:pic>
      <xdr:nvPicPr>
        <xdr:cNvPr id="66062" name="Picture 74">
          <a:extLst>
            <a:ext uri="{FF2B5EF4-FFF2-40B4-BE49-F238E27FC236}">
              <a16:creationId xmlns:a16="http://schemas.microsoft.com/office/drawing/2014/main" id="{00000000-0008-0000-0200-00000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143250" y="106756200"/>
          <a:ext cx="12763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804</xdr:row>
      <xdr:rowOff>66675</xdr:rowOff>
    </xdr:from>
    <xdr:to>
      <xdr:col>11</xdr:col>
      <xdr:colOff>180975</xdr:colOff>
      <xdr:row>807</xdr:row>
      <xdr:rowOff>104775</xdr:rowOff>
    </xdr:to>
    <xdr:pic>
      <xdr:nvPicPr>
        <xdr:cNvPr id="66063" name="Picture 75">
          <a:extLst>
            <a:ext uri="{FF2B5EF4-FFF2-40B4-BE49-F238E27FC236}">
              <a16:creationId xmlns:a16="http://schemas.microsoft.com/office/drawing/2014/main" id="{00000000-0008-0000-0200-00000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162300" y="107518200"/>
          <a:ext cx="105727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812</xdr:row>
      <xdr:rowOff>38100</xdr:rowOff>
    </xdr:from>
    <xdr:to>
      <xdr:col>6</xdr:col>
      <xdr:colOff>219075</xdr:colOff>
      <xdr:row>814</xdr:row>
      <xdr:rowOff>104775</xdr:rowOff>
    </xdr:to>
    <xdr:pic>
      <xdr:nvPicPr>
        <xdr:cNvPr id="66064" name="Picture 432">
          <a:extLst>
            <a:ext uri="{FF2B5EF4-FFF2-40B4-BE49-F238E27FC236}">
              <a16:creationId xmlns:a16="http://schemas.microsoft.com/office/drawing/2014/main" id="{00000000-0008-0000-0200-00001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8100" y="108556425"/>
          <a:ext cx="20002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811</xdr:row>
      <xdr:rowOff>123825</xdr:rowOff>
    </xdr:from>
    <xdr:to>
      <xdr:col>13</xdr:col>
      <xdr:colOff>57150</xdr:colOff>
      <xdr:row>814</xdr:row>
      <xdr:rowOff>104775</xdr:rowOff>
    </xdr:to>
    <xdr:pic>
      <xdr:nvPicPr>
        <xdr:cNvPr id="66065" name="Рисунок 158">
          <a:extLst>
            <a:ext uri="{FF2B5EF4-FFF2-40B4-BE49-F238E27FC236}">
              <a16:creationId xmlns:a16="http://schemas.microsoft.com/office/drawing/2014/main" id="{00000000-0008-0000-0200-00001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162300" y="108508800"/>
          <a:ext cx="13525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823</xdr:row>
      <xdr:rowOff>57150</xdr:rowOff>
    </xdr:from>
    <xdr:to>
      <xdr:col>13</xdr:col>
      <xdr:colOff>0</xdr:colOff>
      <xdr:row>826</xdr:row>
      <xdr:rowOff>28575</xdr:rowOff>
    </xdr:to>
    <xdr:pic>
      <xdr:nvPicPr>
        <xdr:cNvPr id="66066" name="Рисунок 159">
          <a:extLst>
            <a:ext uri="{FF2B5EF4-FFF2-40B4-BE49-F238E27FC236}">
              <a16:creationId xmlns:a16="http://schemas.microsoft.com/office/drawing/2014/main" id="{00000000-0008-0000-0200-00001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3143250" y="110042325"/>
          <a:ext cx="13144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834</xdr:row>
      <xdr:rowOff>85725</xdr:rowOff>
    </xdr:from>
    <xdr:to>
      <xdr:col>13</xdr:col>
      <xdr:colOff>28575</xdr:colOff>
      <xdr:row>837</xdr:row>
      <xdr:rowOff>114300</xdr:rowOff>
    </xdr:to>
    <xdr:pic>
      <xdr:nvPicPr>
        <xdr:cNvPr id="66067" name="Рисунок 157">
          <a:extLst>
            <a:ext uri="{FF2B5EF4-FFF2-40B4-BE49-F238E27FC236}">
              <a16:creationId xmlns:a16="http://schemas.microsoft.com/office/drawing/2014/main" id="{00000000-0008-0000-0200-00001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3143250" y="111537750"/>
          <a:ext cx="134302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847</xdr:row>
      <xdr:rowOff>57150</xdr:rowOff>
    </xdr:from>
    <xdr:to>
      <xdr:col>6</xdr:col>
      <xdr:colOff>57150</xdr:colOff>
      <xdr:row>849</xdr:row>
      <xdr:rowOff>85725</xdr:rowOff>
    </xdr:to>
    <xdr:pic>
      <xdr:nvPicPr>
        <xdr:cNvPr id="66068" name="Picture 432">
          <a:extLst>
            <a:ext uri="{FF2B5EF4-FFF2-40B4-BE49-F238E27FC236}">
              <a16:creationId xmlns:a16="http://schemas.microsoft.com/office/drawing/2014/main" id="{00000000-0008-0000-0200-00001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85725" y="113242725"/>
          <a:ext cx="179070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855</xdr:row>
      <xdr:rowOff>28575</xdr:rowOff>
    </xdr:from>
    <xdr:to>
      <xdr:col>6</xdr:col>
      <xdr:colOff>209550</xdr:colOff>
      <xdr:row>859</xdr:row>
      <xdr:rowOff>38100</xdr:rowOff>
    </xdr:to>
    <xdr:pic>
      <xdr:nvPicPr>
        <xdr:cNvPr id="66069" name="Рисунок 138">
          <a:extLst>
            <a:ext uri="{FF2B5EF4-FFF2-40B4-BE49-F238E27FC236}">
              <a16:creationId xmlns:a16="http://schemas.microsoft.com/office/drawing/2014/main" id="{00000000-0008-0000-0200-00001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28575" y="114280950"/>
          <a:ext cx="2000250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871</xdr:row>
      <xdr:rowOff>123825</xdr:rowOff>
    </xdr:from>
    <xdr:to>
      <xdr:col>6</xdr:col>
      <xdr:colOff>95250</xdr:colOff>
      <xdr:row>875</xdr:row>
      <xdr:rowOff>9525</xdr:rowOff>
    </xdr:to>
    <xdr:pic>
      <xdr:nvPicPr>
        <xdr:cNvPr id="66070" name="Picture 431">
          <a:extLst>
            <a:ext uri="{FF2B5EF4-FFF2-40B4-BE49-F238E27FC236}">
              <a16:creationId xmlns:a16="http://schemas.microsoft.com/office/drawing/2014/main" id="{00000000-0008-0000-0200-00001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47625" y="116509800"/>
          <a:ext cx="186690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889</xdr:row>
      <xdr:rowOff>47625</xdr:rowOff>
    </xdr:from>
    <xdr:to>
      <xdr:col>3</xdr:col>
      <xdr:colOff>152400</xdr:colOff>
      <xdr:row>894</xdr:row>
      <xdr:rowOff>104775</xdr:rowOff>
    </xdr:to>
    <xdr:pic>
      <xdr:nvPicPr>
        <xdr:cNvPr id="66071" name="Picture 80">
          <a:extLst>
            <a:ext uri="{FF2B5EF4-FFF2-40B4-BE49-F238E27FC236}">
              <a16:creationId xmlns:a16="http://schemas.microsoft.com/office/drawing/2014/main" id="{00000000-0008-0000-0200-00001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14300" y="118833900"/>
          <a:ext cx="114300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180975</xdr:colOff>
      <xdr:row>899</xdr:row>
      <xdr:rowOff>38100</xdr:rowOff>
    </xdr:from>
    <xdr:to>
      <xdr:col>0</xdr:col>
      <xdr:colOff>523875</xdr:colOff>
      <xdr:row>902</xdr:row>
      <xdr:rowOff>19050</xdr:rowOff>
    </xdr:to>
    <xdr:pic>
      <xdr:nvPicPr>
        <xdr:cNvPr id="66072" name="Picture 601">
          <a:extLst>
            <a:ext uri="{FF2B5EF4-FFF2-40B4-BE49-F238E27FC236}">
              <a16:creationId xmlns:a16="http://schemas.microsoft.com/office/drawing/2014/main" id="{00000000-0008-0000-0200-00001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80975" y="120215025"/>
          <a:ext cx="3429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911</xdr:row>
      <xdr:rowOff>123825</xdr:rowOff>
    </xdr:from>
    <xdr:to>
      <xdr:col>6</xdr:col>
      <xdr:colOff>276225</xdr:colOff>
      <xdr:row>915</xdr:row>
      <xdr:rowOff>76200</xdr:rowOff>
    </xdr:to>
    <xdr:pic>
      <xdr:nvPicPr>
        <xdr:cNvPr id="66073" name="Рисунок 154">
          <a:extLst>
            <a:ext uri="{FF2B5EF4-FFF2-40B4-BE49-F238E27FC236}">
              <a16:creationId xmlns:a16="http://schemas.microsoft.com/office/drawing/2014/main" id="{00000000-0008-0000-0200-00001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121900950"/>
          <a:ext cx="20764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912</xdr:row>
      <xdr:rowOff>0</xdr:rowOff>
    </xdr:from>
    <xdr:to>
      <xdr:col>16</xdr:col>
      <xdr:colOff>323850</xdr:colOff>
      <xdr:row>915</xdr:row>
      <xdr:rowOff>95250</xdr:rowOff>
    </xdr:to>
    <xdr:pic>
      <xdr:nvPicPr>
        <xdr:cNvPr id="66074" name="Рисунок 154">
          <a:extLst>
            <a:ext uri="{FF2B5EF4-FFF2-40B4-BE49-F238E27FC236}">
              <a16:creationId xmlns:a16="http://schemas.microsoft.com/office/drawing/2014/main" id="{00000000-0008-0000-0200-00001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3171825" y="121910475"/>
          <a:ext cx="206692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937</xdr:row>
      <xdr:rowOff>85725</xdr:rowOff>
    </xdr:from>
    <xdr:to>
      <xdr:col>2</xdr:col>
      <xdr:colOff>123825</xdr:colOff>
      <xdr:row>943</xdr:row>
      <xdr:rowOff>28575</xdr:rowOff>
    </xdr:to>
    <xdr:pic>
      <xdr:nvPicPr>
        <xdr:cNvPr id="66075" name="Picture 86">
          <a:extLst>
            <a:ext uri="{FF2B5EF4-FFF2-40B4-BE49-F238E27FC236}">
              <a16:creationId xmlns:a16="http://schemas.microsoft.com/office/drawing/2014/main" id="{00000000-0008-0000-0200-00001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04775" y="125387100"/>
          <a:ext cx="9429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951</xdr:row>
      <xdr:rowOff>76200</xdr:rowOff>
    </xdr:from>
    <xdr:to>
      <xdr:col>2</xdr:col>
      <xdr:colOff>171450</xdr:colOff>
      <xdr:row>958</xdr:row>
      <xdr:rowOff>66675</xdr:rowOff>
    </xdr:to>
    <xdr:pic>
      <xdr:nvPicPr>
        <xdr:cNvPr id="66076" name="Рисунок 155">
          <a:extLst>
            <a:ext uri="{FF2B5EF4-FFF2-40B4-BE49-F238E27FC236}">
              <a16:creationId xmlns:a16="http://schemas.microsoft.com/office/drawing/2014/main" id="{00000000-0008-0000-0200-00001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12724447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247650</xdr:colOff>
      <xdr:row>951</xdr:row>
      <xdr:rowOff>95250</xdr:rowOff>
    </xdr:from>
    <xdr:to>
      <xdr:col>12</xdr:col>
      <xdr:colOff>219075</xdr:colOff>
      <xdr:row>958</xdr:row>
      <xdr:rowOff>85725</xdr:rowOff>
    </xdr:to>
    <xdr:pic>
      <xdr:nvPicPr>
        <xdr:cNvPr id="66077" name="Рисунок 155">
          <a:extLst>
            <a:ext uri="{FF2B5EF4-FFF2-40B4-BE49-F238E27FC236}">
              <a16:creationId xmlns:a16="http://schemas.microsoft.com/office/drawing/2014/main" id="{00000000-0008-0000-0200-00001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3362325" y="12726352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985</xdr:row>
      <xdr:rowOff>28575</xdr:rowOff>
    </xdr:from>
    <xdr:to>
      <xdr:col>3</xdr:col>
      <xdr:colOff>123825</xdr:colOff>
      <xdr:row>991</xdr:row>
      <xdr:rowOff>19050</xdr:rowOff>
    </xdr:to>
    <xdr:pic>
      <xdr:nvPicPr>
        <xdr:cNvPr id="66078" name="Рисунок 154">
          <a:extLst>
            <a:ext uri="{FF2B5EF4-FFF2-40B4-BE49-F238E27FC236}">
              <a16:creationId xmlns:a16="http://schemas.microsoft.com/office/drawing/2014/main" id="{00000000-0008-0000-0200-00001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200" y="131730750"/>
          <a:ext cx="1152525" cy="790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996</xdr:row>
      <xdr:rowOff>47625</xdr:rowOff>
    </xdr:from>
    <xdr:to>
      <xdr:col>3</xdr:col>
      <xdr:colOff>57150</xdr:colOff>
      <xdr:row>1004</xdr:row>
      <xdr:rowOff>9525</xdr:rowOff>
    </xdr:to>
    <xdr:pic>
      <xdr:nvPicPr>
        <xdr:cNvPr id="66079" name="Рисунок 155">
          <a:extLst>
            <a:ext uri="{FF2B5EF4-FFF2-40B4-BE49-F238E27FC236}">
              <a16:creationId xmlns:a16="http://schemas.microsoft.com/office/drawing/2014/main" id="{00000000-0008-0000-0200-00001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71450" y="133216650"/>
          <a:ext cx="990600" cy="1028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1027</xdr:row>
      <xdr:rowOff>95250</xdr:rowOff>
    </xdr:from>
    <xdr:to>
      <xdr:col>4</xdr:col>
      <xdr:colOff>352425</xdr:colOff>
      <xdr:row>1029</xdr:row>
      <xdr:rowOff>133350</xdr:rowOff>
    </xdr:to>
    <xdr:pic>
      <xdr:nvPicPr>
        <xdr:cNvPr id="66080" name="Picture 89">
          <a:extLst>
            <a:ext uri="{FF2B5EF4-FFF2-40B4-BE49-F238E27FC236}">
              <a16:creationId xmlns:a16="http://schemas.microsoft.com/office/drawing/2014/main" id="{00000000-0008-0000-0200-00002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85725" y="137455275"/>
          <a:ext cx="162877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1048</xdr:row>
      <xdr:rowOff>9525</xdr:rowOff>
    </xdr:from>
    <xdr:to>
      <xdr:col>4</xdr:col>
      <xdr:colOff>257175</xdr:colOff>
      <xdr:row>1050</xdr:row>
      <xdr:rowOff>19050</xdr:rowOff>
    </xdr:to>
    <xdr:pic>
      <xdr:nvPicPr>
        <xdr:cNvPr id="66081" name="Picture 89">
          <a:extLst>
            <a:ext uri="{FF2B5EF4-FFF2-40B4-BE49-F238E27FC236}">
              <a16:creationId xmlns:a16="http://schemas.microsoft.com/office/drawing/2014/main" id="{00000000-0008-0000-0200-00002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14300" y="140169900"/>
          <a:ext cx="15049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1055</xdr:row>
      <xdr:rowOff>38100</xdr:rowOff>
    </xdr:from>
    <xdr:to>
      <xdr:col>4</xdr:col>
      <xdr:colOff>276225</xdr:colOff>
      <xdr:row>1058</xdr:row>
      <xdr:rowOff>95250</xdr:rowOff>
    </xdr:to>
    <xdr:pic>
      <xdr:nvPicPr>
        <xdr:cNvPr id="66082" name="Picture 90">
          <a:extLst>
            <a:ext uri="{FF2B5EF4-FFF2-40B4-BE49-F238E27FC236}">
              <a16:creationId xmlns:a16="http://schemas.microsoft.com/office/drawing/2014/main" id="{00000000-0008-0000-0200-00002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85725" y="141189075"/>
          <a:ext cx="1552575" cy="4572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1055</xdr:row>
      <xdr:rowOff>76200</xdr:rowOff>
    </xdr:from>
    <xdr:to>
      <xdr:col>17</xdr:col>
      <xdr:colOff>104775</xdr:colOff>
      <xdr:row>1058</xdr:row>
      <xdr:rowOff>66675</xdr:rowOff>
    </xdr:to>
    <xdr:pic>
      <xdr:nvPicPr>
        <xdr:cNvPr id="66083" name="Picture 91">
          <a:extLst>
            <a:ext uri="{FF2B5EF4-FFF2-40B4-BE49-F238E27FC236}">
              <a16:creationId xmlns:a16="http://schemas.microsoft.com/office/drawing/2014/main" id="{00000000-0008-0000-0200-00002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3181350" y="141227175"/>
          <a:ext cx="23907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1067</xdr:row>
      <xdr:rowOff>28575</xdr:rowOff>
    </xdr:from>
    <xdr:to>
      <xdr:col>6</xdr:col>
      <xdr:colOff>266700</xdr:colOff>
      <xdr:row>1070</xdr:row>
      <xdr:rowOff>114300</xdr:rowOff>
    </xdr:to>
    <xdr:pic>
      <xdr:nvPicPr>
        <xdr:cNvPr id="66084" name="Picture 93">
          <a:extLst>
            <a:ext uri="{FF2B5EF4-FFF2-40B4-BE49-F238E27FC236}">
              <a16:creationId xmlns:a16="http://schemas.microsoft.com/office/drawing/2014/main" id="{00000000-0008-0000-0200-00002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2836900"/>
          <a:ext cx="20383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1116</xdr:row>
      <xdr:rowOff>28575</xdr:rowOff>
    </xdr:from>
    <xdr:to>
      <xdr:col>6</xdr:col>
      <xdr:colOff>371475</xdr:colOff>
      <xdr:row>1120</xdr:row>
      <xdr:rowOff>0</xdr:rowOff>
    </xdr:to>
    <xdr:pic>
      <xdr:nvPicPr>
        <xdr:cNvPr id="66085" name="Picture 93">
          <a:extLst>
            <a:ext uri="{FF2B5EF4-FFF2-40B4-BE49-F238E27FC236}">
              <a16:creationId xmlns:a16="http://schemas.microsoft.com/office/drawing/2014/main" id="{00000000-0008-0000-0200-00002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9371050"/>
          <a:ext cx="21431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1146</xdr:row>
      <xdr:rowOff>66675</xdr:rowOff>
    </xdr:from>
    <xdr:to>
      <xdr:col>4</xdr:col>
      <xdr:colOff>447675</xdr:colOff>
      <xdr:row>1149</xdr:row>
      <xdr:rowOff>104775</xdr:rowOff>
    </xdr:to>
    <xdr:pic>
      <xdr:nvPicPr>
        <xdr:cNvPr id="66086" name="Рисунок 151">
          <a:extLst>
            <a:ext uri="{FF2B5EF4-FFF2-40B4-BE49-F238E27FC236}">
              <a16:creationId xmlns:a16="http://schemas.microsoft.com/office/drawing/2014/main" id="{00000000-0008-0000-0200-00002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9050" y="153409650"/>
          <a:ext cx="17907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1185</xdr:row>
      <xdr:rowOff>28575</xdr:rowOff>
    </xdr:from>
    <xdr:to>
      <xdr:col>4</xdr:col>
      <xdr:colOff>114300</xdr:colOff>
      <xdr:row>1187</xdr:row>
      <xdr:rowOff>123825</xdr:rowOff>
    </xdr:to>
    <xdr:pic>
      <xdr:nvPicPr>
        <xdr:cNvPr id="66087" name="Picture 94">
          <a:extLst>
            <a:ext uri="{FF2B5EF4-FFF2-40B4-BE49-F238E27FC236}">
              <a16:creationId xmlns:a16="http://schemas.microsoft.com/office/drawing/2014/main" id="{00000000-0008-0000-0200-00002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0" y="158572200"/>
          <a:ext cx="1476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1216</xdr:row>
      <xdr:rowOff>66675</xdr:rowOff>
    </xdr:from>
    <xdr:to>
      <xdr:col>4</xdr:col>
      <xdr:colOff>133350</xdr:colOff>
      <xdr:row>1218</xdr:row>
      <xdr:rowOff>114300</xdr:rowOff>
    </xdr:to>
    <xdr:pic>
      <xdr:nvPicPr>
        <xdr:cNvPr id="66088" name="Picture 95">
          <a:extLst>
            <a:ext uri="{FF2B5EF4-FFF2-40B4-BE49-F238E27FC236}">
              <a16:creationId xmlns:a16="http://schemas.microsoft.com/office/drawing/2014/main" id="{00000000-0008-0000-0200-00002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57150" y="16280130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1253</xdr:row>
      <xdr:rowOff>28575</xdr:rowOff>
    </xdr:from>
    <xdr:to>
      <xdr:col>4</xdr:col>
      <xdr:colOff>190500</xdr:colOff>
      <xdr:row>1256</xdr:row>
      <xdr:rowOff>9525</xdr:rowOff>
    </xdr:to>
    <xdr:pic>
      <xdr:nvPicPr>
        <xdr:cNvPr id="66089" name="Picture 147">
          <a:extLst>
            <a:ext uri="{FF2B5EF4-FFF2-40B4-BE49-F238E27FC236}">
              <a16:creationId xmlns:a16="http://schemas.microsoft.com/office/drawing/2014/main" id="{00000000-0008-0000-0200-00002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28575" y="167697150"/>
          <a:ext cx="15240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1314</xdr:row>
      <xdr:rowOff>47625</xdr:rowOff>
    </xdr:from>
    <xdr:to>
      <xdr:col>4</xdr:col>
      <xdr:colOff>295275</xdr:colOff>
      <xdr:row>1316</xdr:row>
      <xdr:rowOff>38100</xdr:rowOff>
    </xdr:to>
    <xdr:pic>
      <xdr:nvPicPr>
        <xdr:cNvPr id="66090" name="Рисунок 138">
          <a:extLst>
            <a:ext uri="{FF2B5EF4-FFF2-40B4-BE49-F238E27FC236}">
              <a16:creationId xmlns:a16="http://schemas.microsoft.com/office/drawing/2014/main" id="{00000000-0008-0000-0200-00002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38100" y="175907700"/>
          <a:ext cx="1619250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552450</xdr:colOff>
      <xdr:row>1325</xdr:row>
      <xdr:rowOff>0</xdr:rowOff>
    </xdr:from>
    <xdr:to>
      <xdr:col>0</xdr:col>
      <xdr:colOff>571500</xdr:colOff>
      <xdr:row>1327</xdr:row>
      <xdr:rowOff>76200</xdr:rowOff>
    </xdr:to>
    <xdr:pic>
      <xdr:nvPicPr>
        <xdr:cNvPr id="66091" name="Рисунок 136">
          <a:extLst>
            <a:ext uri="{FF2B5EF4-FFF2-40B4-BE49-F238E27FC236}">
              <a16:creationId xmlns:a16="http://schemas.microsoft.com/office/drawing/2014/main" id="{00000000-0008-0000-0200-00002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552450" y="177326925"/>
          <a:ext cx="190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1325</xdr:row>
      <xdr:rowOff>47625</xdr:rowOff>
    </xdr:from>
    <xdr:to>
      <xdr:col>1</xdr:col>
      <xdr:colOff>285750</xdr:colOff>
      <xdr:row>1327</xdr:row>
      <xdr:rowOff>114300</xdr:rowOff>
    </xdr:to>
    <xdr:pic>
      <xdr:nvPicPr>
        <xdr:cNvPr id="66092" name="Рисунок 136">
          <a:extLst>
            <a:ext uri="{FF2B5EF4-FFF2-40B4-BE49-F238E27FC236}">
              <a16:creationId xmlns:a16="http://schemas.microsoft.com/office/drawing/2014/main" id="{00000000-0008-0000-0200-00002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85725" y="177374550"/>
          <a:ext cx="77152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1331</xdr:row>
      <xdr:rowOff>38100</xdr:rowOff>
    </xdr:from>
    <xdr:to>
      <xdr:col>2</xdr:col>
      <xdr:colOff>142875</xdr:colOff>
      <xdr:row>1334</xdr:row>
      <xdr:rowOff>104775</xdr:rowOff>
    </xdr:to>
    <xdr:pic>
      <xdr:nvPicPr>
        <xdr:cNvPr id="66093" name="Picture 616">
          <a:extLst>
            <a:ext uri="{FF2B5EF4-FFF2-40B4-BE49-F238E27FC236}">
              <a16:creationId xmlns:a16="http://schemas.microsoft.com/office/drawing/2014/main" id="{00000000-0008-0000-0200-00002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04775" y="178165125"/>
          <a:ext cx="962025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1331</xdr:row>
      <xdr:rowOff>38100</xdr:rowOff>
    </xdr:from>
    <xdr:to>
      <xdr:col>11</xdr:col>
      <xdr:colOff>57150</xdr:colOff>
      <xdr:row>1334</xdr:row>
      <xdr:rowOff>76200</xdr:rowOff>
    </xdr:to>
    <xdr:pic>
      <xdr:nvPicPr>
        <xdr:cNvPr id="66094" name="Picture 729">
          <a:extLst>
            <a:ext uri="{FF2B5EF4-FFF2-40B4-BE49-F238E27FC236}">
              <a16:creationId xmlns:a16="http://schemas.microsoft.com/office/drawing/2014/main" id="{00000000-0008-0000-0200-00002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3238500" y="178165125"/>
          <a:ext cx="85725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1351</xdr:row>
      <xdr:rowOff>19050</xdr:rowOff>
    </xdr:from>
    <xdr:to>
      <xdr:col>3</xdr:col>
      <xdr:colOff>19050</xdr:colOff>
      <xdr:row>1354</xdr:row>
      <xdr:rowOff>123825</xdr:rowOff>
    </xdr:to>
    <xdr:pic>
      <xdr:nvPicPr>
        <xdr:cNvPr id="66095" name="Picture 603">
          <a:extLst>
            <a:ext uri="{FF2B5EF4-FFF2-40B4-BE49-F238E27FC236}">
              <a16:creationId xmlns:a16="http://schemas.microsoft.com/office/drawing/2014/main" id="{00000000-0008-0000-0200-00002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85725" y="180870225"/>
          <a:ext cx="10382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1374</xdr:row>
      <xdr:rowOff>66675</xdr:rowOff>
    </xdr:from>
    <xdr:to>
      <xdr:col>3</xdr:col>
      <xdr:colOff>152400</xdr:colOff>
      <xdr:row>1378</xdr:row>
      <xdr:rowOff>114300</xdr:rowOff>
    </xdr:to>
    <xdr:pic>
      <xdr:nvPicPr>
        <xdr:cNvPr id="66096" name="Picture 603">
          <a:extLst>
            <a:ext uri="{FF2B5EF4-FFF2-40B4-BE49-F238E27FC236}">
              <a16:creationId xmlns:a16="http://schemas.microsoft.com/office/drawing/2014/main" id="{00000000-0008-0000-0200-00003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57150" y="183851550"/>
          <a:ext cx="1200150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1386</xdr:row>
      <xdr:rowOff>38100</xdr:rowOff>
    </xdr:from>
    <xdr:to>
      <xdr:col>1</xdr:col>
      <xdr:colOff>257175</xdr:colOff>
      <xdr:row>1389</xdr:row>
      <xdr:rowOff>76200</xdr:rowOff>
    </xdr:to>
    <xdr:pic>
      <xdr:nvPicPr>
        <xdr:cNvPr id="66097" name="Рисунок 143">
          <a:extLst>
            <a:ext uri="{FF2B5EF4-FFF2-40B4-BE49-F238E27FC236}">
              <a16:creationId xmlns:a16="http://schemas.microsoft.com/office/drawing/2014/main" id="{00000000-0008-0000-0200-00003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04775" y="185423175"/>
          <a:ext cx="7239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1395</xdr:row>
      <xdr:rowOff>19050</xdr:rowOff>
    </xdr:from>
    <xdr:to>
      <xdr:col>0</xdr:col>
      <xdr:colOff>523875</xdr:colOff>
      <xdr:row>1399</xdr:row>
      <xdr:rowOff>76200</xdr:rowOff>
    </xdr:to>
    <xdr:pic>
      <xdr:nvPicPr>
        <xdr:cNvPr id="66098" name="Рисунок 143">
          <a:extLst>
            <a:ext uri="{FF2B5EF4-FFF2-40B4-BE49-F238E27FC236}">
              <a16:creationId xmlns:a16="http://schemas.microsoft.com/office/drawing/2014/main" id="{00000000-0008-0000-0200-00003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228600" y="1866042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133350</xdr:colOff>
      <xdr:row>1394</xdr:row>
      <xdr:rowOff>114300</xdr:rowOff>
    </xdr:from>
    <xdr:to>
      <xdr:col>9</xdr:col>
      <xdr:colOff>428625</xdr:colOff>
      <xdr:row>1399</xdr:row>
      <xdr:rowOff>38100</xdr:rowOff>
    </xdr:to>
    <xdr:pic>
      <xdr:nvPicPr>
        <xdr:cNvPr id="66099" name="Рисунок 143">
          <a:extLst>
            <a:ext uri="{FF2B5EF4-FFF2-40B4-BE49-F238E27FC236}">
              <a16:creationId xmlns:a16="http://schemas.microsoft.com/office/drawing/2014/main" id="{00000000-0008-0000-0200-00003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3248025" y="1865661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1423</xdr:row>
      <xdr:rowOff>57150</xdr:rowOff>
    </xdr:from>
    <xdr:to>
      <xdr:col>2</xdr:col>
      <xdr:colOff>142875</xdr:colOff>
      <xdr:row>1426</xdr:row>
      <xdr:rowOff>76200</xdr:rowOff>
    </xdr:to>
    <xdr:pic>
      <xdr:nvPicPr>
        <xdr:cNvPr id="66100" name="Picture 97">
          <a:extLst>
            <a:ext uri="{FF2B5EF4-FFF2-40B4-BE49-F238E27FC236}">
              <a16:creationId xmlns:a16="http://schemas.microsoft.com/office/drawing/2014/main" id="{00000000-0008-0000-0200-00003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0376175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1422</xdr:row>
      <xdr:rowOff>38100</xdr:rowOff>
    </xdr:from>
    <xdr:to>
      <xdr:col>10</xdr:col>
      <xdr:colOff>200025</xdr:colOff>
      <xdr:row>1426</xdr:row>
      <xdr:rowOff>104775</xdr:rowOff>
    </xdr:to>
    <xdr:pic>
      <xdr:nvPicPr>
        <xdr:cNvPr id="66101" name="Picture 98">
          <a:extLst>
            <a:ext uri="{FF2B5EF4-FFF2-40B4-BE49-F238E27FC236}">
              <a16:creationId xmlns:a16="http://schemas.microsoft.com/office/drawing/2014/main" id="{00000000-0008-0000-0200-00003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3162300" y="190223775"/>
          <a:ext cx="7239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1449</xdr:row>
      <xdr:rowOff>47625</xdr:rowOff>
    </xdr:from>
    <xdr:to>
      <xdr:col>1</xdr:col>
      <xdr:colOff>171450</xdr:colOff>
      <xdr:row>1452</xdr:row>
      <xdr:rowOff>133350</xdr:rowOff>
    </xdr:to>
    <xdr:pic>
      <xdr:nvPicPr>
        <xdr:cNvPr id="66102" name="Picture 99">
          <a:extLst>
            <a:ext uri="{FF2B5EF4-FFF2-40B4-BE49-F238E27FC236}">
              <a16:creationId xmlns:a16="http://schemas.microsoft.com/office/drawing/2014/main" id="{00000000-0008-0000-0200-00003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47625" y="193890900"/>
          <a:ext cx="695325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1449</xdr:row>
      <xdr:rowOff>28575</xdr:rowOff>
    </xdr:from>
    <xdr:to>
      <xdr:col>10</xdr:col>
      <xdr:colOff>200025</xdr:colOff>
      <xdr:row>1453</xdr:row>
      <xdr:rowOff>9525</xdr:rowOff>
    </xdr:to>
    <xdr:pic>
      <xdr:nvPicPr>
        <xdr:cNvPr id="66103" name="Picture 99">
          <a:extLst>
            <a:ext uri="{FF2B5EF4-FFF2-40B4-BE49-F238E27FC236}">
              <a16:creationId xmlns:a16="http://schemas.microsoft.com/office/drawing/2014/main" id="{00000000-0008-0000-0200-00003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3152775" y="193871850"/>
          <a:ext cx="733425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1469</xdr:row>
      <xdr:rowOff>57150</xdr:rowOff>
    </xdr:from>
    <xdr:to>
      <xdr:col>1</xdr:col>
      <xdr:colOff>314325</xdr:colOff>
      <xdr:row>1473</xdr:row>
      <xdr:rowOff>38100</xdr:rowOff>
    </xdr:to>
    <xdr:pic>
      <xdr:nvPicPr>
        <xdr:cNvPr id="66104" name="Picture 100">
          <a:extLst>
            <a:ext uri="{FF2B5EF4-FFF2-40B4-BE49-F238E27FC236}">
              <a16:creationId xmlns:a16="http://schemas.microsoft.com/office/drawing/2014/main" id="{00000000-0008-0000-0200-00003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85725" y="196567425"/>
          <a:ext cx="800100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1469</xdr:row>
      <xdr:rowOff>38100</xdr:rowOff>
    </xdr:from>
    <xdr:to>
      <xdr:col>10</xdr:col>
      <xdr:colOff>209550</xdr:colOff>
      <xdr:row>1472</xdr:row>
      <xdr:rowOff>104775</xdr:rowOff>
    </xdr:to>
    <xdr:pic>
      <xdr:nvPicPr>
        <xdr:cNvPr id="66105" name="Picture 100">
          <a:extLst>
            <a:ext uri="{FF2B5EF4-FFF2-40B4-BE49-F238E27FC236}">
              <a16:creationId xmlns:a16="http://schemas.microsoft.com/office/drawing/2014/main" id="{00000000-0008-0000-0200-00003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3171825" y="196548375"/>
          <a:ext cx="723900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1497</xdr:row>
      <xdr:rowOff>66675</xdr:rowOff>
    </xdr:from>
    <xdr:to>
      <xdr:col>1</xdr:col>
      <xdr:colOff>209550</xdr:colOff>
      <xdr:row>1500</xdr:row>
      <xdr:rowOff>104775</xdr:rowOff>
    </xdr:to>
    <xdr:pic>
      <xdr:nvPicPr>
        <xdr:cNvPr id="66106" name="Picture 101">
          <a:extLst>
            <a:ext uri="{FF2B5EF4-FFF2-40B4-BE49-F238E27FC236}">
              <a16:creationId xmlns:a16="http://schemas.microsoft.com/office/drawing/2014/main" id="{00000000-0008-0000-0200-00003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161925" y="200310750"/>
          <a:ext cx="61912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1515</xdr:row>
      <xdr:rowOff>85725</xdr:rowOff>
    </xdr:from>
    <xdr:to>
      <xdr:col>1</xdr:col>
      <xdr:colOff>219075</xdr:colOff>
      <xdr:row>1519</xdr:row>
      <xdr:rowOff>47625</xdr:rowOff>
    </xdr:to>
    <xdr:pic>
      <xdr:nvPicPr>
        <xdr:cNvPr id="66107" name="Picture 101">
          <a:extLst>
            <a:ext uri="{FF2B5EF4-FFF2-40B4-BE49-F238E27FC236}">
              <a16:creationId xmlns:a16="http://schemas.microsoft.com/office/drawing/2014/main" id="{00000000-0008-0000-0200-00003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85725" y="202730100"/>
          <a:ext cx="70485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1527</xdr:row>
      <xdr:rowOff>76200</xdr:rowOff>
    </xdr:from>
    <xdr:to>
      <xdr:col>1</xdr:col>
      <xdr:colOff>190500</xdr:colOff>
      <xdr:row>1530</xdr:row>
      <xdr:rowOff>123825</xdr:rowOff>
    </xdr:to>
    <xdr:pic>
      <xdr:nvPicPr>
        <xdr:cNvPr id="66108" name="Picture 102">
          <a:extLst>
            <a:ext uri="{FF2B5EF4-FFF2-40B4-BE49-F238E27FC236}">
              <a16:creationId xmlns:a16="http://schemas.microsoft.com/office/drawing/2014/main" id="{00000000-0008-0000-0200-00003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76200" y="204320775"/>
          <a:ext cx="68580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1544</xdr:row>
      <xdr:rowOff>38100</xdr:rowOff>
    </xdr:from>
    <xdr:to>
      <xdr:col>6</xdr:col>
      <xdr:colOff>95250</xdr:colOff>
      <xdr:row>1546</xdr:row>
      <xdr:rowOff>123825</xdr:rowOff>
    </xdr:to>
    <xdr:pic>
      <xdr:nvPicPr>
        <xdr:cNvPr id="66109" name="Picture 754">
          <a:extLst>
            <a:ext uri="{FF2B5EF4-FFF2-40B4-BE49-F238E27FC236}">
              <a16:creationId xmlns:a16="http://schemas.microsoft.com/office/drawing/2014/main" id="{00000000-0008-0000-0200-00003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6200" y="206606775"/>
          <a:ext cx="1838325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1544</xdr:row>
      <xdr:rowOff>38100</xdr:rowOff>
    </xdr:from>
    <xdr:to>
      <xdr:col>16</xdr:col>
      <xdr:colOff>76200</xdr:colOff>
      <xdr:row>1546</xdr:row>
      <xdr:rowOff>123825</xdr:rowOff>
    </xdr:to>
    <xdr:pic>
      <xdr:nvPicPr>
        <xdr:cNvPr id="66110" name="Рисунок 150">
          <a:extLst>
            <a:ext uri="{FF2B5EF4-FFF2-40B4-BE49-F238E27FC236}">
              <a16:creationId xmlns:a16="http://schemas.microsoft.com/office/drawing/2014/main" id="{00000000-0008-0000-0200-00003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3143250" y="206606775"/>
          <a:ext cx="1847850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1571</xdr:row>
      <xdr:rowOff>76200</xdr:rowOff>
    </xdr:from>
    <xdr:to>
      <xdr:col>6</xdr:col>
      <xdr:colOff>180975</xdr:colOff>
      <xdr:row>1573</xdr:row>
      <xdr:rowOff>123825</xdr:rowOff>
    </xdr:to>
    <xdr:pic>
      <xdr:nvPicPr>
        <xdr:cNvPr id="66111" name="Рисунок 149">
          <a:extLst>
            <a:ext uri="{FF2B5EF4-FFF2-40B4-BE49-F238E27FC236}">
              <a16:creationId xmlns:a16="http://schemas.microsoft.com/office/drawing/2014/main" id="{00000000-0008-0000-0200-00003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104775" y="210245325"/>
          <a:ext cx="18954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1571</xdr:row>
      <xdr:rowOff>28575</xdr:rowOff>
    </xdr:from>
    <xdr:to>
      <xdr:col>16</xdr:col>
      <xdr:colOff>66675</xdr:colOff>
      <xdr:row>1573</xdr:row>
      <xdr:rowOff>104775</xdr:rowOff>
    </xdr:to>
    <xdr:pic>
      <xdr:nvPicPr>
        <xdr:cNvPr id="66112" name="Picture 754">
          <a:extLst>
            <a:ext uri="{FF2B5EF4-FFF2-40B4-BE49-F238E27FC236}">
              <a16:creationId xmlns:a16="http://schemas.microsoft.com/office/drawing/2014/main" id="{00000000-0008-0000-0200-00004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3152775" y="210197700"/>
          <a:ext cx="18288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1589</xdr:row>
      <xdr:rowOff>9525</xdr:rowOff>
    </xdr:from>
    <xdr:to>
      <xdr:col>3</xdr:col>
      <xdr:colOff>9525</xdr:colOff>
      <xdr:row>1593</xdr:row>
      <xdr:rowOff>123825</xdr:rowOff>
    </xdr:to>
    <xdr:pic>
      <xdr:nvPicPr>
        <xdr:cNvPr id="66113" name="Picture 755">
          <a:extLst>
            <a:ext uri="{FF2B5EF4-FFF2-40B4-BE49-F238E27FC236}">
              <a16:creationId xmlns:a16="http://schemas.microsoft.com/office/drawing/2014/main" id="{00000000-0008-0000-0200-00004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28575" y="212578950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1589</xdr:row>
      <xdr:rowOff>19050</xdr:rowOff>
    </xdr:from>
    <xdr:to>
      <xdr:col>12</xdr:col>
      <xdr:colOff>19050</xdr:colOff>
      <xdr:row>1593</xdr:row>
      <xdr:rowOff>133350</xdr:rowOff>
    </xdr:to>
    <xdr:pic>
      <xdr:nvPicPr>
        <xdr:cNvPr id="66114" name="Picture 755">
          <a:extLst>
            <a:ext uri="{FF2B5EF4-FFF2-40B4-BE49-F238E27FC236}">
              <a16:creationId xmlns:a16="http://schemas.microsoft.com/office/drawing/2014/main" id="{00000000-0008-0000-0200-00004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3152775" y="212588475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1607</xdr:row>
      <xdr:rowOff>28575</xdr:rowOff>
    </xdr:from>
    <xdr:to>
      <xdr:col>3</xdr:col>
      <xdr:colOff>85725</xdr:colOff>
      <xdr:row>1611</xdr:row>
      <xdr:rowOff>66675</xdr:rowOff>
    </xdr:to>
    <xdr:pic>
      <xdr:nvPicPr>
        <xdr:cNvPr id="66115" name="Picture 749">
          <a:extLst>
            <a:ext uri="{FF2B5EF4-FFF2-40B4-BE49-F238E27FC236}">
              <a16:creationId xmlns:a16="http://schemas.microsoft.com/office/drawing/2014/main" id="{00000000-0008-0000-0200-00004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57150" y="214998300"/>
          <a:ext cx="1133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0</xdr:colOff>
      <xdr:row>1607</xdr:row>
      <xdr:rowOff>9525</xdr:rowOff>
    </xdr:from>
    <xdr:to>
      <xdr:col>11</xdr:col>
      <xdr:colOff>180975</xdr:colOff>
      <xdr:row>1611</xdr:row>
      <xdr:rowOff>114300</xdr:rowOff>
    </xdr:to>
    <xdr:pic>
      <xdr:nvPicPr>
        <xdr:cNvPr id="66116" name="Picture 747">
          <a:extLst>
            <a:ext uri="{FF2B5EF4-FFF2-40B4-BE49-F238E27FC236}">
              <a16:creationId xmlns:a16="http://schemas.microsoft.com/office/drawing/2014/main" id="{00000000-0008-0000-0200-00004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3114675" y="214979250"/>
          <a:ext cx="110490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1622</xdr:row>
      <xdr:rowOff>28575</xdr:rowOff>
    </xdr:from>
    <xdr:to>
      <xdr:col>3</xdr:col>
      <xdr:colOff>9525</xdr:colOff>
      <xdr:row>1625</xdr:row>
      <xdr:rowOff>104775</xdr:rowOff>
    </xdr:to>
    <xdr:pic>
      <xdr:nvPicPr>
        <xdr:cNvPr id="66117" name="Picture 26381">
          <a:extLst>
            <a:ext uri="{FF2B5EF4-FFF2-40B4-BE49-F238E27FC236}">
              <a16:creationId xmlns:a16="http://schemas.microsoft.com/office/drawing/2014/main" id="{00000000-0008-0000-0200-00004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361950" y="216998550"/>
          <a:ext cx="752475" cy="476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152400</xdr:colOff>
      <xdr:row>1621</xdr:row>
      <xdr:rowOff>114300</xdr:rowOff>
    </xdr:from>
    <xdr:to>
      <xdr:col>10</xdr:col>
      <xdr:colOff>323850</xdr:colOff>
      <xdr:row>1625</xdr:row>
      <xdr:rowOff>114300</xdr:rowOff>
    </xdr:to>
    <xdr:pic>
      <xdr:nvPicPr>
        <xdr:cNvPr id="66118" name="Picture 26382">
          <a:extLst>
            <a:ext uri="{FF2B5EF4-FFF2-40B4-BE49-F238E27FC236}">
              <a16:creationId xmlns:a16="http://schemas.microsoft.com/office/drawing/2014/main" id="{00000000-0008-0000-0200-00004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3267075" y="216950925"/>
          <a:ext cx="74295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1643</xdr:row>
      <xdr:rowOff>123825</xdr:rowOff>
    </xdr:from>
    <xdr:to>
      <xdr:col>2</xdr:col>
      <xdr:colOff>123825</xdr:colOff>
      <xdr:row>1648</xdr:row>
      <xdr:rowOff>95250</xdr:rowOff>
    </xdr:to>
    <xdr:pic>
      <xdr:nvPicPr>
        <xdr:cNvPr id="66119" name="Picture 743">
          <a:extLst>
            <a:ext uri="{FF2B5EF4-FFF2-40B4-BE49-F238E27FC236}">
              <a16:creationId xmlns:a16="http://schemas.microsoft.com/office/drawing/2014/main" id="{00000000-0008-0000-0200-00004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6200" y="219894150"/>
          <a:ext cx="97155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1643</xdr:row>
      <xdr:rowOff>114300</xdr:rowOff>
    </xdr:from>
    <xdr:to>
      <xdr:col>11</xdr:col>
      <xdr:colOff>104775</xdr:colOff>
      <xdr:row>1648</xdr:row>
      <xdr:rowOff>104775</xdr:rowOff>
    </xdr:to>
    <xdr:pic>
      <xdr:nvPicPr>
        <xdr:cNvPr id="66120" name="Picture 743">
          <a:extLst>
            <a:ext uri="{FF2B5EF4-FFF2-40B4-BE49-F238E27FC236}">
              <a16:creationId xmlns:a16="http://schemas.microsoft.com/office/drawing/2014/main" id="{00000000-0008-0000-0200-00004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3152775" y="219884625"/>
          <a:ext cx="990600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133350</xdr:colOff>
      <xdr:row>1659</xdr:row>
      <xdr:rowOff>57150</xdr:rowOff>
    </xdr:from>
    <xdr:to>
      <xdr:col>2</xdr:col>
      <xdr:colOff>28575</xdr:colOff>
      <xdr:row>1663</xdr:row>
      <xdr:rowOff>114300</xdr:rowOff>
    </xdr:to>
    <xdr:pic>
      <xdr:nvPicPr>
        <xdr:cNvPr id="66121" name="Picture 742">
          <a:extLst>
            <a:ext uri="{FF2B5EF4-FFF2-40B4-BE49-F238E27FC236}">
              <a16:creationId xmlns:a16="http://schemas.microsoft.com/office/drawing/2014/main" id="{00000000-0008-0000-0200-00004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33350" y="221961075"/>
          <a:ext cx="8191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1659</xdr:row>
      <xdr:rowOff>9525</xdr:rowOff>
    </xdr:from>
    <xdr:to>
      <xdr:col>10</xdr:col>
      <xdr:colOff>352425</xdr:colOff>
      <xdr:row>1663</xdr:row>
      <xdr:rowOff>57150</xdr:rowOff>
    </xdr:to>
    <xdr:pic>
      <xdr:nvPicPr>
        <xdr:cNvPr id="66122" name="Picture 4413">
          <a:extLst>
            <a:ext uri="{FF2B5EF4-FFF2-40B4-BE49-F238E27FC236}">
              <a16:creationId xmlns:a16="http://schemas.microsoft.com/office/drawing/2014/main" id="{00000000-0008-0000-0200-00004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3171825" y="221913450"/>
          <a:ext cx="866775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1674</xdr:row>
      <xdr:rowOff>76200</xdr:rowOff>
    </xdr:from>
    <xdr:to>
      <xdr:col>4</xdr:col>
      <xdr:colOff>161925</xdr:colOff>
      <xdr:row>1677</xdr:row>
      <xdr:rowOff>38100</xdr:rowOff>
    </xdr:to>
    <xdr:pic>
      <xdr:nvPicPr>
        <xdr:cNvPr id="66123" name="Picture 3615">
          <a:extLst>
            <a:ext uri="{FF2B5EF4-FFF2-40B4-BE49-F238E27FC236}">
              <a16:creationId xmlns:a16="http://schemas.microsoft.com/office/drawing/2014/main" id="{00000000-0008-0000-0200-00004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71450" y="223980375"/>
          <a:ext cx="13525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1686</xdr:row>
      <xdr:rowOff>19050</xdr:rowOff>
    </xdr:from>
    <xdr:to>
      <xdr:col>2</xdr:col>
      <xdr:colOff>28575</xdr:colOff>
      <xdr:row>1692</xdr:row>
      <xdr:rowOff>76200</xdr:rowOff>
    </xdr:to>
    <xdr:pic>
      <xdr:nvPicPr>
        <xdr:cNvPr id="66124" name="Picture 757">
          <a:extLst>
            <a:ext uri="{FF2B5EF4-FFF2-40B4-BE49-F238E27FC236}">
              <a16:creationId xmlns:a16="http://schemas.microsoft.com/office/drawing/2014/main" id="{00000000-0008-0000-0200-00004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52400" y="225523425"/>
          <a:ext cx="800100" cy="857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1687</xdr:row>
      <xdr:rowOff>66675</xdr:rowOff>
    </xdr:from>
    <xdr:to>
      <xdr:col>11</xdr:col>
      <xdr:colOff>38100</xdr:colOff>
      <xdr:row>1690</xdr:row>
      <xdr:rowOff>85725</xdr:rowOff>
    </xdr:to>
    <xdr:pic>
      <xdr:nvPicPr>
        <xdr:cNvPr id="66125" name="Picture 1915">
          <a:extLst>
            <a:ext uri="{FF2B5EF4-FFF2-40B4-BE49-F238E27FC236}">
              <a16:creationId xmlns:a16="http://schemas.microsoft.com/office/drawing/2014/main" id="{00000000-0008-0000-0200-00004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 l="7895" r="8376" b="-259"/>
        <a:stretch>
          <a:fillRect/>
        </a:stretch>
      </xdr:blipFill>
      <xdr:spPr bwMode="auto">
        <a:xfrm>
          <a:off x="3133725" y="225704400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1702</xdr:row>
      <xdr:rowOff>47625</xdr:rowOff>
    </xdr:from>
    <xdr:to>
      <xdr:col>1</xdr:col>
      <xdr:colOff>276225</xdr:colOff>
      <xdr:row>1705</xdr:row>
      <xdr:rowOff>9525</xdr:rowOff>
    </xdr:to>
    <xdr:pic>
      <xdr:nvPicPr>
        <xdr:cNvPr id="66126" name="Picture 2174">
          <a:extLst>
            <a:ext uri="{FF2B5EF4-FFF2-40B4-BE49-F238E27FC236}">
              <a16:creationId xmlns:a16="http://schemas.microsoft.com/office/drawing/2014/main" id="{00000000-0008-0000-0200-00004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104775" y="227685600"/>
          <a:ext cx="7429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1702</xdr:row>
      <xdr:rowOff>47625</xdr:rowOff>
    </xdr:from>
    <xdr:to>
      <xdr:col>10</xdr:col>
      <xdr:colOff>304800</xdr:colOff>
      <xdr:row>1705</xdr:row>
      <xdr:rowOff>28575</xdr:rowOff>
    </xdr:to>
    <xdr:pic>
      <xdr:nvPicPr>
        <xdr:cNvPr id="66127" name="Picture 2435">
          <a:extLst>
            <a:ext uri="{FF2B5EF4-FFF2-40B4-BE49-F238E27FC236}">
              <a16:creationId xmlns:a16="http://schemas.microsoft.com/office/drawing/2014/main" id="{00000000-0008-0000-0200-00004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3181350" y="227685600"/>
          <a:ext cx="8096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1717</xdr:row>
      <xdr:rowOff>0</xdr:rowOff>
    </xdr:from>
    <xdr:to>
      <xdr:col>2</xdr:col>
      <xdr:colOff>161925</xdr:colOff>
      <xdr:row>1723</xdr:row>
      <xdr:rowOff>104775</xdr:rowOff>
    </xdr:to>
    <xdr:pic>
      <xdr:nvPicPr>
        <xdr:cNvPr id="66128" name="Picture 744">
          <a:extLst>
            <a:ext uri="{FF2B5EF4-FFF2-40B4-BE49-F238E27FC236}">
              <a16:creationId xmlns:a16="http://schemas.microsoft.com/office/drawing/2014/main" id="{00000000-0008-0000-0200-00005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66675" y="229638225"/>
          <a:ext cx="1019175" cy="904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1735</xdr:row>
      <xdr:rowOff>47625</xdr:rowOff>
    </xdr:from>
    <xdr:to>
      <xdr:col>2</xdr:col>
      <xdr:colOff>114300</xdr:colOff>
      <xdr:row>1739</xdr:row>
      <xdr:rowOff>114300</xdr:rowOff>
    </xdr:to>
    <xdr:pic>
      <xdr:nvPicPr>
        <xdr:cNvPr id="66129" name="Picture 4414">
          <a:extLst>
            <a:ext uri="{FF2B5EF4-FFF2-40B4-BE49-F238E27FC236}">
              <a16:creationId xmlns:a16="http://schemas.microsoft.com/office/drawing/2014/main" id="{00000000-0008-0000-0200-00005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23825" y="232086150"/>
          <a:ext cx="9144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9525</xdr:colOff>
      <xdr:row>1735</xdr:row>
      <xdr:rowOff>66675</xdr:rowOff>
    </xdr:from>
    <xdr:to>
      <xdr:col>10</xdr:col>
      <xdr:colOff>114300</xdr:colOff>
      <xdr:row>1739</xdr:row>
      <xdr:rowOff>28575</xdr:rowOff>
    </xdr:to>
    <xdr:pic>
      <xdr:nvPicPr>
        <xdr:cNvPr id="66130" name="Picture 4550">
          <a:extLst>
            <a:ext uri="{FF2B5EF4-FFF2-40B4-BE49-F238E27FC236}">
              <a16:creationId xmlns:a16="http://schemas.microsoft.com/office/drawing/2014/main" id="{00000000-0008-0000-0200-00005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3124200" y="232105200"/>
          <a:ext cx="6762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1750</xdr:row>
      <xdr:rowOff>28575</xdr:rowOff>
    </xdr:from>
    <xdr:to>
      <xdr:col>1</xdr:col>
      <xdr:colOff>142875</xdr:colOff>
      <xdr:row>1755</xdr:row>
      <xdr:rowOff>66675</xdr:rowOff>
    </xdr:to>
    <xdr:pic>
      <xdr:nvPicPr>
        <xdr:cNvPr id="66131" name="Picture 1529">
          <a:extLst>
            <a:ext uri="{FF2B5EF4-FFF2-40B4-BE49-F238E27FC236}">
              <a16:creationId xmlns:a16="http://schemas.microsoft.com/office/drawing/2014/main" id="{00000000-0008-0000-0200-00005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 t="9236" r="636" b="10016"/>
        <a:stretch>
          <a:fillRect/>
        </a:stretch>
      </xdr:blipFill>
      <xdr:spPr bwMode="auto">
        <a:xfrm>
          <a:off x="152400" y="234067350"/>
          <a:ext cx="561975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1757</xdr:row>
      <xdr:rowOff>85725</xdr:rowOff>
    </xdr:from>
    <xdr:to>
      <xdr:col>1</xdr:col>
      <xdr:colOff>142875</xdr:colOff>
      <xdr:row>1763</xdr:row>
      <xdr:rowOff>66675</xdr:rowOff>
    </xdr:to>
    <xdr:pic>
      <xdr:nvPicPr>
        <xdr:cNvPr id="66132" name="Picture 1150">
          <a:extLst>
            <a:ext uri="{FF2B5EF4-FFF2-40B4-BE49-F238E27FC236}">
              <a16:creationId xmlns:a16="http://schemas.microsoft.com/office/drawing/2014/main" id="{00000000-0008-0000-0200-00005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 t="10020" r="2310" b="11989"/>
        <a:stretch>
          <a:fillRect/>
        </a:stretch>
      </xdr:blipFill>
      <xdr:spPr bwMode="auto">
        <a:xfrm>
          <a:off x="104775" y="235057950"/>
          <a:ext cx="609600" cy="781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76200</xdr:colOff>
      <xdr:row>1758</xdr:row>
      <xdr:rowOff>47625</xdr:rowOff>
    </xdr:from>
    <xdr:to>
      <xdr:col>10</xdr:col>
      <xdr:colOff>228600</xdr:colOff>
      <xdr:row>1763</xdr:row>
      <xdr:rowOff>114300</xdr:rowOff>
    </xdr:to>
    <xdr:pic>
      <xdr:nvPicPr>
        <xdr:cNvPr id="66133" name="Picture 1658">
          <a:extLst>
            <a:ext uri="{FF2B5EF4-FFF2-40B4-BE49-F238E27FC236}">
              <a16:creationId xmlns:a16="http://schemas.microsoft.com/office/drawing/2014/main" id="{00000000-0008-0000-0200-00005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 t="10991" r="-957" b="11374"/>
        <a:stretch>
          <a:fillRect/>
        </a:stretch>
      </xdr:blipFill>
      <xdr:spPr bwMode="auto">
        <a:xfrm>
          <a:off x="3190875" y="235153200"/>
          <a:ext cx="723900" cy="733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1770</xdr:row>
      <xdr:rowOff>47625</xdr:rowOff>
    </xdr:from>
    <xdr:to>
      <xdr:col>1</xdr:col>
      <xdr:colOff>57150</xdr:colOff>
      <xdr:row>1774</xdr:row>
      <xdr:rowOff>104775</xdr:rowOff>
    </xdr:to>
    <xdr:pic>
      <xdr:nvPicPr>
        <xdr:cNvPr id="66134" name="Picture 760">
          <a:extLst>
            <a:ext uri="{FF2B5EF4-FFF2-40B4-BE49-F238E27FC236}">
              <a16:creationId xmlns:a16="http://schemas.microsoft.com/office/drawing/2014/main" id="{00000000-0008-0000-0200-00005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95250" y="236753400"/>
          <a:ext cx="5334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1781</xdr:row>
      <xdr:rowOff>57150</xdr:rowOff>
    </xdr:from>
    <xdr:to>
      <xdr:col>1</xdr:col>
      <xdr:colOff>123825</xdr:colOff>
      <xdr:row>1785</xdr:row>
      <xdr:rowOff>85725</xdr:rowOff>
    </xdr:to>
    <xdr:pic>
      <xdr:nvPicPr>
        <xdr:cNvPr id="66135" name="Picture 761">
          <a:extLst>
            <a:ext uri="{FF2B5EF4-FFF2-40B4-BE49-F238E27FC236}">
              <a16:creationId xmlns:a16="http://schemas.microsoft.com/office/drawing/2014/main" id="{00000000-0008-0000-0200-00005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52400" y="238229775"/>
          <a:ext cx="542925" cy="561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1788</xdr:row>
      <xdr:rowOff>28575</xdr:rowOff>
    </xdr:from>
    <xdr:to>
      <xdr:col>1</xdr:col>
      <xdr:colOff>114300</xdr:colOff>
      <xdr:row>1792</xdr:row>
      <xdr:rowOff>66675</xdr:rowOff>
    </xdr:to>
    <xdr:pic>
      <xdr:nvPicPr>
        <xdr:cNvPr id="66137" name="Picture 760">
          <a:extLst>
            <a:ext uri="{FF2B5EF4-FFF2-40B4-BE49-F238E27FC236}">
              <a16:creationId xmlns:a16="http://schemas.microsoft.com/office/drawing/2014/main" id="{00000000-0008-0000-0200-00005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152400" y="241220625"/>
          <a:ext cx="533400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1796</xdr:row>
      <xdr:rowOff>76200</xdr:rowOff>
    </xdr:from>
    <xdr:to>
      <xdr:col>4</xdr:col>
      <xdr:colOff>85725</xdr:colOff>
      <xdr:row>1799</xdr:row>
      <xdr:rowOff>47625</xdr:rowOff>
    </xdr:to>
    <xdr:pic>
      <xdr:nvPicPr>
        <xdr:cNvPr id="66138" name="Picture 905">
          <a:extLst>
            <a:ext uri="{FF2B5EF4-FFF2-40B4-BE49-F238E27FC236}">
              <a16:creationId xmlns:a16="http://schemas.microsoft.com/office/drawing/2014/main" id="{00000000-0008-0000-0200-00005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42875" y="242335050"/>
          <a:ext cx="130492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1796</xdr:row>
      <xdr:rowOff>47625</xdr:rowOff>
    </xdr:from>
    <xdr:to>
      <xdr:col>12</xdr:col>
      <xdr:colOff>133350</xdr:colOff>
      <xdr:row>1799</xdr:row>
      <xdr:rowOff>38100</xdr:rowOff>
    </xdr:to>
    <xdr:pic>
      <xdr:nvPicPr>
        <xdr:cNvPr id="66139" name="Picture 904">
          <a:extLst>
            <a:ext uri="{FF2B5EF4-FFF2-40B4-BE49-F238E27FC236}">
              <a16:creationId xmlns:a16="http://schemas.microsoft.com/office/drawing/2014/main" id="{00000000-0008-0000-0200-00005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3181350" y="242306475"/>
          <a:ext cx="11715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1819</xdr:row>
      <xdr:rowOff>47625</xdr:rowOff>
    </xdr:from>
    <xdr:to>
      <xdr:col>3</xdr:col>
      <xdr:colOff>38100</xdr:colOff>
      <xdr:row>1824</xdr:row>
      <xdr:rowOff>66675</xdr:rowOff>
    </xdr:to>
    <xdr:pic>
      <xdr:nvPicPr>
        <xdr:cNvPr id="66140" name="Picture 22702">
          <a:extLst>
            <a:ext uri="{FF2B5EF4-FFF2-40B4-BE49-F238E27FC236}">
              <a16:creationId xmlns:a16="http://schemas.microsoft.com/office/drawing/2014/main" id="{00000000-0008-0000-0200-00005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42875" y="245373525"/>
          <a:ext cx="10001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2128</xdr:row>
      <xdr:rowOff>76200</xdr:rowOff>
    </xdr:from>
    <xdr:to>
      <xdr:col>2</xdr:col>
      <xdr:colOff>123825</xdr:colOff>
      <xdr:row>2131</xdr:row>
      <xdr:rowOff>9525</xdr:rowOff>
    </xdr:to>
    <xdr:pic>
      <xdr:nvPicPr>
        <xdr:cNvPr id="66141" name="Рисунок 168">
          <a:extLst>
            <a:ext uri="{FF2B5EF4-FFF2-40B4-BE49-F238E27FC236}">
              <a16:creationId xmlns:a16="http://schemas.microsoft.com/office/drawing/2014/main" id="{00000000-0008-0000-0200-00005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142875" y="288826575"/>
          <a:ext cx="90487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2137</xdr:row>
      <xdr:rowOff>104775</xdr:rowOff>
    </xdr:from>
    <xdr:to>
      <xdr:col>3</xdr:col>
      <xdr:colOff>76200</xdr:colOff>
      <xdr:row>2139</xdr:row>
      <xdr:rowOff>57150</xdr:rowOff>
    </xdr:to>
    <xdr:pic>
      <xdr:nvPicPr>
        <xdr:cNvPr id="66143" name="Picture 114">
          <a:extLst>
            <a:ext uri="{FF2B5EF4-FFF2-40B4-BE49-F238E27FC236}">
              <a16:creationId xmlns:a16="http://schemas.microsoft.com/office/drawing/2014/main" id="{00000000-0008-0000-0200-00005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6200" y="291636450"/>
          <a:ext cx="1104900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2151</xdr:row>
      <xdr:rowOff>19050</xdr:rowOff>
    </xdr:from>
    <xdr:to>
      <xdr:col>3</xdr:col>
      <xdr:colOff>28575</xdr:colOff>
      <xdr:row>2152</xdr:row>
      <xdr:rowOff>104775</xdr:rowOff>
    </xdr:to>
    <xdr:pic>
      <xdr:nvPicPr>
        <xdr:cNvPr id="66144" name="Picture 116">
          <a:extLst>
            <a:ext uri="{FF2B5EF4-FFF2-40B4-BE49-F238E27FC236}">
              <a16:creationId xmlns:a16="http://schemas.microsoft.com/office/drawing/2014/main" id="{00000000-0008-0000-0200-00006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57150" y="293417625"/>
          <a:ext cx="1076325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2163</xdr:row>
      <xdr:rowOff>57150</xdr:rowOff>
    </xdr:from>
    <xdr:to>
      <xdr:col>4</xdr:col>
      <xdr:colOff>104775</xdr:colOff>
      <xdr:row>2165</xdr:row>
      <xdr:rowOff>47625</xdr:rowOff>
    </xdr:to>
    <xdr:pic>
      <xdr:nvPicPr>
        <xdr:cNvPr id="66145" name="Picture 119">
          <a:extLst>
            <a:ext uri="{FF2B5EF4-FFF2-40B4-BE49-F238E27FC236}">
              <a16:creationId xmlns:a16="http://schemas.microsoft.com/office/drawing/2014/main" id="{00000000-0008-0000-0200-00006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66675" y="295055925"/>
          <a:ext cx="140017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2163</xdr:row>
      <xdr:rowOff>57150</xdr:rowOff>
    </xdr:from>
    <xdr:to>
      <xdr:col>13</xdr:col>
      <xdr:colOff>123825</xdr:colOff>
      <xdr:row>2165</xdr:row>
      <xdr:rowOff>57150</xdr:rowOff>
    </xdr:to>
    <xdr:pic>
      <xdr:nvPicPr>
        <xdr:cNvPr id="66146" name="Picture 120">
          <a:extLst>
            <a:ext uri="{FF2B5EF4-FFF2-40B4-BE49-F238E27FC236}">
              <a16:creationId xmlns:a16="http://schemas.microsoft.com/office/drawing/2014/main" id="{00000000-0008-0000-0200-00006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3181350" y="295055925"/>
          <a:ext cx="140017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2179</xdr:row>
      <xdr:rowOff>114300</xdr:rowOff>
    </xdr:from>
    <xdr:to>
      <xdr:col>6</xdr:col>
      <xdr:colOff>381000</xdr:colOff>
      <xdr:row>2182</xdr:row>
      <xdr:rowOff>57150</xdr:rowOff>
    </xdr:to>
    <xdr:pic>
      <xdr:nvPicPr>
        <xdr:cNvPr id="66147" name="Picture 122">
          <a:extLst>
            <a:ext uri="{FF2B5EF4-FFF2-40B4-BE49-F238E27FC236}">
              <a16:creationId xmlns:a16="http://schemas.microsoft.com/office/drawing/2014/main" id="{00000000-0008-0000-0200-00006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76200" y="297246675"/>
          <a:ext cx="2124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2189</xdr:row>
      <xdr:rowOff>76200</xdr:rowOff>
    </xdr:from>
    <xdr:to>
      <xdr:col>6</xdr:col>
      <xdr:colOff>295275</xdr:colOff>
      <xdr:row>2191</xdr:row>
      <xdr:rowOff>85725</xdr:rowOff>
    </xdr:to>
    <xdr:pic>
      <xdr:nvPicPr>
        <xdr:cNvPr id="66148" name="Picture 124">
          <a:extLst>
            <a:ext uri="{FF2B5EF4-FFF2-40B4-BE49-F238E27FC236}">
              <a16:creationId xmlns:a16="http://schemas.microsoft.com/office/drawing/2014/main" id="{00000000-0008-0000-0200-00006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66675" y="298542075"/>
          <a:ext cx="2047875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2189</xdr:row>
      <xdr:rowOff>57150</xdr:rowOff>
    </xdr:from>
    <xdr:to>
      <xdr:col>16</xdr:col>
      <xdr:colOff>409575</xdr:colOff>
      <xdr:row>2191</xdr:row>
      <xdr:rowOff>66675</xdr:rowOff>
    </xdr:to>
    <xdr:pic>
      <xdr:nvPicPr>
        <xdr:cNvPr id="66149" name="Picture 123">
          <a:extLst>
            <a:ext uri="{FF2B5EF4-FFF2-40B4-BE49-F238E27FC236}">
              <a16:creationId xmlns:a16="http://schemas.microsoft.com/office/drawing/2014/main" id="{00000000-0008-0000-0200-00006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3152775" y="298523025"/>
          <a:ext cx="217170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2198</xdr:row>
      <xdr:rowOff>19050</xdr:rowOff>
    </xdr:from>
    <xdr:to>
      <xdr:col>7</xdr:col>
      <xdr:colOff>504825</xdr:colOff>
      <xdr:row>2200</xdr:row>
      <xdr:rowOff>9525</xdr:rowOff>
    </xdr:to>
    <xdr:pic>
      <xdr:nvPicPr>
        <xdr:cNvPr id="66150" name="Picture 35945">
          <a:extLst>
            <a:ext uri="{FF2B5EF4-FFF2-40B4-BE49-F238E27FC236}">
              <a16:creationId xmlns:a16="http://schemas.microsoft.com/office/drawing/2014/main" id="{00000000-0008-0000-0200-00006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85725" y="299685075"/>
          <a:ext cx="279082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2210</xdr:row>
      <xdr:rowOff>76200</xdr:rowOff>
    </xdr:from>
    <xdr:to>
      <xdr:col>4</xdr:col>
      <xdr:colOff>257175</xdr:colOff>
      <xdr:row>2211</xdr:row>
      <xdr:rowOff>95250</xdr:rowOff>
    </xdr:to>
    <xdr:pic>
      <xdr:nvPicPr>
        <xdr:cNvPr id="66151" name="Picture 476">
          <a:extLst>
            <a:ext uri="{FF2B5EF4-FFF2-40B4-BE49-F238E27FC236}">
              <a16:creationId xmlns:a16="http://schemas.microsoft.com/office/drawing/2014/main" id="{00000000-0008-0000-0200-00006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152400" y="301342425"/>
          <a:ext cx="1466850" cy="152400"/>
        </a:xfrm>
        <a:prstGeom prst="rect">
          <a:avLst/>
        </a:prstGeom>
        <a:solidFill>
          <a:srgbClr val="FFFFFF"/>
        </a:solidFill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2228</xdr:row>
      <xdr:rowOff>85725</xdr:rowOff>
    </xdr:from>
    <xdr:to>
      <xdr:col>3</xdr:col>
      <xdr:colOff>142875</xdr:colOff>
      <xdr:row>2232</xdr:row>
      <xdr:rowOff>57150</xdr:rowOff>
    </xdr:to>
    <xdr:pic>
      <xdr:nvPicPr>
        <xdr:cNvPr id="66152" name="Picture 133">
          <a:extLst>
            <a:ext uri="{FF2B5EF4-FFF2-40B4-BE49-F238E27FC236}">
              <a16:creationId xmlns:a16="http://schemas.microsoft.com/office/drawing/2014/main" id="{00000000-0008-0000-0200-00006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0" y="303752250"/>
          <a:ext cx="124777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2228</xdr:row>
      <xdr:rowOff>57150</xdr:rowOff>
    </xdr:from>
    <xdr:to>
      <xdr:col>17</xdr:col>
      <xdr:colOff>333375</xdr:colOff>
      <xdr:row>2232</xdr:row>
      <xdr:rowOff>95250</xdr:rowOff>
    </xdr:to>
    <xdr:pic>
      <xdr:nvPicPr>
        <xdr:cNvPr id="66153" name="Picture 128">
          <a:extLst>
            <a:ext uri="{FF2B5EF4-FFF2-40B4-BE49-F238E27FC236}">
              <a16:creationId xmlns:a16="http://schemas.microsoft.com/office/drawing/2014/main" id="{00000000-0008-0000-0200-00006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3143250" y="303723675"/>
          <a:ext cx="2657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1674</xdr:row>
      <xdr:rowOff>47625</xdr:rowOff>
    </xdr:from>
    <xdr:to>
      <xdr:col>11</xdr:col>
      <xdr:colOff>28575</xdr:colOff>
      <xdr:row>1677</xdr:row>
      <xdr:rowOff>95250</xdr:rowOff>
    </xdr:to>
    <xdr:pic>
      <xdr:nvPicPr>
        <xdr:cNvPr id="66154" name="Picture 3880">
          <a:extLst>
            <a:ext uri="{FF2B5EF4-FFF2-40B4-BE49-F238E27FC236}">
              <a16:creationId xmlns:a16="http://schemas.microsoft.com/office/drawing/2014/main" id="{00000000-0008-0000-0200-00006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3200400" y="223951800"/>
          <a:ext cx="8667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1438</xdr:row>
      <xdr:rowOff>85725</xdr:rowOff>
    </xdr:from>
    <xdr:to>
      <xdr:col>2</xdr:col>
      <xdr:colOff>142875</xdr:colOff>
      <xdr:row>1441</xdr:row>
      <xdr:rowOff>95250</xdr:rowOff>
    </xdr:to>
    <xdr:pic>
      <xdr:nvPicPr>
        <xdr:cNvPr id="66155" name="Picture 97">
          <a:extLst>
            <a:ext uri="{FF2B5EF4-FFF2-40B4-BE49-F238E27FC236}">
              <a16:creationId xmlns:a16="http://schemas.microsoft.com/office/drawing/2014/main" id="{00000000-0008-0000-0200-00006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2405000"/>
          <a:ext cx="942975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1286</xdr:row>
      <xdr:rowOff>85725</xdr:rowOff>
    </xdr:from>
    <xdr:to>
      <xdr:col>4</xdr:col>
      <xdr:colOff>400050</xdr:colOff>
      <xdr:row>1290</xdr:row>
      <xdr:rowOff>47625</xdr:rowOff>
    </xdr:to>
    <xdr:pic>
      <xdr:nvPicPr>
        <xdr:cNvPr id="66156" name="Рисунок 165">
          <a:extLst>
            <a:ext uri="{FF2B5EF4-FFF2-40B4-BE49-F238E27FC236}">
              <a16:creationId xmlns:a16="http://schemas.microsoft.com/office/drawing/2014/main" id="{00000000-0008-0000-0200-00006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57150" y="172154850"/>
          <a:ext cx="17049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1811</xdr:row>
      <xdr:rowOff>19050</xdr:rowOff>
    </xdr:from>
    <xdr:to>
      <xdr:col>6</xdr:col>
      <xdr:colOff>200025</xdr:colOff>
      <xdr:row>1814</xdr:row>
      <xdr:rowOff>66675</xdr:rowOff>
    </xdr:to>
    <xdr:pic>
      <xdr:nvPicPr>
        <xdr:cNvPr id="66157" name="Рисунок 167">
          <a:extLst>
            <a:ext uri="{FF2B5EF4-FFF2-40B4-BE49-F238E27FC236}">
              <a16:creationId xmlns:a16="http://schemas.microsoft.com/office/drawing/2014/main" id="{00000000-0008-0000-0200-00006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57150" y="244278150"/>
          <a:ext cx="19621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680</xdr:row>
      <xdr:rowOff>19050</xdr:rowOff>
    </xdr:from>
    <xdr:to>
      <xdr:col>6</xdr:col>
      <xdr:colOff>428625</xdr:colOff>
      <xdr:row>683</xdr:row>
      <xdr:rowOff>0</xdr:rowOff>
    </xdr:to>
    <xdr:pic>
      <xdr:nvPicPr>
        <xdr:cNvPr id="66158" name="Picture 599">
          <a:extLst>
            <a:ext uri="{FF2B5EF4-FFF2-40B4-BE49-F238E27FC236}">
              <a16:creationId xmlns:a16="http://schemas.microsoft.com/office/drawing/2014/main" id="{00000000-0008-0000-0200-00006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95250" y="90878025"/>
          <a:ext cx="21526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1843</xdr:row>
      <xdr:rowOff>0</xdr:rowOff>
    </xdr:from>
    <xdr:to>
      <xdr:col>4</xdr:col>
      <xdr:colOff>38100</xdr:colOff>
      <xdr:row>1846</xdr:row>
      <xdr:rowOff>123825</xdr:rowOff>
    </xdr:to>
    <xdr:pic>
      <xdr:nvPicPr>
        <xdr:cNvPr id="66159" name="Рисунок 156">
          <a:extLst>
            <a:ext uri="{FF2B5EF4-FFF2-40B4-BE49-F238E27FC236}">
              <a16:creationId xmlns:a16="http://schemas.microsoft.com/office/drawing/2014/main" id="{00000000-0008-0000-0200-00006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114300" y="248583450"/>
          <a:ext cx="12858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1886</xdr:row>
      <xdr:rowOff>0</xdr:rowOff>
    </xdr:from>
    <xdr:to>
      <xdr:col>6</xdr:col>
      <xdr:colOff>171450</xdr:colOff>
      <xdr:row>1890</xdr:row>
      <xdr:rowOff>133350</xdr:rowOff>
    </xdr:to>
    <xdr:pic>
      <xdr:nvPicPr>
        <xdr:cNvPr id="66160" name="Рисунок 157">
          <a:extLst>
            <a:ext uri="{FF2B5EF4-FFF2-40B4-BE49-F238E27FC236}">
              <a16:creationId xmlns:a16="http://schemas.microsoft.com/office/drawing/2014/main" id="{00000000-0008-0000-0200-00007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0" y="254317500"/>
          <a:ext cx="1990725" cy="666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1910</xdr:row>
      <xdr:rowOff>0</xdr:rowOff>
    </xdr:from>
    <xdr:to>
      <xdr:col>4</xdr:col>
      <xdr:colOff>447675</xdr:colOff>
      <xdr:row>1913</xdr:row>
      <xdr:rowOff>123825</xdr:rowOff>
    </xdr:to>
    <xdr:pic>
      <xdr:nvPicPr>
        <xdr:cNvPr id="66161" name="Рисунок 158">
          <a:extLst>
            <a:ext uri="{FF2B5EF4-FFF2-40B4-BE49-F238E27FC236}">
              <a16:creationId xmlns:a16="http://schemas.microsoft.com/office/drawing/2014/main" id="{00000000-0008-0000-0200-00007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0" y="257984625"/>
          <a:ext cx="18097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2014</xdr:row>
      <xdr:rowOff>0</xdr:rowOff>
    </xdr:from>
    <xdr:to>
      <xdr:col>6</xdr:col>
      <xdr:colOff>123825</xdr:colOff>
      <xdr:row>2018</xdr:row>
      <xdr:rowOff>114300</xdr:rowOff>
    </xdr:to>
    <xdr:pic>
      <xdr:nvPicPr>
        <xdr:cNvPr id="66162" name="Рисунок 160">
          <a:extLst>
            <a:ext uri="{FF2B5EF4-FFF2-40B4-BE49-F238E27FC236}">
              <a16:creationId xmlns:a16="http://schemas.microsoft.com/office/drawing/2014/main" id="{00000000-0008-0000-0200-00007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209550" y="272272125"/>
          <a:ext cx="17335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1880</xdr:row>
      <xdr:rowOff>0</xdr:rowOff>
    </xdr:from>
    <xdr:to>
      <xdr:col>7</xdr:col>
      <xdr:colOff>514350</xdr:colOff>
      <xdr:row>1882</xdr:row>
      <xdr:rowOff>133350</xdr:rowOff>
    </xdr:to>
    <xdr:pic>
      <xdr:nvPicPr>
        <xdr:cNvPr id="66163" name="Рисунок 162">
          <a:extLst>
            <a:ext uri="{FF2B5EF4-FFF2-40B4-BE49-F238E27FC236}">
              <a16:creationId xmlns:a16="http://schemas.microsoft.com/office/drawing/2014/main" id="{00000000-0008-0000-0200-00007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0" y="253517400"/>
          <a:ext cx="288607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1953</xdr:row>
      <xdr:rowOff>114300</xdr:rowOff>
    </xdr:from>
    <xdr:to>
      <xdr:col>6</xdr:col>
      <xdr:colOff>133350</xdr:colOff>
      <xdr:row>1958</xdr:row>
      <xdr:rowOff>133350</xdr:rowOff>
    </xdr:to>
    <xdr:pic>
      <xdr:nvPicPr>
        <xdr:cNvPr id="66164" name="Рисунок 163">
          <a:extLst>
            <a:ext uri="{FF2B5EF4-FFF2-40B4-BE49-F238E27FC236}">
              <a16:creationId xmlns:a16="http://schemas.microsoft.com/office/drawing/2014/main" id="{00000000-0008-0000-0200-00007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285750" y="264252075"/>
          <a:ext cx="16668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1981</xdr:row>
      <xdr:rowOff>0</xdr:rowOff>
    </xdr:from>
    <xdr:to>
      <xdr:col>7</xdr:col>
      <xdr:colOff>371475</xdr:colOff>
      <xdr:row>1983</xdr:row>
      <xdr:rowOff>133350</xdr:rowOff>
    </xdr:to>
    <xdr:pic>
      <xdr:nvPicPr>
        <xdr:cNvPr id="66165" name="Рисунок 162">
          <a:extLst>
            <a:ext uri="{FF2B5EF4-FFF2-40B4-BE49-F238E27FC236}">
              <a16:creationId xmlns:a16="http://schemas.microsoft.com/office/drawing/2014/main" id="{00000000-0008-0000-0200-00007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0" y="267871575"/>
          <a:ext cx="274320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200025</xdr:colOff>
      <xdr:row>1894</xdr:row>
      <xdr:rowOff>57150</xdr:rowOff>
    </xdr:from>
    <xdr:to>
      <xdr:col>4</xdr:col>
      <xdr:colOff>123825</xdr:colOff>
      <xdr:row>1901</xdr:row>
      <xdr:rowOff>76200</xdr:rowOff>
    </xdr:to>
    <xdr:pic>
      <xdr:nvPicPr>
        <xdr:cNvPr id="66166" name="Рисунок 165">
          <a:extLst>
            <a:ext uri="{FF2B5EF4-FFF2-40B4-BE49-F238E27FC236}">
              <a16:creationId xmlns:a16="http://schemas.microsoft.com/office/drawing/2014/main" id="{00000000-0008-0000-0200-00007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200025" y="255441450"/>
          <a:ext cx="1285875" cy="952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1935</xdr:row>
      <xdr:rowOff>114300</xdr:rowOff>
    </xdr:from>
    <xdr:to>
      <xdr:col>2</xdr:col>
      <xdr:colOff>28575</xdr:colOff>
      <xdr:row>1940</xdr:row>
      <xdr:rowOff>104775</xdr:rowOff>
    </xdr:to>
    <xdr:pic>
      <xdr:nvPicPr>
        <xdr:cNvPr id="66167" name="Рисунок 167">
          <a:extLst>
            <a:ext uri="{FF2B5EF4-FFF2-40B4-BE49-F238E27FC236}">
              <a16:creationId xmlns:a16="http://schemas.microsoft.com/office/drawing/2014/main" id="{00000000-0008-0000-0200-00007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276225" y="261432675"/>
          <a:ext cx="676275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2084</xdr:row>
      <xdr:rowOff>9525</xdr:rowOff>
    </xdr:from>
    <xdr:to>
      <xdr:col>7</xdr:col>
      <xdr:colOff>9525</xdr:colOff>
      <xdr:row>2087</xdr:row>
      <xdr:rowOff>104775</xdr:rowOff>
    </xdr:to>
    <xdr:pic>
      <xdr:nvPicPr>
        <xdr:cNvPr id="66168" name="Рисунок 169">
          <a:extLst>
            <a:ext uri="{FF2B5EF4-FFF2-40B4-BE49-F238E27FC236}">
              <a16:creationId xmlns:a16="http://schemas.microsoft.com/office/drawing/2014/main" id="{00000000-0008-0000-0200-00007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361950" y="282492450"/>
          <a:ext cx="201930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1904</xdr:row>
      <xdr:rowOff>123825</xdr:rowOff>
    </xdr:from>
    <xdr:to>
      <xdr:col>3</xdr:col>
      <xdr:colOff>123825</xdr:colOff>
      <xdr:row>1906</xdr:row>
      <xdr:rowOff>561975</xdr:rowOff>
    </xdr:to>
    <xdr:pic>
      <xdr:nvPicPr>
        <xdr:cNvPr id="66169" name="Рисунок 167">
          <a:extLst>
            <a:ext uri="{FF2B5EF4-FFF2-40B4-BE49-F238E27FC236}">
              <a16:creationId xmlns:a16="http://schemas.microsoft.com/office/drawing/2014/main" id="{00000000-0008-0000-0200-00007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295275" y="256841625"/>
          <a:ext cx="933450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1869</xdr:row>
      <xdr:rowOff>0</xdr:rowOff>
    </xdr:from>
    <xdr:to>
      <xdr:col>6</xdr:col>
      <xdr:colOff>133350</xdr:colOff>
      <xdr:row>1873</xdr:row>
      <xdr:rowOff>9525</xdr:rowOff>
    </xdr:to>
    <xdr:pic>
      <xdr:nvPicPr>
        <xdr:cNvPr id="66170" name="Рисунок 168">
          <a:extLst>
            <a:ext uri="{FF2B5EF4-FFF2-40B4-BE49-F238E27FC236}">
              <a16:creationId xmlns:a16="http://schemas.microsoft.com/office/drawing/2014/main" id="{00000000-0008-0000-0200-00007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0" y="252050550"/>
          <a:ext cx="1952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1927</xdr:row>
      <xdr:rowOff>19050</xdr:rowOff>
    </xdr:from>
    <xdr:to>
      <xdr:col>6</xdr:col>
      <xdr:colOff>228600</xdr:colOff>
      <xdr:row>1933</xdr:row>
      <xdr:rowOff>114300</xdr:rowOff>
    </xdr:to>
    <xdr:pic>
      <xdr:nvPicPr>
        <xdr:cNvPr id="66171" name="Рисунок 170">
          <a:extLst>
            <a:ext uri="{FF2B5EF4-FFF2-40B4-BE49-F238E27FC236}">
              <a16:creationId xmlns:a16="http://schemas.microsoft.com/office/drawing/2014/main" id="{00000000-0008-0000-0200-00007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333375" y="260270625"/>
          <a:ext cx="1714500" cy="895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1949</xdr:row>
      <xdr:rowOff>0</xdr:rowOff>
    </xdr:from>
    <xdr:to>
      <xdr:col>6</xdr:col>
      <xdr:colOff>171450</xdr:colOff>
      <xdr:row>1951</xdr:row>
      <xdr:rowOff>457200</xdr:rowOff>
    </xdr:to>
    <xdr:pic>
      <xdr:nvPicPr>
        <xdr:cNvPr id="66172" name="Рисунок 171">
          <a:extLst>
            <a:ext uri="{FF2B5EF4-FFF2-40B4-BE49-F238E27FC236}">
              <a16:creationId xmlns:a16="http://schemas.microsoft.com/office/drawing/2014/main" id="{00000000-0008-0000-0200-00007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295275" y="263185275"/>
          <a:ext cx="16954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266700</xdr:colOff>
      <xdr:row>1964</xdr:row>
      <xdr:rowOff>104775</xdr:rowOff>
    </xdr:from>
    <xdr:to>
      <xdr:col>3</xdr:col>
      <xdr:colOff>257175</xdr:colOff>
      <xdr:row>1969</xdr:row>
      <xdr:rowOff>123825</xdr:rowOff>
    </xdr:to>
    <xdr:pic>
      <xdr:nvPicPr>
        <xdr:cNvPr id="66173" name="Рисунок 172">
          <a:extLst>
            <a:ext uri="{FF2B5EF4-FFF2-40B4-BE49-F238E27FC236}">
              <a16:creationId xmlns:a16="http://schemas.microsoft.com/office/drawing/2014/main" id="{00000000-0008-0000-0200-00007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266700" y="265709400"/>
          <a:ext cx="10953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1972</xdr:row>
      <xdr:rowOff>0</xdr:rowOff>
    </xdr:from>
    <xdr:to>
      <xdr:col>8</xdr:col>
      <xdr:colOff>123825</xdr:colOff>
      <xdr:row>1975</xdr:row>
      <xdr:rowOff>133350</xdr:rowOff>
    </xdr:to>
    <xdr:pic>
      <xdr:nvPicPr>
        <xdr:cNvPr id="66174" name="Рисунок 170">
          <a:extLst>
            <a:ext uri="{FF2B5EF4-FFF2-40B4-BE49-F238E27FC236}">
              <a16:creationId xmlns:a16="http://schemas.microsoft.com/office/drawing/2014/main" id="{00000000-0008-0000-0200-00007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0" y="266671425"/>
          <a:ext cx="304800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1986</xdr:row>
      <xdr:rowOff>104775</xdr:rowOff>
    </xdr:from>
    <xdr:to>
      <xdr:col>6</xdr:col>
      <xdr:colOff>38100</xdr:colOff>
      <xdr:row>1991</xdr:row>
      <xdr:rowOff>123825</xdr:rowOff>
    </xdr:to>
    <xdr:pic>
      <xdr:nvPicPr>
        <xdr:cNvPr id="66175" name="Рисунок 172">
          <a:extLst>
            <a:ext uri="{FF2B5EF4-FFF2-40B4-BE49-F238E27FC236}">
              <a16:creationId xmlns:a16="http://schemas.microsoft.com/office/drawing/2014/main" id="{00000000-0008-0000-0200-00007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295275" y="268643100"/>
          <a:ext cx="1562100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323850</xdr:colOff>
      <xdr:row>1993</xdr:row>
      <xdr:rowOff>104775</xdr:rowOff>
    </xdr:from>
    <xdr:to>
      <xdr:col>3</xdr:col>
      <xdr:colOff>28575</xdr:colOff>
      <xdr:row>1998</xdr:row>
      <xdr:rowOff>123825</xdr:rowOff>
    </xdr:to>
    <xdr:pic>
      <xdr:nvPicPr>
        <xdr:cNvPr id="66176" name="Рисунок 173">
          <a:extLst>
            <a:ext uri="{FF2B5EF4-FFF2-40B4-BE49-F238E27FC236}">
              <a16:creationId xmlns:a16="http://schemas.microsoft.com/office/drawing/2014/main" id="{00000000-0008-0000-0200-00008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323850" y="269576550"/>
          <a:ext cx="8096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2000</xdr:row>
      <xdr:rowOff>114300</xdr:rowOff>
    </xdr:from>
    <xdr:to>
      <xdr:col>6</xdr:col>
      <xdr:colOff>38100</xdr:colOff>
      <xdr:row>2004</xdr:row>
      <xdr:rowOff>123825</xdr:rowOff>
    </xdr:to>
    <xdr:pic>
      <xdr:nvPicPr>
        <xdr:cNvPr id="66177" name="Рисунок 174">
          <a:extLst>
            <a:ext uri="{FF2B5EF4-FFF2-40B4-BE49-F238E27FC236}">
              <a16:creationId xmlns:a16="http://schemas.microsoft.com/office/drawing/2014/main" id="{00000000-0008-0000-0200-00008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285750" y="270519525"/>
          <a:ext cx="1571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390525</xdr:colOff>
      <xdr:row>2006</xdr:row>
      <xdr:rowOff>95250</xdr:rowOff>
    </xdr:from>
    <xdr:to>
      <xdr:col>3</xdr:col>
      <xdr:colOff>133350</xdr:colOff>
      <xdr:row>2011</xdr:row>
      <xdr:rowOff>114300</xdr:rowOff>
    </xdr:to>
    <xdr:pic>
      <xdr:nvPicPr>
        <xdr:cNvPr id="66178" name="Рисунок 175">
          <a:extLst>
            <a:ext uri="{FF2B5EF4-FFF2-40B4-BE49-F238E27FC236}">
              <a16:creationId xmlns:a16="http://schemas.microsoft.com/office/drawing/2014/main" id="{00000000-0008-0000-0200-00008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390525" y="271300575"/>
          <a:ext cx="8477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2041</xdr:row>
      <xdr:rowOff>104775</xdr:rowOff>
    </xdr:from>
    <xdr:to>
      <xdr:col>1</xdr:col>
      <xdr:colOff>352425</xdr:colOff>
      <xdr:row>2046</xdr:row>
      <xdr:rowOff>123825</xdr:rowOff>
    </xdr:to>
    <xdr:pic>
      <xdr:nvPicPr>
        <xdr:cNvPr id="66179" name="Рисунок 176">
          <a:extLst>
            <a:ext uri="{FF2B5EF4-FFF2-40B4-BE49-F238E27FC236}">
              <a16:creationId xmlns:a16="http://schemas.microsoft.com/office/drawing/2014/main" id="{00000000-0008-0000-0200-00008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361950" y="276110700"/>
          <a:ext cx="5619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2051</xdr:row>
      <xdr:rowOff>114300</xdr:rowOff>
    </xdr:from>
    <xdr:to>
      <xdr:col>6</xdr:col>
      <xdr:colOff>314325</xdr:colOff>
      <xdr:row>2055</xdr:row>
      <xdr:rowOff>495300</xdr:rowOff>
    </xdr:to>
    <xdr:pic>
      <xdr:nvPicPr>
        <xdr:cNvPr id="66180" name="Рисунок 177">
          <a:extLst>
            <a:ext uri="{FF2B5EF4-FFF2-40B4-BE49-F238E27FC236}">
              <a16:creationId xmlns:a16="http://schemas.microsoft.com/office/drawing/2014/main" id="{00000000-0008-0000-0200-00008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276225" y="277453725"/>
          <a:ext cx="1857375" cy="914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2033</xdr:row>
      <xdr:rowOff>114300</xdr:rowOff>
    </xdr:from>
    <xdr:to>
      <xdr:col>4</xdr:col>
      <xdr:colOff>390525</xdr:colOff>
      <xdr:row>2039</xdr:row>
      <xdr:rowOff>257175</xdr:rowOff>
    </xdr:to>
    <xdr:pic>
      <xdr:nvPicPr>
        <xdr:cNvPr id="66181" name="Рисунок 178">
          <a:extLst>
            <a:ext uri="{FF2B5EF4-FFF2-40B4-BE49-F238E27FC236}">
              <a16:creationId xmlns:a16="http://schemas.microsoft.com/office/drawing/2014/main" id="{00000000-0008-0000-0200-00008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333375" y="274920075"/>
          <a:ext cx="1419225" cy="942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2062</xdr:row>
      <xdr:rowOff>123825</xdr:rowOff>
    </xdr:from>
    <xdr:to>
      <xdr:col>8</xdr:col>
      <xdr:colOff>133350</xdr:colOff>
      <xdr:row>2066</xdr:row>
      <xdr:rowOff>114300</xdr:rowOff>
    </xdr:to>
    <xdr:pic>
      <xdr:nvPicPr>
        <xdr:cNvPr id="66182" name="Рисунок 180">
          <a:extLst>
            <a:ext uri="{FF2B5EF4-FFF2-40B4-BE49-F238E27FC236}">
              <a16:creationId xmlns:a16="http://schemas.microsoft.com/office/drawing/2014/main" id="{00000000-0008-0000-0200-00008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09550" y="279673050"/>
          <a:ext cx="28479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2069</xdr:row>
      <xdr:rowOff>0</xdr:rowOff>
    </xdr:from>
    <xdr:to>
      <xdr:col>8</xdr:col>
      <xdr:colOff>142875</xdr:colOff>
      <xdr:row>2072</xdr:row>
      <xdr:rowOff>123825</xdr:rowOff>
    </xdr:to>
    <xdr:pic>
      <xdr:nvPicPr>
        <xdr:cNvPr id="66183" name="Рисунок 181">
          <a:extLst>
            <a:ext uri="{FF2B5EF4-FFF2-40B4-BE49-F238E27FC236}">
              <a16:creationId xmlns:a16="http://schemas.microsoft.com/office/drawing/2014/main" id="{00000000-0008-0000-0200-00008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28600" y="280482675"/>
          <a:ext cx="28384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2075</xdr:row>
      <xdr:rowOff>57150</xdr:rowOff>
    </xdr:from>
    <xdr:to>
      <xdr:col>8</xdr:col>
      <xdr:colOff>123825</xdr:colOff>
      <xdr:row>2079</xdr:row>
      <xdr:rowOff>28575</xdr:rowOff>
    </xdr:to>
    <xdr:pic>
      <xdr:nvPicPr>
        <xdr:cNvPr id="66184" name="Рисунок 182">
          <a:extLst>
            <a:ext uri="{FF2B5EF4-FFF2-40B4-BE49-F238E27FC236}">
              <a16:creationId xmlns:a16="http://schemas.microsoft.com/office/drawing/2014/main" id="{00000000-0008-0000-0200-00008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0" y="281339925"/>
          <a:ext cx="304800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419100</xdr:colOff>
      <xdr:row>2089</xdr:row>
      <xdr:rowOff>114300</xdr:rowOff>
    </xdr:from>
    <xdr:to>
      <xdr:col>4</xdr:col>
      <xdr:colOff>342900</xdr:colOff>
      <xdr:row>2092</xdr:row>
      <xdr:rowOff>257175</xdr:rowOff>
    </xdr:to>
    <xdr:pic>
      <xdr:nvPicPr>
        <xdr:cNvPr id="66185" name="Рисунок 183">
          <a:extLst>
            <a:ext uri="{FF2B5EF4-FFF2-40B4-BE49-F238E27FC236}">
              <a16:creationId xmlns:a16="http://schemas.microsoft.com/office/drawing/2014/main" id="{00000000-0008-0000-0200-00008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419100" y="283263975"/>
          <a:ext cx="128587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2111</xdr:row>
      <xdr:rowOff>57150</xdr:rowOff>
    </xdr:from>
    <xdr:to>
      <xdr:col>6</xdr:col>
      <xdr:colOff>114300</xdr:colOff>
      <xdr:row>2115</xdr:row>
      <xdr:rowOff>47625</xdr:rowOff>
    </xdr:to>
    <xdr:pic>
      <xdr:nvPicPr>
        <xdr:cNvPr id="66186" name="Рисунок 184">
          <a:extLst>
            <a:ext uri="{FF2B5EF4-FFF2-40B4-BE49-F238E27FC236}">
              <a16:creationId xmlns:a16="http://schemas.microsoft.com/office/drawing/2014/main" id="{00000000-0008-0000-0200-00008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104775" y="286483425"/>
          <a:ext cx="18288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2094</xdr:row>
      <xdr:rowOff>123825</xdr:rowOff>
    </xdr:from>
    <xdr:to>
      <xdr:col>6</xdr:col>
      <xdr:colOff>161925</xdr:colOff>
      <xdr:row>2098</xdr:row>
      <xdr:rowOff>314325</xdr:rowOff>
    </xdr:to>
    <xdr:pic>
      <xdr:nvPicPr>
        <xdr:cNvPr id="66187" name="Рисунок 185">
          <a:extLst>
            <a:ext uri="{FF2B5EF4-FFF2-40B4-BE49-F238E27FC236}">
              <a16:creationId xmlns:a16="http://schemas.microsoft.com/office/drawing/2014/main" id="{00000000-0008-0000-0200-00008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361950" y="284073600"/>
          <a:ext cx="16192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2057</xdr:row>
      <xdr:rowOff>114300</xdr:rowOff>
    </xdr:from>
    <xdr:to>
      <xdr:col>4</xdr:col>
      <xdr:colOff>171450</xdr:colOff>
      <xdr:row>2060</xdr:row>
      <xdr:rowOff>457200</xdr:rowOff>
    </xdr:to>
    <xdr:pic>
      <xdr:nvPicPr>
        <xdr:cNvPr id="66188" name="Рисунок 184">
          <a:extLst>
            <a:ext uri="{FF2B5EF4-FFF2-40B4-BE49-F238E27FC236}">
              <a16:creationId xmlns:a16="http://schemas.microsoft.com/office/drawing/2014/main" id="{00000000-0008-0000-0200-00008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285750" y="278653875"/>
          <a:ext cx="12477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104</xdr:row>
      <xdr:rowOff>123825</xdr:rowOff>
    </xdr:from>
    <xdr:to>
      <xdr:col>7</xdr:col>
      <xdr:colOff>285750</xdr:colOff>
      <xdr:row>108</xdr:row>
      <xdr:rowOff>9525</xdr:rowOff>
    </xdr:to>
    <xdr:pic>
      <xdr:nvPicPr>
        <xdr:cNvPr id="66189" name="Рисунок 186">
          <a:extLst>
            <a:ext uri="{FF2B5EF4-FFF2-40B4-BE49-F238E27FC236}">
              <a16:creationId xmlns:a16="http://schemas.microsoft.com/office/drawing/2014/main" id="{00000000-0008-0000-0200-00008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161925" y="14058900"/>
          <a:ext cx="249555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146</xdr:row>
      <xdr:rowOff>104775</xdr:rowOff>
    </xdr:from>
    <xdr:to>
      <xdr:col>6</xdr:col>
      <xdr:colOff>38100</xdr:colOff>
      <xdr:row>150</xdr:row>
      <xdr:rowOff>0</xdr:rowOff>
    </xdr:to>
    <xdr:pic>
      <xdr:nvPicPr>
        <xdr:cNvPr id="66190" name="Рисунок 187">
          <a:extLst>
            <a:ext uri="{FF2B5EF4-FFF2-40B4-BE49-F238E27FC236}">
              <a16:creationId xmlns:a16="http://schemas.microsoft.com/office/drawing/2014/main" id="{00000000-0008-0000-0200-00008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152400" y="19640550"/>
          <a:ext cx="170497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2101</xdr:row>
      <xdr:rowOff>57150</xdr:rowOff>
    </xdr:from>
    <xdr:to>
      <xdr:col>4</xdr:col>
      <xdr:colOff>114300</xdr:colOff>
      <xdr:row>2104</xdr:row>
      <xdr:rowOff>47625</xdr:rowOff>
    </xdr:to>
    <xdr:pic>
      <xdr:nvPicPr>
        <xdr:cNvPr id="66191" name="Рисунок 165">
          <a:extLst>
            <a:ext uri="{FF2B5EF4-FFF2-40B4-BE49-F238E27FC236}">
              <a16:creationId xmlns:a16="http://schemas.microsoft.com/office/drawing/2014/main" id="{00000000-0008-0000-0200-00008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76200" y="285149925"/>
          <a:ext cx="14001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 editAs="oneCell">
    <xdr:from>
      <xdr:col>0</xdr:col>
      <xdr:colOff>0</xdr:colOff>
      <xdr:row>619</xdr:row>
      <xdr:rowOff>0</xdr:rowOff>
    </xdr:from>
    <xdr:to>
      <xdr:col>4</xdr:col>
      <xdr:colOff>104775</xdr:colOff>
      <xdr:row>622</xdr:row>
      <xdr:rowOff>9525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AC4BDE8-A3CF-4E6C-A915-118E942E34E4}"/>
            </a:ext>
            <a:ext uri="{147F2762-F138-4A5C-976F-8EAC2B608ADB}">
              <a16:predDERef xmlns:a16="http://schemas.microsoft.com/office/drawing/2014/main" pred="{00000000-0008-0000-0200-00008F02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0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619</xdr:row>
      <xdr:rowOff>0</xdr:rowOff>
    </xdr:from>
    <xdr:to>
      <xdr:col>13</xdr:col>
      <xdr:colOff>123825</xdr:colOff>
      <xdr:row>622</xdr:row>
      <xdr:rowOff>9525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249358-F6C3-4B28-9BB3-08FD5506A4FE}"/>
            </a:ext>
            <a:ext uri="{147F2762-F138-4A5C-976F-8EAC2B608ADB}">
              <a16:predDERef xmlns:a16="http://schemas.microsoft.com/office/drawing/2014/main" pred="{DAC4BDE8-A3CF-4E6C-A915-118E942E3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3114675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4</xdr:col>
      <xdr:colOff>266700</xdr:colOff>
      <xdr:row>652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2E84BE9-EFA1-4C0A-91F2-D937C2D77523}"/>
            </a:ext>
            <a:ext uri="{147F2762-F138-4A5C-976F-8EAC2B608ADB}">
              <a16:predDERef xmlns:a16="http://schemas.microsoft.com/office/drawing/2014/main" pred="{6F249358-F6C3-4B28-9BB3-08FD5506A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0" y="86725125"/>
          <a:ext cx="1628775" cy="4191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649</xdr:row>
      <xdr:rowOff>0</xdr:rowOff>
    </xdr:from>
    <xdr:to>
      <xdr:col>13</xdr:col>
      <xdr:colOff>285750</xdr:colOff>
      <xdr:row>652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8FC6BA-2FE1-4CB6-8CD1-7A1921EF7168}"/>
            </a:ext>
            <a:ext uri="{147F2762-F138-4A5C-976F-8EAC2B608ADB}">
              <a16:predDERef xmlns:a16="http://schemas.microsoft.com/office/drawing/2014/main" pred="{02E84BE9-EFA1-4C0A-91F2-D937C2D77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3114675" y="86725125"/>
          <a:ext cx="1628775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671</xdr:row>
      <xdr:rowOff>0</xdr:rowOff>
    </xdr:from>
    <xdr:to>
      <xdr:col>6</xdr:col>
      <xdr:colOff>542925</xdr:colOff>
      <xdr:row>675</xdr:row>
      <xdr:rowOff>76200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9DE6E0A8-A662-4AE4-BA7E-6C7FCB5F22FE}"/>
            </a:ext>
            <a:ext uri="{147F2762-F138-4A5C-976F-8EAC2B608ADB}">
              <a16:predDERef xmlns:a16="http://schemas.microsoft.com/office/drawing/2014/main" pred="{008FC6BA-2FE1-4CB6-8CD1-7A1921EF7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/>
        <a:stretch>
          <a:fillRect/>
        </a:stretch>
      </xdr:blipFill>
      <xdr:spPr>
        <a:xfrm>
          <a:off x="0" y="89658825"/>
          <a:ext cx="23622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43"/>
  <sheetViews>
    <sheetView topLeftCell="A13" workbookViewId="0">
      <selection activeCell="G22" sqref="G22"/>
    </sheetView>
  </sheetViews>
  <sheetFormatPr defaultColWidth="9.109375" defaultRowHeight="14.4" x14ac:dyDescent="0.3"/>
  <cols>
    <col min="1" max="7" width="9.109375" style="1"/>
    <col min="8" max="8" width="12.44140625" style="1" customWidth="1"/>
    <col min="9" max="16384" width="9.109375" style="1"/>
  </cols>
  <sheetData>
    <row r="2" spans="1:9" ht="36.6" x14ac:dyDescent="0.7">
      <c r="A2" s="443" t="s">
        <v>0</v>
      </c>
      <c r="B2" s="443"/>
      <c r="C2" s="443"/>
      <c r="D2" s="443"/>
      <c r="E2" s="443"/>
      <c r="F2" s="443"/>
      <c r="G2" s="443"/>
      <c r="H2" s="443"/>
      <c r="I2" s="443"/>
    </row>
    <row r="27" spans="2:2" ht="36.6" x14ac:dyDescent="0.7">
      <c r="B27" s="2" t="s">
        <v>1</v>
      </c>
    </row>
    <row r="29" spans="2:2" ht="23.4" x14ac:dyDescent="0.45">
      <c r="B29" s="3" t="s">
        <v>2</v>
      </c>
    </row>
    <row r="30" spans="2:2" ht="23.4" x14ac:dyDescent="0.45">
      <c r="B30" s="3" t="s">
        <v>3</v>
      </c>
    </row>
    <row r="31" spans="2:2" ht="23.4" x14ac:dyDescent="0.45">
      <c r="B31" s="3" t="s">
        <v>4</v>
      </c>
    </row>
    <row r="42" spans="8:8" ht="36.6" x14ac:dyDescent="0.7">
      <c r="H42" s="2">
        <v>2023</v>
      </c>
    </row>
    <row r="43" spans="8:8" ht="36.6" x14ac:dyDescent="0.7">
      <c r="H43" s="2"/>
    </row>
  </sheetData>
  <sheetProtection selectLockedCells="1" selectUnlockedCells="1"/>
  <mergeCells count="1">
    <mergeCell ref="A2:I2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38"/>
  <sheetViews>
    <sheetView topLeftCell="A7" workbookViewId="0">
      <selection activeCell="B37" sqref="B37"/>
    </sheetView>
  </sheetViews>
  <sheetFormatPr defaultRowHeight="14.4" x14ac:dyDescent="0.3"/>
  <cols>
    <col min="1" max="1" width="6.88671875" customWidth="1"/>
    <col min="2" max="2" width="46.109375" customWidth="1"/>
  </cols>
  <sheetData>
    <row r="2" spans="1:9" x14ac:dyDescent="0.3">
      <c r="A2" s="4"/>
      <c r="B2" s="4"/>
      <c r="C2" s="4"/>
      <c r="D2" s="4"/>
      <c r="E2" s="4"/>
      <c r="F2" s="4"/>
      <c r="G2" s="4"/>
      <c r="H2" s="5"/>
      <c r="I2" s="5"/>
    </row>
    <row r="3" spans="1:9" x14ac:dyDescent="0.3">
      <c r="A3" s="445" t="s">
        <v>5</v>
      </c>
      <c r="B3" s="445"/>
      <c r="C3" s="445"/>
      <c r="D3" s="445"/>
      <c r="E3" s="445"/>
      <c r="F3" s="4"/>
      <c r="G3" s="4"/>
      <c r="H3" s="5"/>
      <c r="I3" s="5"/>
    </row>
    <row r="4" spans="1:9" x14ac:dyDescent="0.3">
      <c r="A4" s="4" t="s">
        <v>6</v>
      </c>
      <c r="B4" s="6" t="s">
        <v>7</v>
      </c>
      <c r="D4" s="4" t="s">
        <v>8</v>
      </c>
      <c r="F4" s="4"/>
      <c r="G4" s="4"/>
      <c r="H4" s="5"/>
      <c r="I4" s="5"/>
    </row>
    <row r="5" spans="1:9" x14ac:dyDescent="0.3">
      <c r="A5" s="4"/>
      <c r="B5" s="4"/>
      <c r="D5" s="4"/>
      <c r="F5" s="4"/>
      <c r="G5" s="4"/>
      <c r="H5" s="5"/>
      <c r="I5" s="5"/>
    </row>
    <row r="6" spans="1:9" x14ac:dyDescent="0.3">
      <c r="A6" s="4" t="s">
        <v>9</v>
      </c>
      <c r="B6" s="6" t="s">
        <v>10</v>
      </c>
      <c r="D6" s="4" t="s">
        <v>11</v>
      </c>
      <c r="F6" s="4"/>
      <c r="G6" s="4"/>
      <c r="H6" s="5"/>
      <c r="I6" s="5"/>
    </row>
    <row r="7" spans="1:9" x14ac:dyDescent="0.3">
      <c r="A7" s="4" t="s">
        <v>12</v>
      </c>
      <c r="B7" s="6" t="s">
        <v>13</v>
      </c>
      <c r="D7" s="4" t="s">
        <v>14</v>
      </c>
      <c r="F7" s="4"/>
      <c r="G7" s="4"/>
      <c r="H7" s="5"/>
      <c r="I7" s="5"/>
    </row>
    <row r="8" spans="1:9" x14ac:dyDescent="0.3">
      <c r="A8" s="4" t="s">
        <v>15</v>
      </c>
      <c r="B8" s="6" t="s">
        <v>16</v>
      </c>
      <c r="D8" s="4" t="s">
        <v>17</v>
      </c>
      <c r="F8" s="4"/>
      <c r="G8" s="4"/>
      <c r="H8" s="5"/>
      <c r="I8" s="5"/>
    </row>
    <row r="9" spans="1:9" x14ac:dyDescent="0.3">
      <c r="A9" s="4" t="s">
        <v>18</v>
      </c>
      <c r="B9" s="6" t="s">
        <v>19</v>
      </c>
      <c r="D9" s="4" t="s">
        <v>20</v>
      </c>
      <c r="F9" s="4"/>
      <c r="G9" s="4"/>
      <c r="H9" s="5"/>
      <c r="I9" s="5"/>
    </row>
    <row r="10" spans="1:9" x14ac:dyDescent="0.3">
      <c r="A10" s="4" t="s">
        <v>21</v>
      </c>
      <c r="B10" s="6" t="s">
        <v>22</v>
      </c>
      <c r="D10" s="4" t="s">
        <v>23</v>
      </c>
      <c r="F10" s="4"/>
      <c r="G10" s="4"/>
      <c r="H10" s="5"/>
      <c r="I10" s="5"/>
    </row>
    <row r="11" spans="1:9" x14ac:dyDescent="0.3">
      <c r="A11" s="4" t="s">
        <v>24</v>
      </c>
      <c r="B11" s="6" t="s">
        <v>25</v>
      </c>
      <c r="D11" s="4" t="s">
        <v>26</v>
      </c>
      <c r="F11" s="4"/>
      <c r="G11" s="4"/>
      <c r="H11" s="5"/>
      <c r="I11" s="5"/>
    </row>
    <row r="12" spans="1:9" x14ac:dyDescent="0.3">
      <c r="A12" s="4" t="s">
        <v>27</v>
      </c>
      <c r="B12" s="6" t="s">
        <v>28</v>
      </c>
      <c r="D12" s="4" t="s">
        <v>29</v>
      </c>
      <c r="F12" s="4"/>
      <c r="G12" s="4"/>
      <c r="H12" s="5"/>
      <c r="I12" s="5"/>
    </row>
    <row r="13" spans="1:9" x14ac:dyDescent="0.3">
      <c r="A13" s="4" t="s">
        <v>30</v>
      </c>
      <c r="B13" s="6" t="s">
        <v>31</v>
      </c>
      <c r="D13" s="4" t="s">
        <v>29</v>
      </c>
      <c r="F13" s="4"/>
      <c r="G13" s="4"/>
      <c r="H13" s="5"/>
      <c r="I13" s="5"/>
    </row>
    <row r="14" spans="1:9" x14ac:dyDescent="0.3">
      <c r="A14" s="4" t="s">
        <v>32</v>
      </c>
      <c r="B14" s="6" t="s">
        <v>33</v>
      </c>
      <c r="D14" s="4" t="s">
        <v>29</v>
      </c>
      <c r="F14" s="4"/>
      <c r="G14" s="4"/>
      <c r="H14" s="5"/>
      <c r="I14" s="5"/>
    </row>
    <row r="15" spans="1:9" x14ac:dyDescent="0.3">
      <c r="A15" s="4" t="s">
        <v>34</v>
      </c>
      <c r="B15" s="6" t="s">
        <v>35</v>
      </c>
      <c r="D15" s="4" t="s">
        <v>36</v>
      </c>
      <c r="F15" s="4"/>
      <c r="G15" s="4"/>
      <c r="H15" s="5"/>
      <c r="I15" s="5"/>
    </row>
    <row r="16" spans="1:9" x14ac:dyDescent="0.3">
      <c r="A16" s="4" t="s">
        <v>20</v>
      </c>
      <c r="B16" s="6" t="s">
        <v>37</v>
      </c>
      <c r="D16" s="4" t="s">
        <v>38</v>
      </c>
      <c r="F16" s="4"/>
      <c r="G16" s="4"/>
      <c r="H16" s="5"/>
      <c r="I16" s="5"/>
    </row>
    <row r="17" spans="1:9" x14ac:dyDescent="0.3">
      <c r="A17" s="4" t="s">
        <v>39</v>
      </c>
      <c r="B17" s="6" t="s">
        <v>40</v>
      </c>
      <c r="D17" s="4" t="s">
        <v>41</v>
      </c>
      <c r="F17" s="4"/>
      <c r="G17" s="4"/>
      <c r="H17" s="5"/>
      <c r="I17" s="5"/>
    </row>
    <row r="18" spans="1:9" x14ac:dyDescent="0.3">
      <c r="A18" s="4" t="s">
        <v>23</v>
      </c>
      <c r="B18" s="6" t="s">
        <v>42</v>
      </c>
      <c r="D18" s="4" t="s">
        <v>43</v>
      </c>
      <c r="F18" s="4"/>
      <c r="G18" s="4"/>
      <c r="H18" s="5"/>
      <c r="I18" s="5"/>
    </row>
    <row r="19" spans="1:9" x14ac:dyDescent="0.3">
      <c r="A19" s="4" t="s">
        <v>43</v>
      </c>
      <c r="B19" s="6" t="s">
        <v>44</v>
      </c>
      <c r="D19" s="4" t="s">
        <v>45</v>
      </c>
      <c r="F19" s="4"/>
      <c r="G19" s="4"/>
      <c r="H19" s="5"/>
      <c r="I19" s="5"/>
    </row>
    <row r="20" spans="1:9" x14ac:dyDescent="0.3">
      <c r="A20" s="4" t="s">
        <v>45</v>
      </c>
      <c r="B20" s="6" t="s">
        <v>46</v>
      </c>
      <c r="D20" s="4" t="s">
        <v>47</v>
      </c>
      <c r="F20" s="4"/>
      <c r="G20" s="4"/>
      <c r="H20" s="5"/>
      <c r="I20" s="5"/>
    </row>
    <row r="21" spans="1:9" x14ac:dyDescent="0.3">
      <c r="A21" s="4" t="s">
        <v>48</v>
      </c>
      <c r="B21" s="6" t="s">
        <v>49</v>
      </c>
      <c r="D21" s="4" t="s">
        <v>50</v>
      </c>
      <c r="F21" s="4"/>
      <c r="G21" s="4"/>
      <c r="H21" s="5"/>
      <c r="I21" s="5"/>
    </row>
    <row r="22" spans="1:9" x14ac:dyDescent="0.3">
      <c r="A22" s="4" t="s">
        <v>51</v>
      </c>
      <c r="B22" s="6" t="s">
        <v>52</v>
      </c>
      <c r="D22" s="4" t="s">
        <v>53</v>
      </c>
      <c r="F22" s="4"/>
      <c r="G22" s="4"/>
      <c r="H22" s="5"/>
      <c r="I22" s="5"/>
    </row>
    <row r="23" spans="1:9" x14ac:dyDescent="0.3">
      <c r="A23" s="4" t="s">
        <v>54</v>
      </c>
      <c r="B23" s="6" t="s">
        <v>55</v>
      </c>
      <c r="D23" s="4" t="s">
        <v>56</v>
      </c>
      <c r="F23" s="4"/>
      <c r="G23" s="4"/>
      <c r="H23" s="5"/>
      <c r="I23" s="5"/>
    </row>
    <row r="24" spans="1:9" x14ac:dyDescent="0.3">
      <c r="A24" s="4" t="s">
        <v>57</v>
      </c>
      <c r="B24" s="6" t="s">
        <v>58</v>
      </c>
      <c r="D24" s="4" t="s">
        <v>56</v>
      </c>
      <c r="F24" s="4"/>
      <c r="G24" s="4"/>
      <c r="H24" s="5"/>
      <c r="I24" s="5"/>
    </row>
    <row r="25" spans="1:9" x14ac:dyDescent="0.3">
      <c r="A25" s="4" t="s">
        <v>59</v>
      </c>
      <c r="B25" s="6" t="s">
        <v>60</v>
      </c>
      <c r="D25" s="4" t="s">
        <v>56</v>
      </c>
      <c r="F25" s="4"/>
      <c r="G25" s="4"/>
      <c r="H25" s="5"/>
      <c r="I25" s="5"/>
    </row>
    <row r="26" spans="1:9" x14ac:dyDescent="0.3">
      <c r="A26" s="4"/>
      <c r="B26" s="6"/>
      <c r="D26" s="4"/>
      <c r="E26" s="4"/>
      <c r="F26" s="4"/>
      <c r="G26" s="4"/>
      <c r="H26" s="5"/>
      <c r="I26" s="5"/>
    </row>
    <row r="27" spans="1:9" x14ac:dyDescent="0.3">
      <c r="A27" s="4"/>
      <c r="B27" s="6"/>
      <c r="D27" s="4"/>
      <c r="E27" s="4"/>
      <c r="F27" s="4"/>
      <c r="G27" s="4"/>
      <c r="H27" s="5"/>
      <c r="I27" s="5"/>
    </row>
    <row r="28" spans="1:9" x14ac:dyDescent="0.3">
      <c r="A28" s="4"/>
      <c r="B28" s="6"/>
      <c r="C28" s="4"/>
      <c r="D28" s="4"/>
      <c r="E28" s="4"/>
      <c r="F28" s="4"/>
      <c r="G28" s="4"/>
      <c r="H28" s="5"/>
      <c r="I28" s="5"/>
    </row>
    <row r="29" spans="1:9" x14ac:dyDescent="0.3">
      <c r="A29" s="445" t="s">
        <v>61</v>
      </c>
      <c r="B29" s="445"/>
      <c r="C29" s="445"/>
      <c r="D29" s="445"/>
      <c r="E29" s="445"/>
      <c r="F29" s="4"/>
      <c r="G29" s="4"/>
      <c r="H29" s="5"/>
      <c r="I29" s="5"/>
    </row>
    <row r="30" spans="1:9" x14ac:dyDescent="0.3">
      <c r="A30" s="4"/>
      <c r="B30" s="6"/>
      <c r="C30" s="4"/>
      <c r="D30" s="4"/>
      <c r="E30" s="4"/>
      <c r="F30" s="4"/>
      <c r="G30" s="4"/>
      <c r="H30" s="5"/>
      <c r="I30" s="5"/>
    </row>
    <row r="31" spans="1:9" ht="15" customHeight="1" x14ac:dyDescent="0.3">
      <c r="A31" s="4" t="s">
        <v>11</v>
      </c>
      <c r="B31" s="444" t="s">
        <v>62</v>
      </c>
      <c r="C31" s="444"/>
      <c r="D31" s="444"/>
      <c r="E31" s="444"/>
      <c r="F31" s="4"/>
      <c r="G31" s="4"/>
      <c r="H31" s="5"/>
      <c r="I31" s="5"/>
    </row>
    <row r="32" spans="1:9" ht="15" customHeight="1" x14ac:dyDescent="0.3">
      <c r="A32" s="4" t="s">
        <v>63</v>
      </c>
      <c r="B32" s="444" t="s">
        <v>64</v>
      </c>
      <c r="C32" s="444"/>
      <c r="D32" s="444"/>
      <c r="E32" s="444"/>
      <c r="F32" s="4"/>
      <c r="G32" s="4"/>
      <c r="H32" s="5"/>
      <c r="I32" s="5"/>
    </row>
    <row r="33" spans="1:9" ht="15" customHeight="1" x14ac:dyDescent="0.3">
      <c r="A33" s="4" t="s">
        <v>65</v>
      </c>
      <c r="B33" s="444" t="s">
        <v>66</v>
      </c>
      <c r="C33" s="444"/>
      <c r="D33" s="444"/>
      <c r="E33" s="444"/>
      <c r="F33" s="4"/>
      <c r="G33" s="4"/>
      <c r="H33" s="5"/>
      <c r="I33" s="5"/>
    </row>
    <row r="34" spans="1:9" ht="15" customHeight="1" x14ac:dyDescent="0.3">
      <c r="A34" s="4" t="s">
        <v>67</v>
      </c>
      <c r="B34" s="444" t="s">
        <v>68</v>
      </c>
      <c r="C34" s="444"/>
      <c r="D34" s="444"/>
      <c r="E34" s="444"/>
      <c r="F34" s="4"/>
      <c r="G34" s="4"/>
      <c r="H34" s="5"/>
      <c r="I34" s="5"/>
    </row>
    <row r="35" spans="1:9" ht="30" customHeight="1" x14ac:dyDescent="0.3">
      <c r="A35" s="4" t="s">
        <v>69</v>
      </c>
      <c r="B35" s="444" t="s">
        <v>70</v>
      </c>
      <c r="C35" s="444"/>
      <c r="D35" s="444"/>
      <c r="E35" s="444"/>
      <c r="F35" s="4"/>
      <c r="G35" s="4"/>
      <c r="H35" s="5"/>
      <c r="I35" s="5"/>
    </row>
    <row r="36" spans="1:9" ht="30" customHeight="1" x14ac:dyDescent="0.3">
      <c r="A36" s="4" t="s">
        <v>71</v>
      </c>
      <c r="B36" s="444" t="s">
        <v>72</v>
      </c>
      <c r="C36" s="444"/>
      <c r="D36" s="444"/>
      <c r="E36" s="444"/>
      <c r="F36" s="4"/>
      <c r="G36" s="4"/>
      <c r="H36" s="5"/>
      <c r="I36" s="5"/>
    </row>
    <row r="37" spans="1:9" x14ac:dyDescent="0.3">
      <c r="A37" s="4" t="s">
        <v>73</v>
      </c>
      <c r="B37" s="6" t="s">
        <v>74</v>
      </c>
      <c r="C37" s="4"/>
      <c r="D37" s="4"/>
      <c r="E37" s="4"/>
      <c r="F37" s="4"/>
      <c r="G37" s="4"/>
      <c r="H37" s="5"/>
      <c r="I37" s="5"/>
    </row>
    <row r="38" spans="1:9" x14ac:dyDescent="0.3">
      <c r="A38" s="5"/>
      <c r="B38" s="5"/>
      <c r="C38" s="5"/>
      <c r="D38" s="5"/>
      <c r="E38" s="5"/>
      <c r="F38" s="5"/>
      <c r="G38" s="5"/>
      <c r="H38" s="5"/>
      <c r="I38" s="5"/>
    </row>
  </sheetData>
  <sheetProtection selectLockedCells="1" selectUnlockedCells="1"/>
  <mergeCells count="8">
    <mergeCell ref="B35:E35"/>
    <mergeCell ref="B36:E36"/>
    <mergeCell ref="A3:E3"/>
    <mergeCell ref="A29:E29"/>
    <mergeCell ref="B31:E31"/>
    <mergeCell ref="B32:E32"/>
    <mergeCell ref="B33:E33"/>
    <mergeCell ref="B34:E34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2260"/>
  <sheetViews>
    <sheetView tabSelected="1" view="pageBreakPreview" zoomScaleNormal="100" zoomScaleSheetLayoutView="100" workbookViewId="0">
      <selection activeCell="O19" sqref="O19"/>
    </sheetView>
  </sheetViews>
  <sheetFormatPr defaultColWidth="9.109375" defaultRowHeight="10.5" customHeight="1" x14ac:dyDescent="0.3"/>
  <cols>
    <col min="1" max="1" width="8.5546875" style="7" customWidth="1"/>
    <col min="2" max="2" width="5.33203125" style="7" customWidth="1"/>
    <col min="3" max="3" width="2.6640625" style="7" customWidth="1"/>
    <col min="4" max="4" width="3.88671875" style="7" customWidth="1"/>
    <col min="5" max="5" width="6.88671875" style="7" customWidth="1"/>
    <col min="6" max="6" width="7.109375" style="7" hidden="1" customWidth="1"/>
    <col min="7" max="8" width="8.33203125" style="7" customWidth="1"/>
    <col min="9" max="9" width="2.88671875" style="7" customWidth="1"/>
    <col min="10" max="10" width="8.5546875" style="7" customWidth="1"/>
    <col min="11" max="11" width="5.33203125" style="7" customWidth="1"/>
    <col min="12" max="12" width="2.6640625" style="7" customWidth="1"/>
    <col min="13" max="13" width="3.5546875" style="7" customWidth="1"/>
    <col min="14" max="15" width="6.88671875" style="7" customWidth="1"/>
    <col min="16" max="16" width="9.109375" style="7" hidden="1" customWidth="1"/>
    <col min="17" max="17" width="8.33203125" style="7" customWidth="1"/>
    <col min="18" max="18" width="8.44140625" style="7" customWidth="1"/>
  </cols>
  <sheetData>
    <row r="1" spans="1:18" ht="15" customHeight="1" x14ac:dyDescent="0.3">
      <c r="A1" s="448" t="s">
        <v>75</v>
      </c>
      <c r="B1" s="448"/>
      <c r="C1" s="448"/>
      <c r="D1" s="448"/>
      <c r="E1" s="448"/>
      <c r="F1" s="448"/>
      <c r="G1" s="448"/>
      <c r="H1" s="448"/>
      <c r="I1" s="448"/>
      <c r="J1" s="448"/>
      <c r="K1" s="448"/>
      <c r="L1" s="448"/>
      <c r="M1" s="448"/>
      <c r="N1" s="448"/>
      <c r="O1" s="448"/>
      <c r="P1" s="448"/>
      <c r="Q1" s="448"/>
      <c r="R1" s="448"/>
    </row>
    <row r="2" spans="1:18" ht="10.5" customHeight="1" x14ac:dyDescent="0.3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0.5" customHeight="1" x14ac:dyDescent="0.3">
      <c r="A3" s="10" t="s">
        <v>76</v>
      </c>
      <c r="B3" s="11" t="s">
        <v>77</v>
      </c>
      <c r="C3" s="12"/>
      <c r="D3" s="12"/>
      <c r="E3" s="12"/>
      <c r="F3" s="12"/>
      <c r="G3" s="12"/>
      <c r="H3" s="12"/>
      <c r="I3" s="12"/>
      <c r="J3" s="446" t="s">
        <v>78</v>
      </c>
      <c r="K3" s="446" t="s">
        <v>79</v>
      </c>
      <c r="L3" s="446"/>
      <c r="M3" s="446"/>
      <c r="N3" s="447" t="s">
        <v>80</v>
      </c>
      <c r="O3" s="14"/>
      <c r="P3" s="15"/>
      <c r="Q3" s="16" t="s">
        <v>81</v>
      </c>
      <c r="R3" s="17" t="s">
        <v>82</v>
      </c>
    </row>
    <row r="4" spans="1:18" ht="10.5" customHeight="1" x14ac:dyDescent="0.3">
      <c r="A4" s="18"/>
      <c r="B4" s="9"/>
      <c r="C4" s="9"/>
      <c r="D4" s="9"/>
      <c r="E4" s="9"/>
      <c r="F4" s="9"/>
      <c r="G4" s="9"/>
      <c r="H4" s="9"/>
      <c r="I4" s="9"/>
      <c r="J4" s="446"/>
      <c r="K4" s="446"/>
      <c r="L4" s="446"/>
      <c r="M4" s="446"/>
      <c r="N4" s="447"/>
      <c r="O4" s="14"/>
      <c r="P4" s="19" t="s">
        <v>83</v>
      </c>
      <c r="Q4" s="15" t="s">
        <v>84</v>
      </c>
      <c r="R4" s="15" t="s">
        <v>84</v>
      </c>
    </row>
    <row r="5" spans="1:18" ht="10.5" customHeight="1" x14ac:dyDescent="0.3">
      <c r="A5" s="18"/>
      <c r="B5" s="20"/>
      <c r="C5" s="20"/>
      <c r="D5" s="20"/>
      <c r="E5" s="20"/>
      <c r="F5" s="20"/>
      <c r="G5" s="20"/>
      <c r="H5" s="20"/>
      <c r="I5" s="20"/>
      <c r="J5" s="21" t="s">
        <v>85</v>
      </c>
      <c r="K5" s="22">
        <v>4.5</v>
      </c>
      <c r="L5" s="23" t="s">
        <v>86</v>
      </c>
      <c r="M5" s="24">
        <v>20</v>
      </c>
      <c r="N5" s="25">
        <v>1000</v>
      </c>
      <c r="O5" s="25"/>
      <c r="P5" s="26">
        <v>0.73870975609756095</v>
      </c>
      <c r="Q5" s="27">
        <f t="shared" ref="Q5:Q43" si="0">P5*$F$10</f>
        <v>31.764519512195122</v>
      </c>
      <c r="R5" s="28">
        <f t="shared" ref="R5:R43" si="1">Q5-Q5*0.2</f>
        <v>25.411615609756097</v>
      </c>
    </row>
    <row r="6" spans="1:18" ht="10.5" customHeight="1" x14ac:dyDescent="0.3">
      <c r="A6" s="18"/>
      <c r="B6" s="20"/>
      <c r="C6" s="20"/>
      <c r="D6" s="20"/>
      <c r="E6" s="20"/>
      <c r="F6" s="20"/>
      <c r="G6" s="20"/>
      <c r="H6" s="20"/>
      <c r="I6" s="20"/>
      <c r="J6" s="21" t="s">
        <v>87</v>
      </c>
      <c r="K6" s="22">
        <v>4.5</v>
      </c>
      <c r="L6" s="23" t="s">
        <v>86</v>
      </c>
      <c r="M6" s="24">
        <v>25</v>
      </c>
      <c r="N6" s="25" t="s">
        <v>88</v>
      </c>
      <c r="O6" s="25"/>
      <c r="P6" s="26">
        <v>0.91868536585365834</v>
      </c>
      <c r="Q6" s="27">
        <f t="shared" si="0"/>
        <v>39.50347073170731</v>
      </c>
      <c r="R6" s="28">
        <f t="shared" si="1"/>
        <v>31.602776585365849</v>
      </c>
    </row>
    <row r="7" spans="1:18" ht="10.5" customHeight="1" x14ac:dyDescent="0.3">
      <c r="A7" s="18"/>
      <c r="B7" s="20"/>
      <c r="C7" s="20"/>
      <c r="D7" s="20"/>
      <c r="E7" s="20"/>
      <c r="F7" s="20"/>
      <c r="G7" s="20"/>
      <c r="H7" s="20"/>
      <c r="I7" s="20"/>
      <c r="J7" s="21" t="s">
        <v>89</v>
      </c>
      <c r="K7" s="22">
        <v>4.5</v>
      </c>
      <c r="L7" s="23" t="s">
        <v>86</v>
      </c>
      <c r="M7" s="24">
        <v>30</v>
      </c>
      <c r="N7" s="25">
        <v>500</v>
      </c>
      <c r="O7" s="25"/>
      <c r="P7" s="26">
        <v>1.1779707317073171</v>
      </c>
      <c r="Q7" s="27">
        <f t="shared" si="0"/>
        <v>50.652741463414635</v>
      </c>
      <c r="R7" s="28">
        <f t="shared" si="1"/>
        <v>40.522193170731711</v>
      </c>
    </row>
    <row r="8" spans="1:18" ht="10.5" customHeight="1" x14ac:dyDescent="0.3">
      <c r="A8" s="29" t="s">
        <v>90</v>
      </c>
      <c r="B8" s="20"/>
      <c r="C8" s="20"/>
      <c r="D8" s="20"/>
      <c r="E8" s="20"/>
      <c r="F8" s="20"/>
      <c r="G8" s="20"/>
      <c r="H8" s="20"/>
      <c r="I8" s="20"/>
      <c r="J8" s="21" t="s">
        <v>91</v>
      </c>
      <c r="K8" s="22">
        <v>4.5</v>
      </c>
      <c r="L8" s="23" t="s">
        <v>86</v>
      </c>
      <c r="M8" s="24">
        <v>35</v>
      </c>
      <c r="N8" s="25">
        <v>500</v>
      </c>
      <c r="O8" s="25"/>
      <c r="P8" s="26">
        <v>1.3950902439024386</v>
      </c>
      <c r="Q8" s="27">
        <f>P8*$F$10</f>
        <v>59.988880487804863</v>
      </c>
      <c r="R8" s="28">
        <f t="shared" si="1"/>
        <v>47.991104390243891</v>
      </c>
    </row>
    <row r="9" spans="1:18" ht="10.5" customHeight="1" x14ac:dyDescent="0.3">
      <c r="A9" s="30" t="s">
        <v>92</v>
      </c>
      <c r="B9" s="20"/>
      <c r="C9" s="20"/>
      <c r="D9" s="20"/>
      <c r="E9" s="20"/>
      <c r="F9" s="20"/>
      <c r="G9" s="20"/>
      <c r="H9" s="20"/>
      <c r="I9" s="20"/>
      <c r="J9" s="21" t="s">
        <v>93</v>
      </c>
      <c r="K9" s="22">
        <v>4.5</v>
      </c>
      <c r="L9" s="23" t="s">
        <v>86</v>
      </c>
      <c r="M9" s="24">
        <v>40</v>
      </c>
      <c r="N9" s="25" t="s">
        <v>94</v>
      </c>
      <c r="O9" s="25"/>
      <c r="P9" s="26">
        <v>1.3674429268292614</v>
      </c>
      <c r="Q9" s="27">
        <f t="shared" si="0"/>
        <v>58.80004585365824</v>
      </c>
      <c r="R9" s="28">
        <f t="shared" si="1"/>
        <v>47.040036682926591</v>
      </c>
    </row>
    <row r="10" spans="1:18" ht="10.5" customHeight="1" x14ac:dyDescent="0.3">
      <c r="A10" s="446" t="s">
        <v>78</v>
      </c>
      <c r="B10" s="446" t="s">
        <v>79</v>
      </c>
      <c r="C10" s="446"/>
      <c r="D10" s="446"/>
      <c r="E10" s="447" t="s">
        <v>80</v>
      </c>
      <c r="F10" s="15">
        <v>43</v>
      </c>
      <c r="G10" s="16" t="s">
        <v>81</v>
      </c>
      <c r="H10" s="17" t="s">
        <v>82</v>
      </c>
      <c r="I10" s="20"/>
      <c r="J10" s="21" t="s">
        <v>95</v>
      </c>
      <c r="K10" s="22">
        <v>4.5</v>
      </c>
      <c r="L10" s="23" t="s">
        <v>86</v>
      </c>
      <c r="M10" s="24">
        <v>45</v>
      </c>
      <c r="N10" s="25" t="s">
        <v>94</v>
      </c>
      <c r="O10" s="25"/>
      <c r="P10" s="26">
        <v>1.5260129268292613</v>
      </c>
      <c r="Q10" s="27">
        <f t="shared" si="0"/>
        <v>65.618555853658236</v>
      </c>
      <c r="R10" s="28">
        <f t="shared" si="1"/>
        <v>52.49484468292659</v>
      </c>
    </row>
    <row r="11" spans="1:18" ht="10.5" customHeight="1" x14ac:dyDescent="0.3">
      <c r="A11" s="446"/>
      <c r="B11" s="446"/>
      <c r="C11" s="446"/>
      <c r="D11" s="446"/>
      <c r="E11" s="447"/>
      <c r="F11" s="19" t="s">
        <v>83</v>
      </c>
      <c r="G11" s="15" t="s">
        <v>84</v>
      </c>
      <c r="H11" s="15" t="s">
        <v>84</v>
      </c>
      <c r="I11" s="20"/>
      <c r="J11" s="21" t="s">
        <v>96</v>
      </c>
      <c r="K11" s="22">
        <v>4.5</v>
      </c>
      <c r="L11" s="23" t="s">
        <v>86</v>
      </c>
      <c r="M11" s="24">
        <v>50</v>
      </c>
      <c r="N11" s="25" t="s">
        <v>94</v>
      </c>
      <c r="O11" s="25"/>
      <c r="P11" s="26">
        <v>1.6431449975609691</v>
      </c>
      <c r="Q11" s="27">
        <f t="shared" si="0"/>
        <v>70.655234895121666</v>
      </c>
      <c r="R11" s="28">
        <f t="shared" si="1"/>
        <v>56.524187916097333</v>
      </c>
    </row>
    <row r="12" spans="1:18" ht="10.5" customHeight="1" x14ac:dyDescent="0.3">
      <c r="A12" s="21" t="s">
        <v>97</v>
      </c>
      <c r="B12" s="22">
        <v>2.5</v>
      </c>
      <c r="C12" s="23" t="s">
        <v>86</v>
      </c>
      <c r="D12" s="24">
        <v>16</v>
      </c>
      <c r="E12" s="25">
        <v>1000</v>
      </c>
      <c r="F12" s="26">
        <v>0.35003902439024392</v>
      </c>
      <c r="G12" s="27">
        <f t="shared" ref="G12:G43" si="2">F12*$F$10</f>
        <v>15.051678048780488</v>
      </c>
      <c r="H12" s="28">
        <f t="shared" ref="H12:H43" si="3">G12-G12*0.2</f>
        <v>12.04134243902439</v>
      </c>
      <c r="I12" s="20"/>
      <c r="J12" s="21" t="s">
        <v>98</v>
      </c>
      <c r="K12" s="22">
        <v>4.5</v>
      </c>
      <c r="L12" s="23" t="s">
        <v>86</v>
      </c>
      <c r="M12" s="24">
        <v>60</v>
      </c>
      <c r="N12" s="25" t="s">
        <v>94</v>
      </c>
      <c r="O12" s="25"/>
      <c r="P12" s="26">
        <v>1.9293282926829227</v>
      </c>
      <c r="Q12" s="27">
        <f t="shared" si="0"/>
        <v>82.961116585365673</v>
      </c>
      <c r="R12" s="28">
        <f t="shared" si="1"/>
        <v>66.368893268292538</v>
      </c>
    </row>
    <row r="13" spans="1:18" ht="10.5" customHeight="1" x14ac:dyDescent="0.3">
      <c r="A13" s="21" t="s">
        <v>99</v>
      </c>
      <c r="B13" s="22">
        <v>3</v>
      </c>
      <c r="C13" s="23" t="s">
        <v>86</v>
      </c>
      <c r="D13" s="24">
        <v>12</v>
      </c>
      <c r="E13" s="25">
        <v>1000</v>
      </c>
      <c r="F13" s="26">
        <v>0.30785580487804876</v>
      </c>
      <c r="G13" s="27">
        <f>F13*$F$10</f>
        <v>13.237799609756097</v>
      </c>
      <c r="H13" s="28">
        <f t="shared" si="3"/>
        <v>10.590239687804878</v>
      </c>
      <c r="I13" s="20"/>
      <c r="J13" s="21" t="s">
        <v>100</v>
      </c>
      <c r="K13" s="22">
        <v>4.5</v>
      </c>
      <c r="L13" s="23" t="s">
        <v>86</v>
      </c>
      <c r="M13" s="24">
        <v>70</v>
      </c>
      <c r="N13" s="25" t="s">
        <v>101</v>
      </c>
      <c r="O13" s="25"/>
      <c r="P13" s="26">
        <v>2.362867804878046</v>
      </c>
      <c r="Q13" s="27">
        <f t="shared" si="0"/>
        <v>101.60331560975598</v>
      </c>
      <c r="R13" s="28">
        <f t="shared" si="1"/>
        <v>81.282652487804782</v>
      </c>
    </row>
    <row r="14" spans="1:18" ht="10.5" customHeight="1" x14ac:dyDescent="0.3">
      <c r="A14" s="21" t="s">
        <v>102</v>
      </c>
      <c r="B14" s="22">
        <v>3</v>
      </c>
      <c r="C14" s="23" t="s">
        <v>86</v>
      </c>
      <c r="D14" s="24">
        <v>16</v>
      </c>
      <c r="E14" s="25">
        <v>1000</v>
      </c>
      <c r="F14" s="26">
        <v>0.32871313999999996</v>
      </c>
      <c r="G14" s="27">
        <f t="shared" si="2"/>
        <v>14.134665019999998</v>
      </c>
      <c r="H14" s="28">
        <f t="shared" si="3"/>
        <v>11.307732015999999</v>
      </c>
      <c r="I14" s="20"/>
      <c r="J14" s="21" t="s">
        <v>103</v>
      </c>
      <c r="K14" s="22">
        <v>4.5</v>
      </c>
      <c r="L14" s="23" t="s">
        <v>86</v>
      </c>
      <c r="M14" s="24">
        <v>80</v>
      </c>
      <c r="N14" s="25">
        <v>200</v>
      </c>
      <c r="O14" s="25"/>
      <c r="P14" s="26">
        <v>2.7129395121951232</v>
      </c>
      <c r="Q14" s="27">
        <f t="shared" si="0"/>
        <v>116.6563990243903</v>
      </c>
      <c r="R14" s="28">
        <f t="shared" si="1"/>
        <v>93.325119219512231</v>
      </c>
    </row>
    <row r="15" spans="1:18" ht="10.5" customHeight="1" x14ac:dyDescent="0.3">
      <c r="A15" s="21" t="s">
        <v>104</v>
      </c>
      <c r="B15" s="22">
        <v>3</v>
      </c>
      <c r="C15" s="23" t="s">
        <v>86</v>
      </c>
      <c r="D15" s="24">
        <v>20</v>
      </c>
      <c r="E15" s="25">
        <v>1000</v>
      </c>
      <c r="F15" s="26">
        <v>0.40249999999999997</v>
      </c>
      <c r="G15" s="27">
        <f t="shared" si="2"/>
        <v>17.307499999999997</v>
      </c>
      <c r="H15" s="28">
        <f t="shared" si="3"/>
        <v>13.845999999999998</v>
      </c>
      <c r="I15" s="20"/>
      <c r="J15" s="21" t="s">
        <v>105</v>
      </c>
      <c r="K15" s="22">
        <v>5</v>
      </c>
      <c r="L15" s="23" t="s">
        <v>86</v>
      </c>
      <c r="M15" s="24">
        <v>16</v>
      </c>
      <c r="N15" s="25">
        <v>1000</v>
      </c>
      <c r="O15" s="25"/>
      <c r="P15" s="26">
        <v>1.1025125525667157</v>
      </c>
      <c r="Q15" s="27">
        <f t="shared" si="0"/>
        <v>47.408039760368773</v>
      </c>
      <c r="R15" s="28">
        <f t="shared" si="1"/>
        <v>37.926431808295021</v>
      </c>
    </row>
    <row r="16" spans="1:18" ht="10.5" customHeight="1" x14ac:dyDescent="0.3">
      <c r="A16" s="21" t="s">
        <v>106</v>
      </c>
      <c r="B16" s="22">
        <v>3</v>
      </c>
      <c r="C16" s="23" t="s">
        <v>86</v>
      </c>
      <c r="D16" s="24">
        <v>25</v>
      </c>
      <c r="E16" s="25">
        <v>1000</v>
      </c>
      <c r="F16" s="26">
        <v>0.46611180487804876</v>
      </c>
      <c r="G16" s="27">
        <f t="shared" si="2"/>
        <v>20.042807609756096</v>
      </c>
      <c r="H16" s="28">
        <f t="shared" si="3"/>
        <v>16.034246087804878</v>
      </c>
      <c r="I16" s="20"/>
      <c r="J16" s="21" t="s">
        <v>107</v>
      </c>
      <c r="K16" s="22">
        <v>5</v>
      </c>
      <c r="L16" s="23" t="s">
        <v>86</v>
      </c>
      <c r="M16" s="24">
        <v>20</v>
      </c>
      <c r="N16" s="25" t="s">
        <v>88</v>
      </c>
      <c r="O16" s="25"/>
      <c r="P16" s="26">
        <v>1.0532243902439025</v>
      </c>
      <c r="Q16" s="27">
        <f t="shared" si="0"/>
        <v>45.288648780487804</v>
      </c>
      <c r="R16" s="28">
        <f t="shared" si="1"/>
        <v>36.230919024390246</v>
      </c>
    </row>
    <row r="17" spans="1:18" ht="10.5" customHeight="1" x14ac:dyDescent="0.3">
      <c r="A17" s="21" t="s">
        <v>108</v>
      </c>
      <c r="B17" s="22">
        <v>3</v>
      </c>
      <c r="C17" s="23" t="s">
        <v>86</v>
      </c>
      <c r="D17" s="24">
        <v>30</v>
      </c>
      <c r="E17" s="25">
        <v>1000</v>
      </c>
      <c r="F17" s="26">
        <v>0.50894600000000001</v>
      </c>
      <c r="G17" s="27">
        <f t="shared" si="2"/>
        <v>21.884678000000001</v>
      </c>
      <c r="H17" s="28">
        <f t="shared" si="3"/>
        <v>17.507742400000001</v>
      </c>
      <c r="I17" s="20"/>
      <c r="J17" s="21" t="s">
        <v>109</v>
      </c>
      <c r="K17" s="22">
        <v>5</v>
      </c>
      <c r="L17" s="23" t="s">
        <v>86</v>
      </c>
      <c r="M17" s="24">
        <v>25</v>
      </c>
      <c r="N17" s="25" t="s">
        <v>88</v>
      </c>
      <c r="O17" s="25"/>
      <c r="P17" s="26">
        <v>1.3227170731707316</v>
      </c>
      <c r="Q17" s="27">
        <f t="shared" si="0"/>
        <v>56.876834146341459</v>
      </c>
      <c r="R17" s="28">
        <f t="shared" si="1"/>
        <v>45.501467317073164</v>
      </c>
    </row>
    <row r="18" spans="1:18" ht="10.5" customHeight="1" x14ac:dyDescent="0.3">
      <c r="A18" s="21" t="s">
        <v>110</v>
      </c>
      <c r="B18" s="22">
        <v>3</v>
      </c>
      <c r="C18" s="23" t="s">
        <v>86</v>
      </c>
      <c r="D18" s="24">
        <v>35</v>
      </c>
      <c r="E18" s="25">
        <v>1000</v>
      </c>
      <c r="F18" s="26">
        <v>0.65408292682926827</v>
      </c>
      <c r="G18" s="27">
        <f t="shared" si="2"/>
        <v>28.125565853658536</v>
      </c>
      <c r="H18" s="28">
        <f t="shared" si="3"/>
        <v>22.500452682926827</v>
      </c>
      <c r="I18" s="20"/>
      <c r="J18" s="21" t="s">
        <v>111</v>
      </c>
      <c r="K18" s="22">
        <v>5</v>
      </c>
      <c r="L18" s="23" t="s">
        <v>86</v>
      </c>
      <c r="M18" s="24">
        <v>30</v>
      </c>
      <c r="N18" s="25" t="s">
        <v>88</v>
      </c>
      <c r="O18" s="25"/>
      <c r="P18" s="26">
        <v>1.4674634146341461</v>
      </c>
      <c r="Q18" s="27">
        <f t="shared" si="0"/>
        <v>63.100926829268282</v>
      </c>
      <c r="R18" s="28">
        <f t="shared" si="1"/>
        <v>50.480741463414624</v>
      </c>
    </row>
    <row r="19" spans="1:18" ht="10.5" customHeight="1" x14ac:dyDescent="0.3">
      <c r="A19" s="21" t="s">
        <v>112</v>
      </c>
      <c r="B19" s="22">
        <v>3</v>
      </c>
      <c r="C19" s="23" t="s">
        <v>86</v>
      </c>
      <c r="D19" s="24">
        <v>40</v>
      </c>
      <c r="E19" s="25">
        <v>1000</v>
      </c>
      <c r="F19" s="26">
        <v>0.74100731707317058</v>
      </c>
      <c r="G19" s="27">
        <f t="shared" si="2"/>
        <v>31.863314634146334</v>
      </c>
      <c r="H19" s="28">
        <f t="shared" si="3"/>
        <v>25.490651707317067</v>
      </c>
      <c r="I19" s="20"/>
      <c r="J19" s="21" t="s">
        <v>113</v>
      </c>
      <c r="K19" s="22">
        <v>5</v>
      </c>
      <c r="L19" s="23" t="s">
        <v>86</v>
      </c>
      <c r="M19" s="24">
        <v>35</v>
      </c>
      <c r="N19" s="25">
        <v>500</v>
      </c>
      <c r="O19" s="25"/>
      <c r="P19" s="26">
        <v>1.5053988268292613</v>
      </c>
      <c r="Q19" s="27">
        <f t="shared" si="0"/>
        <v>64.732149553658232</v>
      </c>
      <c r="R19" s="28">
        <f t="shared" si="1"/>
        <v>51.785719642926587</v>
      </c>
    </row>
    <row r="20" spans="1:18" ht="10.5" customHeight="1" x14ac:dyDescent="0.3">
      <c r="A20" s="21" t="s">
        <v>114</v>
      </c>
      <c r="B20" s="22">
        <v>3</v>
      </c>
      <c r="C20" s="23" t="s">
        <v>86</v>
      </c>
      <c r="D20" s="24">
        <v>50</v>
      </c>
      <c r="E20" s="25" t="s">
        <v>88</v>
      </c>
      <c r="F20" s="26">
        <v>1.0232243902439024</v>
      </c>
      <c r="G20" s="27">
        <f t="shared" si="2"/>
        <v>43.998648780487805</v>
      </c>
      <c r="H20" s="28">
        <f t="shared" si="3"/>
        <v>35.198919024390243</v>
      </c>
      <c r="I20" s="20"/>
      <c r="J20" s="21" t="s">
        <v>115</v>
      </c>
      <c r="K20" s="22">
        <v>5</v>
      </c>
      <c r="L20" s="23" t="s">
        <v>86</v>
      </c>
      <c r="M20" s="24">
        <v>40</v>
      </c>
      <c r="N20" s="25">
        <v>500</v>
      </c>
      <c r="O20" s="25"/>
      <c r="P20" s="26">
        <v>1.4627342682926767</v>
      </c>
      <c r="Q20" s="27">
        <f t="shared" si="0"/>
        <v>62.897573536585099</v>
      </c>
      <c r="R20" s="28">
        <f t="shared" si="1"/>
        <v>50.318058829268082</v>
      </c>
    </row>
    <row r="21" spans="1:18" ht="10.5" customHeight="1" x14ac:dyDescent="0.3">
      <c r="A21" s="21" t="s">
        <v>116</v>
      </c>
      <c r="B21" s="22">
        <v>3.5</v>
      </c>
      <c r="C21" s="23" t="s">
        <v>86</v>
      </c>
      <c r="D21" s="24">
        <v>12</v>
      </c>
      <c r="E21" s="25">
        <v>1000</v>
      </c>
      <c r="F21" s="26">
        <v>0.44423902439024393</v>
      </c>
      <c r="G21" s="27">
        <f t="shared" si="2"/>
        <v>19.102278048780487</v>
      </c>
      <c r="H21" s="28">
        <f t="shared" si="3"/>
        <v>15.28182243902439</v>
      </c>
      <c r="I21" s="20"/>
      <c r="J21" s="21" t="s">
        <v>117</v>
      </c>
      <c r="K21" s="22">
        <v>5</v>
      </c>
      <c r="L21" s="23" t="s">
        <v>86</v>
      </c>
      <c r="M21" s="24">
        <v>50</v>
      </c>
      <c r="N21" s="25" t="s">
        <v>94</v>
      </c>
      <c r="O21" s="25"/>
      <c r="P21" s="26">
        <v>2.002388951219507</v>
      </c>
      <c r="Q21" s="27">
        <f t="shared" si="0"/>
        <v>86.102724902438794</v>
      </c>
      <c r="R21" s="28">
        <f t="shared" si="1"/>
        <v>68.882179921951035</v>
      </c>
    </row>
    <row r="22" spans="1:18" ht="10.5" customHeight="1" x14ac:dyDescent="0.3">
      <c r="A22" s="21" t="s">
        <v>118</v>
      </c>
      <c r="B22" s="22">
        <v>3.5</v>
      </c>
      <c r="C22" s="23" t="s">
        <v>86</v>
      </c>
      <c r="D22" s="24">
        <v>16</v>
      </c>
      <c r="E22" s="25">
        <v>1000</v>
      </c>
      <c r="F22" s="26">
        <v>0.40246170731707381</v>
      </c>
      <c r="G22" s="27">
        <f t="shared" si="2"/>
        <v>17.305853414634175</v>
      </c>
      <c r="H22" s="28">
        <f t="shared" si="3"/>
        <v>13.844682731707341</v>
      </c>
      <c r="I22" s="20"/>
      <c r="J22" s="21" t="s">
        <v>119</v>
      </c>
      <c r="K22" s="22">
        <v>5</v>
      </c>
      <c r="L22" s="23" t="s">
        <v>86</v>
      </c>
      <c r="M22" s="24">
        <v>60</v>
      </c>
      <c r="N22" s="25" t="s">
        <v>94</v>
      </c>
      <c r="O22" s="25"/>
      <c r="P22" s="26">
        <v>2.2997278048780458</v>
      </c>
      <c r="Q22" s="27">
        <f t="shared" si="0"/>
        <v>98.888295609755971</v>
      </c>
      <c r="R22" s="28">
        <f t="shared" si="1"/>
        <v>79.110636487804783</v>
      </c>
    </row>
    <row r="23" spans="1:18" ht="10.5" customHeight="1" x14ac:dyDescent="0.3">
      <c r="A23" s="21" t="s">
        <v>120</v>
      </c>
      <c r="B23" s="22">
        <v>3.5</v>
      </c>
      <c r="C23" s="23" t="s">
        <v>86</v>
      </c>
      <c r="D23" s="24">
        <v>20</v>
      </c>
      <c r="E23" s="25">
        <v>1000</v>
      </c>
      <c r="F23" s="26">
        <v>0.47666526829268308</v>
      </c>
      <c r="G23" s="27">
        <f t="shared" si="2"/>
        <v>20.496606536585372</v>
      </c>
      <c r="H23" s="28">
        <f t="shared" si="3"/>
        <v>16.397285229268299</v>
      </c>
      <c r="I23" s="20"/>
      <c r="J23" s="21" t="s">
        <v>121</v>
      </c>
      <c r="K23" s="22">
        <v>5</v>
      </c>
      <c r="L23" s="23" t="s">
        <v>86</v>
      </c>
      <c r="M23" s="24">
        <v>70</v>
      </c>
      <c r="N23" s="25">
        <v>200</v>
      </c>
      <c r="O23" s="25"/>
      <c r="P23" s="26">
        <v>2.7770593658536611</v>
      </c>
      <c r="Q23" s="27">
        <f t="shared" si="0"/>
        <v>119.41355273170743</v>
      </c>
      <c r="R23" s="28">
        <f t="shared" si="1"/>
        <v>95.530842185365941</v>
      </c>
    </row>
    <row r="24" spans="1:18" ht="10.5" customHeight="1" x14ac:dyDescent="0.3">
      <c r="A24" s="21" t="s">
        <v>122</v>
      </c>
      <c r="B24" s="22">
        <v>3.5</v>
      </c>
      <c r="C24" s="23" t="s">
        <v>86</v>
      </c>
      <c r="D24" s="24">
        <v>25</v>
      </c>
      <c r="E24" s="25">
        <v>1000</v>
      </c>
      <c r="F24" s="26">
        <v>0.54117312195121992</v>
      </c>
      <c r="G24" s="27">
        <f t="shared" si="2"/>
        <v>23.270444243902457</v>
      </c>
      <c r="H24" s="28">
        <f t="shared" si="3"/>
        <v>18.616355395121964</v>
      </c>
      <c r="I24" s="20"/>
      <c r="J24" s="21" t="s">
        <v>123</v>
      </c>
      <c r="K24" s="22">
        <v>5</v>
      </c>
      <c r="L24" s="23" t="s">
        <v>86</v>
      </c>
      <c r="M24" s="24">
        <v>80</v>
      </c>
      <c r="N24" s="25" t="s">
        <v>101</v>
      </c>
      <c r="O24" s="25"/>
      <c r="P24" s="26">
        <v>2.9361896829268304</v>
      </c>
      <c r="Q24" s="27">
        <f t="shared" si="0"/>
        <v>126.25615636585371</v>
      </c>
      <c r="R24" s="28">
        <f t="shared" si="1"/>
        <v>101.00492509268297</v>
      </c>
    </row>
    <row r="25" spans="1:18" ht="10.5" customHeight="1" x14ac:dyDescent="0.3">
      <c r="A25" s="21" t="s">
        <v>124</v>
      </c>
      <c r="B25" s="22">
        <v>3.5</v>
      </c>
      <c r="C25" s="23" t="s">
        <v>86</v>
      </c>
      <c r="D25" s="24">
        <v>30</v>
      </c>
      <c r="E25" s="25">
        <v>1000</v>
      </c>
      <c r="F25" s="26">
        <v>0.62410182305999995</v>
      </c>
      <c r="G25" s="27">
        <f t="shared" si="2"/>
        <v>26.836378391579998</v>
      </c>
      <c r="H25" s="28">
        <f t="shared" si="3"/>
        <v>21.469102713264</v>
      </c>
      <c r="I25" s="20"/>
      <c r="J25" s="21" t="s">
        <v>125</v>
      </c>
      <c r="K25" s="22">
        <v>5</v>
      </c>
      <c r="L25" s="23" t="s">
        <v>86</v>
      </c>
      <c r="M25" s="24">
        <v>90</v>
      </c>
      <c r="N25" s="25" t="s">
        <v>126</v>
      </c>
      <c r="O25" s="25"/>
      <c r="P25" s="26">
        <v>3.3075275380487845</v>
      </c>
      <c r="Q25" s="27">
        <f t="shared" si="0"/>
        <v>142.22368413609775</v>
      </c>
      <c r="R25" s="28">
        <f t="shared" si="1"/>
        <v>113.7789473088782</v>
      </c>
    </row>
    <row r="26" spans="1:18" ht="10.5" customHeight="1" x14ac:dyDescent="0.3">
      <c r="A26" s="21" t="s">
        <v>127</v>
      </c>
      <c r="B26" s="22">
        <v>3.5</v>
      </c>
      <c r="C26" s="23" t="s">
        <v>86</v>
      </c>
      <c r="D26" s="24">
        <v>35</v>
      </c>
      <c r="E26" s="25" t="s">
        <v>88</v>
      </c>
      <c r="F26" s="26">
        <v>0.66744622291999989</v>
      </c>
      <c r="G26" s="27">
        <f t="shared" si="2"/>
        <v>28.700187585559995</v>
      </c>
      <c r="H26" s="28">
        <f t="shared" si="3"/>
        <v>22.960150068447994</v>
      </c>
      <c r="I26" s="20"/>
      <c r="J26" s="21" t="s">
        <v>128</v>
      </c>
      <c r="K26" s="22">
        <v>5</v>
      </c>
      <c r="L26" s="23" t="s">
        <v>86</v>
      </c>
      <c r="M26" s="24">
        <v>100</v>
      </c>
      <c r="N26" s="25" t="s">
        <v>126</v>
      </c>
      <c r="O26" s="25"/>
      <c r="P26" s="26">
        <v>3.7522450487804924</v>
      </c>
      <c r="Q26" s="27">
        <f t="shared" si="0"/>
        <v>161.34653709756117</v>
      </c>
      <c r="R26" s="28">
        <f t="shared" si="1"/>
        <v>129.07722967804892</v>
      </c>
    </row>
    <row r="27" spans="1:18" ht="10.5" customHeight="1" x14ac:dyDescent="0.3">
      <c r="A27" s="21" t="s">
        <v>129</v>
      </c>
      <c r="B27" s="22">
        <v>3.5</v>
      </c>
      <c r="C27" s="23" t="s">
        <v>86</v>
      </c>
      <c r="D27" s="24">
        <v>40</v>
      </c>
      <c r="E27" s="25" t="s">
        <v>88</v>
      </c>
      <c r="F27" s="26">
        <v>0.75248001460000002</v>
      </c>
      <c r="G27" s="27">
        <f t="shared" si="2"/>
        <v>32.356640627800004</v>
      </c>
      <c r="H27" s="28">
        <f t="shared" si="3"/>
        <v>25.885312502240005</v>
      </c>
      <c r="I27" s="20"/>
      <c r="J27" s="21" t="s">
        <v>130</v>
      </c>
      <c r="K27" s="22">
        <v>5</v>
      </c>
      <c r="L27" s="23" t="s">
        <v>86</v>
      </c>
      <c r="M27" s="24">
        <v>120</v>
      </c>
      <c r="N27" s="25">
        <v>100</v>
      </c>
      <c r="O27" s="25"/>
      <c r="P27" s="26">
        <v>4.8648351219512147</v>
      </c>
      <c r="Q27" s="27">
        <f t="shared" si="0"/>
        <v>209.18791024390222</v>
      </c>
      <c r="R27" s="28">
        <f t="shared" si="1"/>
        <v>167.35032819512179</v>
      </c>
    </row>
    <row r="28" spans="1:18" ht="10.5" customHeight="1" x14ac:dyDescent="0.3">
      <c r="A28" s="21" t="s">
        <v>131</v>
      </c>
      <c r="B28" s="22">
        <v>3.5</v>
      </c>
      <c r="C28" s="23" t="s">
        <v>86</v>
      </c>
      <c r="D28" s="24">
        <v>45</v>
      </c>
      <c r="E28" s="25" t="s">
        <v>88</v>
      </c>
      <c r="F28" s="26">
        <v>1.1055975609756097</v>
      </c>
      <c r="G28" s="27">
        <f t="shared" si="2"/>
        <v>47.540695121951217</v>
      </c>
      <c r="H28" s="28">
        <f t="shared" si="3"/>
        <v>38.03255609756097</v>
      </c>
      <c r="I28" s="20"/>
      <c r="J28" s="21" t="s">
        <v>132</v>
      </c>
      <c r="K28" s="22">
        <v>6</v>
      </c>
      <c r="L28" s="23" t="s">
        <v>86</v>
      </c>
      <c r="M28" s="24">
        <v>30</v>
      </c>
      <c r="N28" s="25" t="s">
        <v>94</v>
      </c>
      <c r="O28" s="25"/>
      <c r="P28" s="26">
        <v>2.4083146341463411</v>
      </c>
      <c r="Q28" s="27">
        <f t="shared" si="0"/>
        <v>103.55752926829267</v>
      </c>
      <c r="R28" s="28">
        <f t="shared" si="1"/>
        <v>82.846023414634132</v>
      </c>
    </row>
    <row r="29" spans="1:18" ht="10.5" customHeight="1" x14ac:dyDescent="0.3">
      <c r="A29" s="21" t="s">
        <v>133</v>
      </c>
      <c r="B29" s="22">
        <v>3.5</v>
      </c>
      <c r="C29" s="23" t="s">
        <v>86</v>
      </c>
      <c r="D29" s="24">
        <v>50</v>
      </c>
      <c r="E29" s="25" t="s">
        <v>88</v>
      </c>
      <c r="F29" s="26">
        <v>1.0052707317073168</v>
      </c>
      <c r="G29" s="27">
        <f t="shared" si="2"/>
        <v>43.226641463414623</v>
      </c>
      <c r="H29" s="28">
        <f t="shared" si="3"/>
        <v>34.581313170731697</v>
      </c>
      <c r="I29" s="20"/>
      <c r="J29" s="21" t="s">
        <v>134</v>
      </c>
      <c r="K29" s="22">
        <v>6</v>
      </c>
      <c r="L29" s="23" t="s">
        <v>86</v>
      </c>
      <c r="M29" s="24">
        <v>35</v>
      </c>
      <c r="N29" s="25" t="s">
        <v>94</v>
      </c>
      <c r="O29" s="25"/>
      <c r="P29" s="26">
        <v>2.4083146341463411</v>
      </c>
      <c r="Q29" s="27">
        <f t="shared" si="0"/>
        <v>103.55752926829267</v>
      </c>
      <c r="R29" s="28">
        <f t="shared" si="1"/>
        <v>82.846023414634132</v>
      </c>
    </row>
    <row r="30" spans="1:18" ht="10.5" customHeight="1" x14ac:dyDescent="0.3">
      <c r="A30" s="21" t="s">
        <v>135</v>
      </c>
      <c r="B30" s="22">
        <v>3.5</v>
      </c>
      <c r="C30" s="23" t="s">
        <v>86</v>
      </c>
      <c r="D30" s="24">
        <v>60</v>
      </c>
      <c r="E30" s="25">
        <v>250</v>
      </c>
      <c r="F30" s="26">
        <v>1.3950902439024386</v>
      </c>
      <c r="G30" s="27">
        <f t="shared" si="2"/>
        <v>59.988880487804863</v>
      </c>
      <c r="H30" s="28">
        <f t="shared" si="3"/>
        <v>47.991104390243891</v>
      </c>
      <c r="I30" s="20"/>
      <c r="J30" s="21" t="s">
        <v>136</v>
      </c>
      <c r="K30" s="22">
        <v>6</v>
      </c>
      <c r="L30" s="23" t="s">
        <v>86</v>
      </c>
      <c r="M30" s="24">
        <v>40</v>
      </c>
      <c r="N30" s="25" t="s">
        <v>101</v>
      </c>
      <c r="O30" s="25"/>
      <c r="P30" s="26">
        <v>2.6383173170731689</v>
      </c>
      <c r="Q30" s="27">
        <f t="shared" si="0"/>
        <v>113.44764463414626</v>
      </c>
      <c r="R30" s="28">
        <f t="shared" si="1"/>
        <v>90.758115707317003</v>
      </c>
    </row>
    <row r="31" spans="1:18" ht="10.5" customHeight="1" x14ac:dyDescent="0.3">
      <c r="A31" s="21" t="s">
        <v>137</v>
      </c>
      <c r="B31" s="22">
        <v>4</v>
      </c>
      <c r="C31" s="23" t="s">
        <v>86</v>
      </c>
      <c r="D31" s="24">
        <v>12</v>
      </c>
      <c r="E31" s="25">
        <v>1000</v>
      </c>
      <c r="F31" s="26">
        <v>0.37914146341463412</v>
      </c>
      <c r="G31" s="27">
        <f t="shared" si="2"/>
        <v>16.303082926829266</v>
      </c>
      <c r="H31" s="28">
        <f t="shared" si="3"/>
        <v>13.042466341463413</v>
      </c>
      <c r="I31" s="20"/>
      <c r="J31" s="21" t="s">
        <v>138</v>
      </c>
      <c r="K31" s="22">
        <v>6</v>
      </c>
      <c r="L31" s="23" t="s">
        <v>86</v>
      </c>
      <c r="M31" s="24">
        <v>45</v>
      </c>
      <c r="N31" s="25" t="s">
        <v>101</v>
      </c>
      <c r="O31" s="25"/>
      <c r="P31" s="26">
        <v>2.4164878048780483</v>
      </c>
      <c r="Q31" s="27">
        <f t="shared" si="0"/>
        <v>103.90897560975607</v>
      </c>
      <c r="R31" s="28">
        <f t="shared" si="1"/>
        <v>83.12718048780485</v>
      </c>
    </row>
    <row r="32" spans="1:18" ht="10.5" customHeight="1" x14ac:dyDescent="0.3">
      <c r="A32" s="21" t="s">
        <v>139</v>
      </c>
      <c r="B32" s="22">
        <v>4</v>
      </c>
      <c r="C32" s="23" t="s">
        <v>86</v>
      </c>
      <c r="D32" s="24">
        <v>16</v>
      </c>
      <c r="E32" s="25">
        <v>1000</v>
      </c>
      <c r="F32" s="26">
        <v>0.51956073170731687</v>
      </c>
      <c r="G32" s="27">
        <f t="shared" si="2"/>
        <v>22.341111463414624</v>
      </c>
      <c r="H32" s="28">
        <f t="shared" si="3"/>
        <v>17.8728891707317</v>
      </c>
      <c r="I32" s="20"/>
      <c r="J32" s="21" t="s">
        <v>140</v>
      </c>
      <c r="K32" s="22">
        <v>6</v>
      </c>
      <c r="L32" s="23" t="s">
        <v>86</v>
      </c>
      <c r="M32" s="24">
        <v>50</v>
      </c>
      <c r="N32" s="25" t="s">
        <v>101</v>
      </c>
      <c r="O32" s="25"/>
      <c r="P32" s="26">
        <v>3.0634000000000001</v>
      </c>
      <c r="Q32" s="27">
        <f t="shared" si="0"/>
        <v>131.72620000000001</v>
      </c>
      <c r="R32" s="28">
        <f t="shared" si="1"/>
        <v>105.38096</v>
      </c>
    </row>
    <row r="33" spans="1:18" ht="10.5" customHeight="1" x14ac:dyDescent="0.3">
      <c r="A33" s="21" t="s">
        <v>141</v>
      </c>
      <c r="B33" s="22">
        <v>4</v>
      </c>
      <c r="C33" s="23" t="s">
        <v>86</v>
      </c>
      <c r="D33" s="24">
        <v>20</v>
      </c>
      <c r="E33" s="25">
        <v>1000</v>
      </c>
      <c r="F33" s="26">
        <v>0.46528659756097535</v>
      </c>
      <c r="G33" s="27">
        <f t="shared" si="2"/>
        <v>20.00732369512194</v>
      </c>
      <c r="H33" s="28">
        <f t="shared" si="3"/>
        <v>16.005858956097551</v>
      </c>
      <c r="I33" s="20"/>
      <c r="J33" s="21" t="s">
        <v>142</v>
      </c>
      <c r="K33" s="22">
        <v>6</v>
      </c>
      <c r="L33" s="23" t="s">
        <v>86</v>
      </c>
      <c r="M33" s="24">
        <v>60</v>
      </c>
      <c r="N33" s="25" t="s">
        <v>101</v>
      </c>
      <c r="O33" s="25"/>
      <c r="P33" s="26">
        <v>3.3171699999842996</v>
      </c>
      <c r="Q33" s="27">
        <f t="shared" si="0"/>
        <v>142.63830999932489</v>
      </c>
      <c r="R33" s="28">
        <f t="shared" si="1"/>
        <v>114.11064799945991</v>
      </c>
    </row>
    <row r="34" spans="1:18" ht="10.5" customHeight="1" x14ac:dyDescent="0.3">
      <c r="A34" s="21" t="s">
        <v>143</v>
      </c>
      <c r="B34" s="22">
        <v>4</v>
      </c>
      <c r="C34" s="23" t="s">
        <v>86</v>
      </c>
      <c r="D34" s="24">
        <v>25</v>
      </c>
      <c r="E34" s="25">
        <v>1000</v>
      </c>
      <c r="F34" s="26">
        <v>0.66689565853658461</v>
      </c>
      <c r="G34" s="27">
        <f t="shared" si="2"/>
        <v>28.676513317073137</v>
      </c>
      <c r="H34" s="28">
        <f t="shared" si="3"/>
        <v>22.941210653658509</v>
      </c>
      <c r="I34" s="20"/>
      <c r="J34" s="21" t="s">
        <v>144</v>
      </c>
      <c r="K34" s="22">
        <v>6</v>
      </c>
      <c r="L34" s="23" t="s">
        <v>86</v>
      </c>
      <c r="M34" s="24">
        <v>70</v>
      </c>
      <c r="N34" s="25">
        <v>100</v>
      </c>
      <c r="O34" s="25"/>
      <c r="P34" s="26">
        <v>3.9651102439024464</v>
      </c>
      <c r="Q34" s="27">
        <f t="shared" si="0"/>
        <v>170.49974048780518</v>
      </c>
      <c r="R34" s="28">
        <f t="shared" si="1"/>
        <v>136.39979239024416</v>
      </c>
    </row>
    <row r="35" spans="1:18" ht="10.5" customHeight="1" x14ac:dyDescent="0.3">
      <c r="A35" s="21" t="s">
        <v>145</v>
      </c>
      <c r="B35" s="22">
        <v>4</v>
      </c>
      <c r="C35" s="23" t="s">
        <v>86</v>
      </c>
      <c r="D35" s="24">
        <v>30</v>
      </c>
      <c r="E35" s="25" t="s">
        <v>88</v>
      </c>
      <c r="F35" s="26">
        <v>0.74169658536585381</v>
      </c>
      <c r="G35" s="27">
        <f t="shared" si="2"/>
        <v>31.892953170731715</v>
      </c>
      <c r="H35" s="28">
        <f t="shared" si="3"/>
        <v>25.514362536585374</v>
      </c>
      <c r="I35" s="20"/>
      <c r="J35" s="21" t="s">
        <v>146</v>
      </c>
      <c r="K35" s="22">
        <v>6</v>
      </c>
      <c r="L35" s="23" t="s">
        <v>86</v>
      </c>
      <c r="M35" s="24">
        <v>80</v>
      </c>
      <c r="N35" s="25">
        <v>100</v>
      </c>
      <c r="O35" s="25"/>
      <c r="P35" s="26">
        <v>4.4086160975609685</v>
      </c>
      <c r="Q35" s="27">
        <f t="shared" si="0"/>
        <v>189.57049219512166</v>
      </c>
      <c r="R35" s="28">
        <f t="shared" si="1"/>
        <v>151.65639375609732</v>
      </c>
    </row>
    <row r="36" spans="1:18" ht="10.5" customHeight="1" x14ac:dyDescent="0.3">
      <c r="A36" s="21" t="s">
        <v>147</v>
      </c>
      <c r="B36" s="22">
        <v>4</v>
      </c>
      <c r="C36" s="23" t="s">
        <v>86</v>
      </c>
      <c r="D36" s="24">
        <v>35</v>
      </c>
      <c r="E36" s="25">
        <v>500</v>
      </c>
      <c r="F36" s="26">
        <v>1.1055975609756097</v>
      </c>
      <c r="G36" s="27">
        <f t="shared" si="2"/>
        <v>47.540695121951217</v>
      </c>
      <c r="H36" s="28">
        <f t="shared" si="3"/>
        <v>38.03255609756097</v>
      </c>
      <c r="I36" s="20"/>
      <c r="J36" s="21" t="s">
        <v>148</v>
      </c>
      <c r="K36" s="22">
        <v>6</v>
      </c>
      <c r="L36" s="23" t="s">
        <v>86</v>
      </c>
      <c r="M36" s="24">
        <v>90</v>
      </c>
      <c r="N36" s="25">
        <v>100</v>
      </c>
      <c r="O36" s="25"/>
      <c r="P36" s="26">
        <v>5.8174804878048771</v>
      </c>
      <c r="Q36" s="27">
        <f t="shared" si="0"/>
        <v>250.15166097560973</v>
      </c>
      <c r="R36" s="28">
        <f t="shared" si="1"/>
        <v>200.12132878048777</v>
      </c>
    </row>
    <row r="37" spans="1:18" ht="10.5" customHeight="1" x14ac:dyDescent="0.3">
      <c r="A37" s="21" t="s">
        <v>149</v>
      </c>
      <c r="B37" s="22">
        <v>4</v>
      </c>
      <c r="C37" s="23" t="s">
        <v>86</v>
      </c>
      <c r="D37" s="24">
        <v>40</v>
      </c>
      <c r="E37" s="25">
        <v>500</v>
      </c>
      <c r="F37" s="26">
        <v>0.94333997560975535</v>
      </c>
      <c r="G37" s="27">
        <f t="shared" si="2"/>
        <v>40.563618951219482</v>
      </c>
      <c r="H37" s="28">
        <f t="shared" si="3"/>
        <v>32.450895160975584</v>
      </c>
      <c r="I37" s="20"/>
      <c r="J37" s="21" t="s">
        <v>150</v>
      </c>
      <c r="K37" s="22">
        <v>6</v>
      </c>
      <c r="L37" s="23" t="s">
        <v>86</v>
      </c>
      <c r="M37" s="24">
        <v>100</v>
      </c>
      <c r="N37" s="25">
        <v>100</v>
      </c>
      <c r="O37" s="25"/>
      <c r="P37" s="26">
        <v>5.3062731707317052</v>
      </c>
      <c r="Q37" s="27">
        <f t="shared" si="0"/>
        <v>228.16974634146334</v>
      </c>
      <c r="R37" s="28">
        <f t="shared" si="1"/>
        <v>182.53579707317067</v>
      </c>
    </row>
    <row r="38" spans="1:18" ht="10.5" customHeight="1" x14ac:dyDescent="0.3">
      <c r="A38" s="21" t="s">
        <v>151</v>
      </c>
      <c r="B38" s="22">
        <v>4</v>
      </c>
      <c r="C38" s="23" t="s">
        <v>86</v>
      </c>
      <c r="D38" s="24">
        <v>45</v>
      </c>
      <c r="E38" s="25">
        <v>500</v>
      </c>
      <c r="F38" s="26">
        <v>1.3227170731707323</v>
      </c>
      <c r="G38" s="27">
        <f t="shared" si="2"/>
        <v>56.876834146341487</v>
      </c>
      <c r="H38" s="28">
        <f t="shared" si="3"/>
        <v>45.501467317073192</v>
      </c>
      <c r="I38" s="20"/>
      <c r="J38" s="21" t="s">
        <v>152</v>
      </c>
      <c r="K38" s="22">
        <v>6</v>
      </c>
      <c r="L38" s="23" t="s">
        <v>86</v>
      </c>
      <c r="M38" s="24">
        <v>120</v>
      </c>
      <c r="N38" s="25">
        <v>100</v>
      </c>
      <c r="O38" s="25"/>
      <c r="P38" s="26">
        <v>7.6268097560975594</v>
      </c>
      <c r="Q38" s="27">
        <f t="shared" si="0"/>
        <v>327.95281951219505</v>
      </c>
      <c r="R38" s="28">
        <f t="shared" si="1"/>
        <v>262.36225560975606</v>
      </c>
    </row>
    <row r="39" spans="1:18" ht="10.5" customHeight="1" x14ac:dyDescent="0.3">
      <c r="A39" s="21" t="s">
        <v>153</v>
      </c>
      <c r="B39" s="22">
        <v>4</v>
      </c>
      <c r="C39" s="23" t="s">
        <v>86</v>
      </c>
      <c r="D39" s="24">
        <v>50</v>
      </c>
      <c r="E39" s="25" t="s">
        <v>94</v>
      </c>
      <c r="F39" s="26">
        <v>1.1447326829268292</v>
      </c>
      <c r="G39" s="27">
        <f t="shared" si="2"/>
        <v>49.223505365853654</v>
      </c>
      <c r="H39" s="28">
        <f t="shared" si="3"/>
        <v>39.378804292682922</v>
      </c>
      <c r="I39" s="20"/>
      <c r="J39" s="21" t="s">
        <v>154</v>
      </c>
      <c r="K39" s="22">
        <v>6</v>
      </c>
      <c r="L39" s="23" t="s">
        <v>86</v>
      </c>
      <c r="M39" s="24">
        <v>140</v>
      </c>
      <c r="N39" s="25">
        <v>100</v>
      </c>
      <c r="O39" s="25"/>
      <c r="P39" s="26">
        <v>7.7727609756097555</v>
      </c>
      <c r="Q39" s="27">
        <f t="shared" si="0"/>
        <v>334.22872195121948</v>
      </c>
      <c r="R39" s="28">
        <f t="shared" si="1"/>
        <v>267.38297756097558</v>
      </c>
    </row>
    <row r="40" spans="1:18" ht="10.5" customHeight="1" x14ac:dyDescent="0.3">
      <c r="A40" s="21" t="s">
        <v>155</v>
      </c>
      <c r="B40" s="22">
        <v>4</v>
      </c>
      <c r="C40" s="23" t="s">
        <v>86</v>
      </c>
      <c r="D40" s="24">
        <v>55</v>
      </c>
      <c r="E40" s="25" t="s">
        <v>94</v>
      </c>
      <c r="F40" s="26">
        <v>1.7569560975609757</v>
      </c>
      <c r="G40" s="27">
        <f t="shared" si="2"/>
        <v>75.54911219512195</v>
      </c>
      <c r="H40" s="28">
        <f t="shared" si="3"/>
        <v>60.439289756097558</v>
      </c>
      <c r="I40" s="20"/>
      <c r="J40" s="21" t="s">
        <v>156</v>
      </c>
      <c r="K40" s="22">
        <v>6</v>
      </c>
      <c r="L40" s="23" t="s">
        <v>86</v>
      </c>
      <c r="M40" s="24">
        <v>160</v>
      </c>
      <c r="N40" s="25" t="s">
        <v>157</v>
      </c>
      <c r="O40" s="25"/>
      <c r="P40" s="26">
        <v>9.0980707317073168</v>
      </c>
      <c r="Q40" s="27">
        <f t="shared" si="0"/>
        <v>391.2170414634146</v>
      </c>
      <c r="R40" s="28">
        <f t="shared" si="1"/>
        <v>312.97363317073166</v>
      </c>
    </row>
    <row r="41" spans="1:18" ht="10.5" customHeight="1" x14ac:dyDescent="0.3">
      <c r="A41" s="21" t="s">
        <v>158</v>
      </c>
      <c r="B41" s="22">
        <v>4</v>
      </c>
      <c r="C41" s="23" t="s">
        <v>86</v>
      </c>
      <c r="D41" s="24">
        <v>60</v>
      </c>
      <c r="E41" s="25" t="s">
        <v>94</v>
      </c>
      <c r="F41" s="26">
        <v>1.5370524390243843</v>
      </c>
      <c r="G41" s="27">
        <f t="shared" si="2"/>
        <v>66.093254878048526</v>
      </c>
      <c r="H41" s="28">
        <f t="shared" si="3"/>
        <v>52.874603902438821</v>
      </c>
      <c r="I41" s="20"/>
      <c r="J41" s="21" t="s">
        <v>159</v>
      </c>
      <c r="K41" s="22">
        <v>6</v>
      </c>
      <c r="L41" s="23" t="s">
        <v>86</v>
      </c>
      <c r="M41" s="24">
        <v>180</v>
      </c>
      <c r="N41" s="25" t="s">
        <v>157</v>
      </c>
      <c r="O41" s="25"/>
      <c r="P41" s="26">
        <v>12.331065853658536</v>
      </c>
      <c r="Q41" s="27">
        <f t="shared" si="0"/>
        <v>530.23583170731706</v>
      </c>
      <c r="R41" s="28">
        <f t="shared" si="1"/>
        <v>424.18866536585364</v>
      </c>
    </row>
    <row r="42" spans="1:18" ht="10.5" customHeight="1" x14ac:dyDescent="0.3">
      <c r="A42" s="31" t="s">
        <v>160</v>
      </c>
      <c r="B42" s="32">
        <v>4</v>
      </c>
      <c r="C42" s="33" t="s">
        <v>86</v>
      </c>
      <c r="D42" s="34">
        <v>70</v>
      </c>
      <c r="E42" s="35" t="s">
        <v>101</v>
      </c>
      <c r="F42" s="36">
        <v>1.7063060975609217</v>
      </c>
      <c r="G42" s="37">
        <f t="shared" si="2"/>
        <v>73.371162195119638</v>
      </c>
      <c r="H42" s="38">
        <f t="shared" si="3"/>
        <v>58.696929756095713</v>
      </c>
      <c r="I42" s="20"/>
      <c r="J42" s="21" t="s">
        <v>161</v>
      </c>
      <c r="K42" s="22">
        <v>6</v>
      </c>
      <c r="L42" s="23" t="s">
        <v>86</v>
      </c>
      <c r="M42" s="24">
        <v>200</v>
      </c>
      <c r="N42" s="25" t="s">
        <v>157</v>
      </c>
      <c r="O42" s="25"/>
      <c r="P42" s="26">
        <v>15.008873170731706</v>
      </c>
      <c r="Q42" s="27">
        <f t="shared" si="0"/>
        <v>645.38154634146338</v>
      </c>
      <c r="R42" s="28">
        <f t="shared" si="1"/>
        <v>516.3052370731707</v>
      </c>
    </row>
    <row r="43" spans="1:18" ht="10.5" customHeight="1" x14ac:dyDescent="0.3">
      <c r="A43" s="21" t="s">
        <v>162</v>
      </c>
      <c r="B43" s="22">
        <v>4.5</v>
      </c>
      <c r="C43" s="23" t="s">
        <v>86</v>
      </c>
      <c r="D43" s="24">
        <v>16</v>
      </c>
      <c r="E43" s="25">
        <v>1000</v>
      </c>
      <c r="F43" s="26">
        <v>0.75206799769199995</v>
      </c>
      <c r="G43" s="27">
        <f t="shared" si="2"/>
        <v>32.338923900756001</v>
      </c>
      <c r="H43" s="28">
        <f t="shared" si="3"/>
        <v>25.871139120604802</v>
      </c>
      <c r="I43" s="20"/>
      <c r="J43" s="21" t="s">
        <v>163</v>
      </c>
      <c r="K43" s="22">
        <v>6</v>
      </c>
      <c r="L43" s="23" t="s">
        <v>86</v>
      </c>
      <c r="M43" s="24">
        <v>220</v>
      </c>
      <c r="N43" s="25" t="s">
        <v>157</v>
      </c>
      <c r="O43" s="25"/>
      <c r="P43" s="26">
        <v>16.81820243902439</v>
      </c>
      <c r="Q43" s="27">
        <f t="shared" si="0"/>
        <v>723.18270487804875</v>
      </c>
      <c r="R43" s="28">
        <f t="shared" si="1"/>
        <v>578.54616390243905</v>
      </c>
    </row>
    <row r="44" spans="1:18" ht="10.5" customHeight="1" x14ac:dyDescent="0.3">
      <c r="A44" s="39"/>
      <c r="B44" s="40"/>
      <c r="C44" s="41"/>
      <c r="D44" s="42"/>
      <c r="E44" s="43"/>
      <c r="F44" s="44"/>
      <c r="G44" s="45"/>
      <c r="H44" s="46"/>
      <c r="I44" s="20"/>
      <c r="J44" s="20"/>
      <c r="K44" s="20"/>
      <c r="L44" s="20"/>
      <c r="M44" s="20"/>
      <c r="N44" s="20"/>
      <c r="O44" s="20"/>
      <c r="P44" s="20"/>
      <c r="Q44" s="20"/>
      <c r="R44" s="20"/>
    </row>
    <row r="45" spans="1:18" ht="10.5" customHeight="1" x14ac:dyDescent="0.3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0.5" customHeight="1" x14ac:dyDescent="0.3">
      <c r="A46" s="47" t="s">
        <v>164</v>
      </c>
      <c r="B46" s="48" t="s">
        <v>77</v>
      </c>
      <c r="C46" s="49"/>
      <c r="D46" s="49"/>
      <c r="E46" s="49"/>
      <c r="F46" s="49"/>
      <c r="G46" s="49"/>
      <c r="H46" s="49"/>
      <c r="I46" s="50"/>
      <c r="J46" s="446" t="s">
        <v>78</v>
      </c>
      <c r="K46" s="446" t="s">
        <v>79</v>
      </c>
      <c r="L46" s="446"/>
      <c r="M46" s="446"/>
      <c r="N46" s="447" t="s">
        <v>80</v>
      </c>
      <c r="O46" s="14"/>
      <c r="P46" s="15"/>
      <c r="Q46" s="16" t="s">
        <v>81</v>
      </c>
      <c r="R46" s="17" t="s">
        <v>82</v>
      </c>
    </row>
    <row r="47" spans="1:18" ht="10.5" customHeight="1" x14ac:dyDescent="0.3">
      <c r="A47" s="18"/>
      <c r="B47" s="20"/>
      <c r="C47" s="20"/>
      <c r="D47" s="20"/>
      <c r="E47" s="20"/>
      <c r="F47" s="20"/>
      <c r="G47" s="20"/>
      <c r="H47" s="20"/>
      <c r="I47" s="20"/>
      <c r="J47" s="446"/>
      <c r="K47" s="446"/>
      <c r="L47" s="446"/>
      <c r="M47" s="446"/>
      <c r="N47" s="447"/>
      <c r="O47" s="14"/>
      <c r="P47" s="19" t="s">
        <v>83</v>
      </c>
      <c r="Q47" s="15" t="s">
        <v>84</v>
      </c>
      <c r="R47" s="15" t="s">
        <v>84</v>
      </c>
    </row>
    <row r="48" spans="1:18" ht="10.5" customHeight="1" x14ac:dyDescent="0.3">
      <c r="A48" s="18"/>
      <c r="B48" s="20"/>
      <c r="C48" s="20"/>
      <c r="D48" s="20"/>
      <c r="E48" s="20"/>
      <c r="F48" s="20"/>
      <c r="G48" s="20"/>
      <c r="H48" s="20"/>
      <c r="I48" s="20"/>
      <c r="J48" s="21" t="str">
        <f>0&amp;1002&amp;K48*10&amp;M48</f>
        <v>010024035</v>
      </c>
      <c r="K48" s="51">
        <v>4</v>
      </c>
      <c r="L48" s="23" t="s">
        <v>86</v>
      </c>
      <c r="M48" s="24">
        <v>35</v>
      </c>
      <c r="N48" s="25">
        <v>500</v>
      </c>
      <c r="O48" s="25"/>
      <c r="P48" s="26">
        <v>1.57</v>
      </c>
      <c r="Q48" s="52">
        <f t="shared" ref="Q48:Q70" si="4">P48*$F$10</f>
        <v>67.510000000000005</v>
      </c>
      <c r="R48" s="28">
        <f t="shared" ref="R48:R70" si="5">Q48-Q48*0.2</f>
        <v>54.008000000000003</v>
      </c>
    </row>
    <row r="49" spans="1:18" ht="10.5" customHeight="1" x14ac:dyDescent="0.3">
      <c r="A49" s="18"/>
      <c r="B49" s="20"/>
      <c r="C49" s="20"/>
      <c r="D49" s="20"/>
      <c r="E49" s="20"/>
      <c r="F49" s="20"/>
      <c r="G49" s="20"/>
      <c r="H49" s="20"/>
      <c r="I49" s="20"/>
      <c r="J49" s="21" t="str">
        <f>0&amp;1002&amp;K49*10&amp;M49</f>
        <v>010024040</v>
      </c>
      <c r="K49" s="51">
        <v>4</v>
      </c>
      <c r="L49" s="23" t="s">
        <v>86</v>
      </c>
      <c r="M49" s="24">
        <v>40</v>
      </c>
      <c r="N49" s="25">
        <v>500</v>
      </c>
      <c r="O49" s="25"/>
      <c r="P49" s="26">
        <v>1.7</v>
      </c>
      <c r="Q49" s="52">
        <f t="shared" si="4"/>
        <v>73.099999999999994</v>
      </c>
      <c r="R49" s="28">
        <f t="shared" si="5"/>
        <v>58.48</v>
      </c>
    </row>
    <row r="50" spans="1:18" ht="10.5" customHeight="1" x14ac:dyDescent="0.3">
      <c r="A50" s="18"/>
      <c r="B50" s="20"/>
      <c r="C50" s="20"/>
      <c r="D50" s="20"/>
      <c r="E50" s="20"/>
      <c r="F50" s="20"/>
      <c r="G50" s="20"/>
      <c r="H50" s="20"/>
      <c r="I50" s="20"/>
      <c r="J50" s="21" t="str">
        <f>0&amp;1002&amp;K50*10&amp;M50</f>
        <v>010024045</v>
      </c>
      <c r="K50" s="51">
        <v>4</v>
      </c>
      <c r="L50" s="23" t="s">
        <v>86</v>
      </c>
      <c r="M50" s="24">
        <v>45</v>
      </c>
      <c r="N50" s="25" t="s">
        <v>88</v>
      </c>
      <c r="O50" s="25"/>
      <c r="P50" s="26">
        <v>1.87</v>
      </c>
      <c r="Q50" s="52">
        <f t="shared" si="4"/>
        <v>80.410000000000011</v>
      </c>
      <c r="R50" s="28">
        <f t="shared" si="5"/>
        <v>64.328000000000003</v>
      </c>
    </row>
    <row r="51" spans="1:18" ht="10.5" customHeight="1" x14ac:dyDescent="0.3">
      <c r="A51" s="53" t="s">
        <v>165</v>
      </c>
      <c r="B51" s="20"/>
      <c r="C51" s="20"/>
      <c r="D51" s="20"/>
      <c r="E51" s="20"/>
      <c r="F51" s="20"/>
      <c r="G51" s="20"/>
      <c r="H51" s="20"/>
      <c r="I51" s="20"/>
      <c r="J51" s="21" t="str">
        <f>0&amp;1002&amp;K51*10&amp;M51</f>
        <v>010024050</v>
      </c>
      <c r="K51" s="51">
        <v>4</v>
      </c>
      <c r="L51" s="23" t="s">
        <v>86</v>
      </c>
      <c r="M51" s="24">
        <v>50</v>
      </c>
      <c r="N51" s="25">
        <v>500</v>
      </c>
      <c r="O51" s="25"/>
      <c r="P51" s="26">
        <v>2.0499999999999998</v>
      </c>
      <c r="Q51" s="52">
        <f t="shared" si="4"/>
        <v>88.149999999999991</v>
      </c>
      <c r="R51" s="28">
        <f t="shared" si="5"/>
        <v>70.52</v>
      </c>
    </row>
    <row r="52" spans="1:18" ht="10.5" customHeight="1" x14ac:dyDescent="0.3">
      <c r="A52" s="53" t="s">
        <v>166</v>
      </c>
      <c r="B52" s="20"/>
      <c r="C52" s="20"/>
      <c r="D52" s="20"/>
      <c r="E52" s="20"/>
      <c r="F52" s="20"/>
      <c r="G52" s="20"/>
      <c r="H52" s="20"/>
      <c r="I52" s="20"/>
      <c r="J52" s="54" t="s">
        <v>167</v>
      </c>
      <c r="K52" s="55">
        <v>4.5</v>
      </c>
      <c r="L52" s="56" t="s">
        <v>86</v>
      </c>
      <c r="M52" s="57">
        <v>30</v>
      </c>
      <c r="N52" s="58">
        <v>500</v>
      </c>
      <c r="O52" s="58"/>
      <c r="P52" s="59">
        <v>1.76</v>
      </c>
      <c r="Q52" s="60">
        <f t="shared" si="4"/>
        <v>75.680000000000007</v>
      </c>
      <c r="R52" s="28">
        <f t="shared" si="5"/>
        <v>60.544000000000004</v>
      </c>
    </row>
    <row r="53" spans="1:18" ht="12" customHeight="1" thickBot="1" x14ac:dyDescent="0.35">
      <c r="A53" s="446" t="s">
        <v>78</v>
      </c>
      <c r="B53" s="446" t="s">
        <v>79</v>
      </c>
      <c r="C53" s="446"/>
      <c r="D53" s="446"/>
      <c r="E53" s="447" t="s">
        <v>80</v>
      </c>
      <c r="F53" s="61"/>
      <c r="G53" s="16" t="s">
        <v>81</v>
      </c>
      <c r="H53" s="17" t="s">
        <v>82</v>
      </c>
      <c r="I53" s="20"/>
      <c r="J53" s="62" t="s">
        <v>168</v>
      </c>
      <c r="K53" s="63">
        <v>4.5</v>
      </c>
      <c r="L53" s="64" t="s">
        <v>86</v>
      </c>
      <c r="M53" s="65">
        <v>40</v>
      </c>
      <c r="N53" s="66">
        <v>500</v>
      </c>
      <c r="O53" s="66"/>
      <c r="P53" s="67">
        <v>2.15</v>
      </c>
      <c r="Q53" s="52">
        <f t="shared" si="4"/>
        <v>92.45</v>
      </c>
      <c r="R53" s="28">
        <f t="shared" si="5"/>
        <v>73.960000000000008</v>
      </c>
    </row>
    <row r="54" spans="1:18" ht="9.75" customHeight="1" thickTop="1" x14ac:dyDescent="0.3">
      <c r="A54" s="446"/>
      <c r="B54" s="446"/>
      <c r="C54" s="446"/>
      <c r="D54" s="446"/>
      <c r="E54" s="447"/>
      <c r="F54" s="68"/>
      <c r="G54" s="69" t="s">
        <v>84</v>
      </c>
      <c r="H54" s="69" t="s">
        <v>84</v>
      </c>
      <c r="I54" s="20"/>
      <c r="J54" s="62" t="s">
        <v>169</v>
      </c>
      <c r="K54" s="63">
        <v>4.5</v>
      </c>
      <c r="L54" s="64" t="s">
        <v>86</v>
      </c>
      <c r="M54" s="65">
        <v>45</v>
      </c>
      <c r="N54" s="66">
        <v>250</v>
      </c>
      <c r="O54" s="66"/>
      <c r="P54" s="67">
        <v>2.33</v>
      </c>
      <c r="Q54" s="52">
        <f t="shared" si="4"/>
        <v>100.19</v>
      </c>
      <c r="R54" s="28">
        <f t="shared" si="5"/>
        <v>80.152000000000001</v>
      </c>
    </row>
    <row r="55" spans="1:18" ht="10.5" customHeight="1" x14ac:dyDescent="0.3">
      <c r="A55" s="21" t="str">
        <f t="shared" ref="A55:A71" si="6">0&amp;1002&amp;B55*10&amp;D55</f>
        <v>010023010</v>
      </c>
      <c r="B55" s="51">
        <v>3</v>
      </c>
      <c r="C55" s="23" t="s">
        <v>86</v>
      </c>
      <c r="D55" s="24">
        <v>10</v>
      </c>
      <c r="E55" s="25" t="s">
        <v>170</v>
      </c>
      <c r="F55" s="26">
        <v>0.57999999999999996</v>
      </c>
      <c r="G55" s="52">
        <f t="shared" ref="G55:G71" si="7">F55*$F$10</f>
        <v>24.939999999999998</v>
      </c>
      <c r="H55" s="28">
        <f t="shared" ref="H55:H71" si="8">G55-G55*0.2</f>
        <v>19.951999999999998</v>
      </c>
      <c r="I55" s="20"/>
      <c r="J55" s="62" t="s">
        <v>171</v>
      </c>
      <c r="K55" s="70">
        <v>5</v>
      </c>
      <c r="L55" s="64" t="s">
        <v>86</v>
      </c>
      <c r="M55" s="65">
        <v>20</v>
      </c>
      <c r="N55" s="66">
        <v>500</v>
      </c>
      <c r="O55" s="66"/>
      <c r="P55" s="67">
        <v>1.83</v>
      </c>
      <c r="Q55" s="52">
        <f t="shared" si="4"/>
        <v>78.69</v>
      </c>
      <c r="R55" s="28">
        <f t="shared" si="5"/>
        <v>62.951999999999998</v>
      </c>
    </row>
    <row r="56" spans="1:18" ht="10.5" customHeight="1" x14ac:dyDescent="0.3">
      <c r="A56" s="21" t="str">
        <f t="shared" si="6"/>
        <v>010023012</v>
      </c>
      <c r="B56" s="51">
        <v>3</v>
      </c>
      <c r="C56" s="23" t="s">
        <v>86</v>
      </c>
      <c r="D56" s="24">
        <v>12</v>
      </c>
      <c r="E56" s="25">
        <v>1000</v>
      </c>
      <c r="F56" s="26">
        <v>0.59</v>
      </c>
      <c r="G56" s="52">
        <f t="shared" si="7"/>
        <v>25.369999999999997</v>
      </c>
      <c r="H56" s="28">
        <f t="shared" si="8"/>
        <v>20.295999999999999</v>
      </c>
      <c r="I56" s="20"/>
      <c r="J56" s="62" t="s">
        <v>172</v>
      </c>
      <c r="K56" s="70">
        <v>5</v>
      </c>
      <c r="L56" s="64" t="s">
        <v>86</v>
      </c>
      <c r="M56" s="65">
        <v>25</v>
      </c>
      <c r="N56" s="66">
        <v>500</v>
      </c>
      <c r="O56" s="66"/>
      <c r="P56" s="67">
        <v>2.0699999999999998</v>
      </c>
      <c r="Q56" s="52">
        <f t="shared" si="4"/>
        <v>89.009999999999991</v>
      </c>
      <c r="R56" s="28">
        <f t="shared" si="5"/>
        <v>71.207999999999998</v>
      </c>
    </row>
    <row r="57" spans="1:18" ht="10.5" customHeight="1" x14ac:dyDescent="0.3">
      <c r="A57" s="21" t="str">
        <f t="shared" si="6"/>
        <v>010023016</v>
      </c>
      <c r="B57" s="51">
        <v>3</v>
      </c>
      <c r="C57" s="23" t="s">
        <v>86</v>
      </c>
      <c r="D57" s="24">
        <v>16</v>
      </c>
      <c r="E57" s="25">
        <v>1000</v>
      </c>
      <c r="F57" s="26">
        <v>0.66</v>
      </c>
      <c r="G57" s="52">
        <f t="shared" si="7"/>
        <v>28.380000000000003</v>
      </c>
      <c r="H57" s="28">
        <f t="shared" si="8"/>
        <v>22.704000000000001</v>
      </c>
      <c r="I57" s="20"/>
      <c r="J57" s="62" t="s">
        <v>173</v>
      </c>
      <c r="K57" s="70">
        <v>5</v>
      </c>
      <c r="L57" s="64" t="s">
        <v>86</v>
      </c>
      <c r="M57" s="65">
        <v>30</v>
      </c>
      <c r="N57" s="66">
        <v>500</v>
      </c>
      <c r="O57" s="66"/>
      <c r="P57" s="67">
        <v>2.21</v>
      </c>
      <c r="Q57" s="52">
        <f t="shared" si="4"/>
        <v>95.03</v>
      </c>
      <c r="R57" s="28">
        <f t="shared" si="5"/>
        <v>76.024000000000001</v>
      </c>
    </row>
    <row r="58" spans="1:18" ht="10.5" customHeight="1" x14ac:dyDescent="0.3">
      <c r="A58" s="21" t="str">
        <f t="shared" si="6"/>
        <v>010023020</v>
      </c>
      <c r="B58" s="51">
        <v>3</v>
      </c>
      <c r="C58" s="23" t="s">
        <v>86</v>
      </c>
      <c r="D58" s="24">
        <v>20</v>
      </c>
      <c r="E58" s="25">
        <v>1000</v>
      </c>
      <c r="F58" s="26">
        <v>0.72</v>
      </c>
      <c r="G58" s="52">
        <f t="shared" si="7"/>
        <v>30.959999999999997</v>
      </c>
      <c r="H58" s="28">
        <f t="shared" si="8"/>
        <v>24.767999999999997</v>
      </c>
      <c r="I58" s="20"/>
      <c r="J58" s="62" t="s">
        <v>174</v>
      </c>
      <c r="K58" s="70">
        <v>5</v>
      </c>
      <c r="L58" s="64" t="s">
        <v>86</v>
      </c>
      <c r="M58" s="65">
        <v>40</v>
      </c>
      <c r="N58" s="66">
        <v>500</v>
      </c>
      <c r="O58" s="66"/>
      <c r="P58" s="67">
        <v>2.75</v>
      </c>
      <c r="Q58" s="52">
        <f t="shared" si="4"/>
        <v>118.25</v>
      </c>
      <c r="R58" s="28">
        <f t="shared" si="5"/>
        <v>94.6</v>
      </c>
    </row>
    <row r="59" spans="1:18" ht="10.5" customHeight="1" x14ac:dyDescent="0.3">
      <c r="A59" s="21" t="str">
        <f t="shared" si="6"/>
        <v>010023025</v>
      </c>
      <c r="B59" s="51">
        <v>3</v>
      </c>
      <c r="C59" s="23" t="s">
        <v>86</v>
      </c>
      <c r="D59" s="24">
        <v>25</v>
      </c>
      <c r="E59" s="25">
        <v>1000</v>
      </c>
      <c r="F59" s="26">
        <v>0.79</v>
      </c>
      <c r="G59" s="52">
        <f t="shared" si="7"/>
        <v>33.97</v>
      </c>
      <c r="H59" s="28">
        <f t="shared" si="8"/>
        <v>27.175999999999998</v>
      </c>
      <c r="I59" s="20"/>
      <c r="J59" s="62" t="s">
        <v>175</v>
      </c>
      <c r="K59" s="70">
        <v>5</v>
      </c>
      <c r="L59" s="64" t="s">
        <v>86</v>
      </c>
      <c r="M59" s="65">
        <v>45</v>
      </c>
      <c r="N59" s="66">
        <v>500</v>
      </c>
      <c r="O59" s="66"/>
      <c r="P59" s="67">
        <v>2.97</v>
      </c>
      <c r="Q59" s="52">
        <f t="shared" si="4"/>
        <v>127.71000000000001</v>
      </c>
      <c r="R59" s="28">
        <f t="shared" si="5"/>
        <v>102.16800000000001</v>
      </c>
    </row>
    <row r="60" spans="1:18" ht="10.5" customHeight="1" x14ac:dyDescent="0.3">
      <c r="A60" s="21" t="str">
        <f t="shared" si="6"/>
        <v>010023030</v>
      </c>
      <c r="B60" s="51">
        <v>3</v>
      </c>
      <c r="C60" s="23" t="s">
        <v>86</v>
      </c>
      <c r="D60" s="24">
        <v>30</v>
      </c>
      <c r="E60" s="25">
        <v>1000</v>
      </c>
      <c r="F60" s="26">
        <v>0.93</v>
      </c>
      <c r="G60" s="52">
        <f t="shared" si="7"/>
        <v>39.99</v>
      </c>
      <c r="H60" s="28">
        <f t="shared" si="8"/>
        <v>31.992000000000001</v>
      </c>
      <c r="I60" s="20"/>
      <c r="J60" s="62" t="s">
        <v>176</v>
      </c>
      <c r="K60" s="70">
        <v>5</v>
      </c>
      <c r="L60" s="64" t="s">
        <v>86</v>
      </c>
      <c r="M60" s="65">
        <v>50</v>
      </c>
      <c r="N60" s="66" t="s">
        <v>88</v>
      </c>
      <c r="O60" s="66"/>
      <c r="P60" s="67">
        <v>3.21</v>
      </c>
      <c r="Q60" s="52">
        <f t="shared" si="4"/>
        <v>138.03</v>
      </c>
      <c r="R60" s="28">
        <f t="shared" si="5"/>
        <v>110.42400000000001</v>
      </c>
    </row>
    <row r="61" spans="1:18" ht="10.5" customHeight="1" x14ac:dyDescent="0.3">
      <c r="A61" s="21" t="str">
        <f t="shared" si="6"/>
        <v>010023035</v>
      </c>
      <c r="B61" s="51">
        <v>3</v>
      </c>
      <c r="C61" s="23" t="s">
        <v>86</v>
      </c>
      <c r="D61" s="24">
        <v>35</v>
      </c>
      <c r="E61" s="25" t="s">
        <v>88</v>
      </c>
      <c r="F61" s="26">
        <v>1.07</v>
      </c>
      <c r="G61" s="52">
        <f t="shared" si="7"/>
        <v>46.010000000000005</v>
      </c>
      <c r="H61" s="28">
        <f t="shared" si="8"/>
        <v>36.808000000000007</v>
      </c>
      <c r="I61" s="20"/>
      <c r="J61" s="62" t="s">
        <v>177</v>
      </c>
      <c r="K61" s="70">
        <v>5</v>
      </c>
      <c r="L61" s="64" t="s">
        <v>86</v>
      </c>
      <c r="M61" s="65">
        <v>60</v>
      </c>
      <c r="N61" s="66">
        <v>500</v>
      </c>
      <c r="O61" s="66"/>
      <c r="P61" s="67">
        <v>3.67</v>
      </c>
      <c r="Q61" s="52">
        <f t="shared" si="4"/>
        <v>157.81</v>
      </c>
      <c r="R61" s="28">
        <f t="shared" si="5"/>
        <v>126.248</v>
      </c>
    </row>
    <row r="62" spans="1:18" ht="10.5" customHeight="1" x14ac:dyDescent="0.3">
      <c r="A62" s="21" t="str">
        <f t="shared" si="6"/>
        <v>010023040</v>
      </c>
      <c r="B62" s="51">
        <v>3</v>
      </c>
      <c r="C62" s="23" t="s">
        <v>86</v>
      </c>
      <c r="D62" s="24">
        <v>40</v>
      </c>
      <c r="E62" s="25">
        <v>1000</v>
      </c>
      <c r="F62" s="26">
        <v>1.1299999999999999</v>
      </c>
      <c r="G62" s="52">
        <f t="shared" si="7"/>
        <v>48.589999999999996</v>
      </c>
      <c r="H62" s="28">
        <f t="shared" si="8"/>
        <v>38.872</v>
      </c>
      <c r="I62" s="20"/>
      <c r="J62" s="62" t="s">
        <v>178</v>
      </c>
      <c r="K62" s="70">
        <v>5</v>
      </c>
      <c r="L62" s="64" t="s">
        <v>86</v>
      </c>
      <c r="M62" s="65">
        <v>70</v>
      </c>
      <c r="N62" s="66">
        <v>200</v>
      </c>
      <c r="O62" s="66"/>
      <c r="P62" s="67">
        <v>4.21</v>
      </c>
      <c r="Q62" s="52">
        <f t="shared" si="4"/>
        <v>181.03</v>
      </c>
      <c r="R62" s="28">
        <f t="shared" si="5"/>
        <v>144.82400000000001</v>
      </c>
    </row>
    <row r="63" spans="1:18" ht="10.5" customHeight="1" x14ac:dyDescent="0.3">
      <c r="A63" s="21" t="str">
        <f t="shared" si="6"/>
        <v>010023516</v>
      </c>
      <c r="B63" s="51">
        <v>3.5</v>
      </c>
      <c r="C63" s="23" t="s">
        <v>86</v>
      </c>
      <c r="D63" s="24">
        <v>16</v>
      </c>
      <c r="E63" s="25">
        <v>1000</v>
      </c>
      <c r="F63" s="26">
        <v>0.78</v>
      </c>
      <c r="G63" s="52">
        <f t="shared" si="7"/>
        <v>33.54</v>
      </c>
      <c r="H63" s="28">
        <f t="shared" si="8"/>
        <v>26.832000000000001</v>
      </c>
      <c r="I63" s="20"/>
      <c r="J63" s="62" t="s">
        <v>179</v>
      </c>
      <c r="K63" s="70">
        <v>5</v>
      </c>
      <c r="L63" s="64" t="s">
        <v>86</v>
      </c>
      <c r="M63" s="65">
        <v>80</v>
      </c>
      <c r="N63" s="66" t="s">
        <v>180</v>
      </c>
      <c r="O63" s="66"/>
      <c r="P63" s="67">
        <v>5.01</v>
      </c>
      <c r="Q63" s="52">
        <f t="shared" si="4"/>
        <v>215.42999999999998</v>
      </c>
      <c r="R63" s="28">
        <f t="shared" si="5"/>
        <v>172.34399999999999</v>
      </c>
    </row>
    <row r="64" spans="1:18" ht="10.5" customHeight="1" x14ac:dyDescent="0.3">
      <c r="A64" s="21" t="str">
        <f t="shared" si="6"/>
        <v>010023520</v>
      </c>
      <c r="B64" s="51">
        <v>3.5</v>
      </c>
      <c r="C64" s="23" t="s">
        <v>86</v>
      </c>
      <c r="D64" s="24">
        <v>20</v>
      </c>
      <c r="E64" s="25">
        <v>1000</v>
      </c>
      <c r="F64" s="26">
        <v>0.91</v>
      </c>
      <c r="G64" s="52">
        <f t="shared" si="7"/>
        <v>39.130000000000003</v>
      </c>
      <c r="H64" s="28">
        <f t="shared" si="8"/>
        <v>31.304000000000002</v>
      </c>
      <c r="I64" s="20"/>
      <c r="J64" s="62" t="s">
        <v>181</v>
      </c>
      <c r="K64" s="70">
        <v>5</v>
      </c>
      <c r="L64" s="64" t="s">
        <v>86</v>
      </c>
      <c r="M64" s="65">
        <v>90</v>
      </c>
      <c r="N64" s="66" t="s">
        <v>126</v>
      </c>
      <c r="O64" s="66"/>
      <c r="P64" s="67">
        <v>5.04</v>
      </c>
      <c r="Q64" s="52">
        <f t="shared" si="4"/>
        <v>216.72</v>
      </c>
      <c r="R64" s="28">
        <f t="shared" si="5"/>
        <v>173.376</v>
      </c>
    </row>
    <row r="65" spans="1:18" ht="10.5" customHeight="1" x14ac:dyDescent="0.3">
      <c r="A65" s="21" t="str">
        <f t="shared" si="6"/>
        <v>010023525</v>
      </c>
      <c r="B65" s="51">
        <v>3.5</v>
      </c>
      <c r="C65" s="23" t="s">
        <v>86</v>
      </c>
      <c r="D65" s="24">
        <v>25</v>
      </c>
      <c r="E65" s="25">
        <v>1000</v>
      </c>
      <c r="F65" s="26">
        <v>0.96</v>
      </c>
      <c r="G65" s="52">
        <f t="shared" si="7"/>
        <v>41.28</v>
      </c>
      <c r="H65" s="28">
        <f t="shared" si="8"/>
        <v>33.024000000000001</v>
      </c>
      <c r="I65" s="20"/>
      <c r="J65" s="62" t="s">
        <v>182</v>
      </c>
      <c r="K65" s="70">
        <v>6</v>
      </c>
      <c r="L65" s="64" t="s">
        <v>86</v>
      </c>
      <c r="M65" s="65">
        <v>30</v>
      </c>
      <c r="N65" s="66" t="s">
        <v>88</v>
      </c>
      <c r="O65" s="66"/>
      <c r="P65" s="67">
        <v>3.81</v>
      </c>
      <c r="Q65" s="52">
        <f t="shared" si="4"/>
        <v>163.83000000000001</v>
      </c>
      <c r="R65" s="28">
        <f t="shared" si="5"/>
        <v>131.06400000000002</v>
      </c>
    </row>
    <row r="66" spans="1:18" ht="10.5" customHeight="1" x14ac:dyDescent="0.3">
      <c r="A66" s="21" t="str">
        <f t="shared" si="6"/>
        <v>010023530</v>
      </c>
      <c r="B66" s="51">
        <v>3.5</v>
      </c>
      <c r="C66" s="23" t="s">
        <v>86</v>
      </c>
      <c r="D66" s="24">
        <v>30</v>
      </c>
      <c r="E66" s="25" t="s">
        <v>170</v>
      </c>
      <c r="F66" s="26">
        <v>1.0900000000000001</v>
      </c>
      <c r="G66" s="52">
        <f t="shared" si="7"/>
        <v>46.870000000000005</v>
      </c>
      <c r="H66" s="28">
        <f t="shared" si="8"/>
        <v>37.496000000000002</v>
      </c>
      <c r="I66" s="20"/>
      <c r="J66" s="62" t="s">
        <v>183</v>
      </c>
      <c r="K66" s="70">
        <v>6</v>
      </c>
      <c r="L66" s="64" t="s">
        <v>86</v>
      </c>
      <c r="M66" s="65">
        <v>40</v>
      </c>
      <c r="N66" s="66" t="s">
        <v>88</v>
      </c>
      <c r="O66" s="66"/>
      <c r="P66" s="67">
        <v>4.08</v>
      </c>
      <c r="Q66" s="52">
        <f t="shared" si="4"/>
        <v>175.44</v>
      </c>
      <c r="R66" s="28">
        <f t="shared" si="5"/>
        <v>140.352</v>
      </c>
    </row>
    <row r="67" spans="1:18" ht="10.5" customHeight="1" x14ac:dyDescent="0.3">
      <c r="A67" s="21" t="str">
        <f t="shared" si="6"/>
        <v>010023540</v>
      </c>
      <c r="B67" s="51">
        <v>3.5</v>
      </c>
      <c r="C67" s="23" t="s">
        <v>86</v>
      </c>
      <c r="D67" s="24">
        <v>40</v>
      </c>
      <c r="E67" s="25" t="s">
        <v>170</v>
      </c>
      <c r="F67" s="26">
        <v>1.35</v>
      </c>
      <c r="G67" s="52">
        <f t="shared" si="7"/>
        <v>58.050000000000004</v>
      </c>
      <c r="H67" s="28">
        <f t="shared" si="8"/>
        <v>46.440000000000005</v>
      </c>
      <c r="I67" s="20"/>
      <c r="J67" s="62" t="s">
        <v>184</v>
      </c>
      <c r="K67" s="70">
        <v>6</v>
      </c>
      <c r="L67" s="64" t="s">
        <v>86</v>
      </c>
      <c r="M67" s="65">
        <v>50</v>
      </c>
      <c r="N67" s="66" t="s">
        <v>101</v>
      </c>
      <c r="O67" s="66"/>
      <c r="P67" s="67">
        <v>5.26</v>
      </c>
      <c r="Q67" s="52">
        <f t="shared" si="4"/>
        <v>226.17999999999998</v>
      </c>
      <c r="R67" s="28">
        <f t="shared" si="5"/>
        <v>180.94399999999999</v>
      </c>
    </row>
    <row r="68" spans="1:18" ht="10.5" customHeight="1" x14ac:dyDescent="0.3">
      <c r="A68" s="21" t="str">
        <f t="shared" si="6"/>
        <v>010024016</v>
      </c>
      <c r="B68" s="51">
        <v>4</v>
      </c>
      <c r="C68" s="23" t="s">
        <v>86</v>
      </c>
      <c r="D68" s="24">
        <v>16</v>
      </c>
      <c r="E68" s="25">
        <v>1000</v>
      </c>
      <c r="F68" s="26">
        <v>0.97</v>
      </c>
      <c r="G68" s="52">
        <f t="shared" si="7"/>
        <v>41.71</v>
      </c>
      <c r="H68" s="28">
        <f t="shared" si="8"/>
        <v>33.368000000000002</v>
      </c>
      <c r="I68" s="20"/>
      <c r="J68" s="62" t="s">
        <v>185</v>
      </c>
      <c r="K68" s="70">
        <v>6</v>
      </c>
      <c r="L68" s="64" t="s">
        <v>86</v>
      </c>
      <c r="M68" s="65">
        <v>60</v>
      </c>
      <c r="N68" s="66" t="s">
        <v>101</v>
      </c>
      <c r="O68" s="66"/>
      <c r="P68" s="67">
        <v>5.98</v>
      </c>
      <c r="Q68" s="52">
        <f t="shared" si="4"/>
        <v>257.14000000000004</v>
      </c>
      <c r="R68" s="28">
        <f t="shared" si="5"/>
        <v>205.71200000000005</v>
      </c>
    </row>
    <row r="69" spans="1:18" ht="10.5" customHeight="1" x14ac:dyDescent="0.3">
      <c r="A69" s="21" t="str">
        <f t="shared" si="6"/>
        <v>010024020</v>
      </c>
      <c r="B69" s="51">
        <v>4</v>
      </c>
      <c r="C69" s="23" t="s">
        <v>86</v>
      </c>
      <c r="D69" s="24">
        <v>20</v>
      </c>
      <c r="E69" s="25">
        <v>1000</v>
      </c>
      <c r="F69" s="26">
        <v>1.1000000000000001</v>
      </c>
      <c r="G69" s="52">
        <f t="shared" si="7"/>
        <v>47.300000000000004</v>
      </c>
      <c r="H69" s="28">
        <f t="shared" si="8"/>
        <v>37.840000000000003</v>
      </c>
      <c r="I69" s="20"/>
      <c r="J69" s="62" t="s">
        <v>186</v>
      </c>
      <c r="K69" s="70">
        <v>6</v>
      </c>
      <c r="L69" s="64" t="s">
        <v>86</v>
      </c>
      <c r="M69" s="65">
        <v>70</v>
      </c>
      <c r="N69" s="66">
        <v>100</v>
      </c>
      <c r="O69" s="66"/>
      <c r="P69" s="67">
        <v>6.81</v>
      </c>
      <c r="Q69" s="52">
        <f t="shared" si="4"/>
        <v>292.83</v>
      </c>
      <c r="R69" s="28">
        <f t="shared" si="5"/>
        <v>234.26399999999998</v>
      </c>
    </row>
    <row r="70" spans="1:18" ht="10.5" customHeight="1" x14ac:dyDescent="0.3">
      <c r="A70" s="21" t="str">
        <f t="shared" si="6"/>
        <v>010024025</v>
      </c>
      <c r="B70" s="51">
        <v>4</v>
      </c>
      <c r="C70" s="23" t="s">
        <v>86</v>
      </c>
      <c r="D70" s="24">
        <v>25</v>
      </c>
      <c r="E70" s="25">
        <v>1000</v>
      </c>
      <c r="F70" s="26">
        <v>1.25</v>
      </c>
      <c r="G70" s="52">
        <f t="shared" si="7"/>
        <v>53.75</v>
      </c>
      <c r="H70" s="28">
        <f t="shared" si="8"/>
        <v>43</v>
      </c>
      <c r="I70" s="20"/>
      <c r="J70" s="62" t="s">
        <v>187</v>
      </c>
      <c r="K70" s="70">
        <v>6</v>
      </c>
      <c r="L70" s="64" t="s">
        <v>86</v>
      </c>
      <c r="M70" s="65">
        <v>80</v>
      </c>
      <c r="N70" s="66" t="s">
        <v>101</v>
      </c>
      <c r="O70" s="66"/>
      <c r="P70" s="67">
        <v>7.81</v>
      </c>
      <c r="Q70" s="52">
        <f t="shared" si="4"/>
        <v>335.83</v>
      </c>
      <c r="R70" s="28">
        <f t="shared" si="5"/>
        <v>268.66399999999999</v>
      </c>
    </row>
    <row r="71" spans="1:18" ht="10.5" customHeight="1" x14ac:dyDescent="0.3">
      <c r="A71" s="21" t="str">
        <f t="shared" si="6"/>
        <v>010024030</v>
      </c>
      <c r="B71" s="51">
        <v>4</v>
      </c>
      <c r="C71" s="23" t="s">
        <v>86</v>
      </c>
      <c r="D71" s="24">
        <v>30</v>
      </c>
      <c r="E71" s="25">
        <v>500</v>
      </c>
      <c r="F71" s="26">
        <v>1.43</v>
      </c>
      <c r="G71" s="52">
        <f t="shared" si="7"/>
        <v>61.489999999999995</v>
      </c>
      <c r="H71" s="28">
        <f t="shared" si="8"/>
        <v>49.191999999999993</v>
      </c>
      <c r="I71" s="20"/>
      <c r="J71" s="20"/>
      <c r="K71" s="20"/>
      <c r="L71" s="20"/>
      <c r="M71" s="20"/>
      <c r="N71" s="20"/>
      <c r="O71" s="20"/>
      <c r="P71" s="20"/>
      <c r="Q71" s="20"/>
      <c r="R71" s="20"/>
    </row>
    <row r="72" spans="1:18" ht="10.5" customHeight="1" x14ac:dyDescent="0.3">
      <c r="A72" s="39"/>
      <c r="B72" s="40"/>
      <c r="C72" s="41"/>
      <c r="D72" s="42"/>
      <c r="E72" s="43"/>
      <c r="F72" s="44"/>
      <c r="G72" s="71"/>
      <c r="H72" s="46"/>
      <c r="I72" s="20"/>
      <c r="J72" s="20"/>
      <c r="K72" s="20"/>
      <c r="L72" s="20"/>
      <c r="M72" s="20"/>
      <c r="N72" s="20"/>
      <c r="O72" s="20"/>
      <c r="P72" s="20"/>
      <c r="Q72" s="20"/>
      <c r="R72" s="20"/>
    </row>
    <row r="73" spans="1:18" ht="10.5" customHeight="1" x14ac:dyDescent="0.3">
      <c r="A73" s="20"/>
      <c r="B73" s="20"/>
      <c r="C73" s="20"/>
      <c r="D73" s="20"/>
      <c r="E73" s="20"/>
      <c r="F73" s="20"/>
      <c r="G73" s="20"/>
      <c r="H73" s="20"/>
      <c r="I73" s="20"/>
      <c r="J73" s="39"/>
      <c r="K73" s="40"/>
      <c r="L73" s="41"/>
      <c r="M73" s="42"/>
      <c r="N73" s="43"/>
      <c r="O73" s="43"/>
      <c r="P73" s="44"/>
      <c r="Q73" s="46"/>
      <c r="R73" s="46"/>
    </row>
    <row r="74" spans="1:18" ht="10.5" customHeight="1" x14ac:dyDescent="0.3">
      <c r="A74" s="47" t="s">
        <v>188</v>
      </c>
      <c r="B74" s="48" t="s">
        <v>189</v>
      </c>
      <c r="C74" s="49"/>
      <c r="D74" s="49"/>
      <c r="E74" s="49"/>
      <c r="F74" s="49"/>
      <c r="G74" s="49"/>
      <c r="H74" s="49"/>
      <c r="I74" s="49"/>
      <c r="J74" s="446" t="s">
        <v>78</v>
      </c>
      <c r="K74" s="446" t="s">
        <v>79</v>
      </c>
      <c r="L74" s="446"/>
      <c r="M74" s="446"/>
      <c r="N74" s="447" t="s">
        <v>80</v>
      </c>
      <c r="O74" s="14"/>
      <c r="P74" s="15"/>
      <c r="Q74" s="16" t="s">
        <v>81</v>
      </c>
      <c r="R74" s="17" t="s">
        <v>82</v>
      </c>
    </row>
    <row r="75" spans="1:18" ht="10.5" customHeight="1" x14ac:dyDescent="0.3">
      <c r="A75" s="18"/>
      <c r="B75" s="20"/>
      <c r="C75" s="20"/>
      <c r="D75" s="20"/>
      <c r="E75" s="20"/>
      <c r="F75" s="20"/>
      <c r="G75" s="20"/>
      <c r="H75" s="20"/>
      <c r="I75" s="20"/>
      <c r="J75" s="446"/>
      <c r="K75" s="446"/>
      <c r="L75" s="446"/>
      <c r="M75" s="446"/>
      <c r="N75" s="447"/>
      <c r="O75" s="14"/>
      <c r="P75" s="19" t="s">
        <v>83</v>
      </c>
      <c r="Q75" s="15" t="s">
        <v>84</v>
      </c>
      <c r="R75" s="15" t="s">
        <v>84</v>
      </c>
    </row>
    <row r="76" spans="1:18" ht="10.5" customHeight="1" x14ac:dyDescent="0.3">
      <c r="A76" s="18"/>
      <c r="B76" s="20"/>
      <c r="C76" s="20"/>
      <c r="D76" s="20"/>
      <c r="E76" s="20"/>
      <c r="F76" s="20"/>
      <c r="G76" s="20"/>
      <c r="H76" s="20"/>
      <c r="I76" s="20"/>
      <c r="J76" s="62" t="s">
        <v>190</v>
      </c>
      <c r="K76" s="70">
        <v>8</v>
      </c>
      <c r="L76" s="64" t="s">
        <v>86</v>
      </c>
      <c r="M76" s="65">
        <v>180</v>
      </c>
      <c r="N76" s="25" t="s">
        <v>157</v>
      </c>
      <c r="O76" s="25"/>
      <c r="P76" s="26">
        <v>17.721749999999997</v>
      </c>
      <c r="Q76" s="72">
        <f t="shared" ref="Q76:Q103" si="9">P76*$F$10</f>
        <v>762.03524999999991</v>
      </c>
      <c r="R76" s="28">
        <f t="shared" ref="R76:R103" si="10">Q76-Q76*0.2</f>
        <v>609.62819999999988</v>
      </c>
    </row>
    <row r="77" spans="1:18" ht="10.5" customHeight="1" x14ac:dyDescent="0.3">
      <c r="A77" s="18"/>
      <c r="B77" s="20"/>
      <c r="C77" s="20"/>
      <c r="D77" s="20"/>
      <c r="E77" s="20"/>
      <c r="F77" s="20"/>
      <c r="G77" s="20"/>
      <c r="H77" s="20"/>
      <c r="I77" s="20"/>
      <c r="J77" s="62" t="s">
        <v>191</v>
      </c>
      <c r="K77" s="70">
        <v>8</v>
      </c>
      <c r="L77" s="64" t="s">
        <v>86</v>
      </c>
      <c r="M77" s="65">
        <v>200</v>
      </c>
      <c r="N77" s="25" t="s">
        <v>192</v>
      </c>
      <c r="O77" s="25"/>
      <c r="P77" s="26">
        <v>18.984739189999996</v>
      </c>
      <c r="Q77" s="72">
        <f t="shared" si="9"/>
        <v>816.34378516999982</v>
      </c>
      <c r="R77" s="28">
        <f t="shared" si="10"/>
        <v>653.0750281359999</v>
      </c>
    </row>
    <row r="78" spans="1:18" ht="10.5" customHeight="1" x14ac:dyDescent="0.3">
      <c r="A78" s="53" t="s">
        <v>193</v>
      </c>
      <c r="B78" s="20"/>
      <c r="C78" s="20"/>
      <c r="D78" s="20"/>
      <c r="E78" s="20"/>
      <c r="F78" s="20"/>
      <c r="G78" s="20"/>
      <c r="H78" s="20"/>
      <c r="I78" s="20"/>
      <c r="J78" s="62" t="s">
        <v>194</v>
      </c>
      <c r="K78" s="70">
        <v>8</v>
      </c>
      <c r="L78" s="64" t="s">
        <v>86</v>
      </c>
      <c r="M78" s="65">
        <v>240</v>
      </c>
      <c r="N78" s="25" t="s">
        <v>192</v>
      </c>
      <c r="O78" s="25"/>
      <c r="P78" s="26">
        <v>25.941774999999996</v>
      </c>
      <c r="Q78" s="72">
        <f t="shared" si="9"/>
        <v>1115.4963249999998</v>
      </c>
      <c r="R78" s="28">
        <f t="shared" si="10"/>
        <v>892.3970599999999</v>
      </c>
    </row>
    <row r="79" spans="1:18" ht="10.5" customHeight="1" x14ac:dyDescent="0.3">
      <c r="A79" s="53" t="s">
        <v>195</v>
      </c>
      <c r="B79" s="20"/>
      <c r="C79" s="20"/>
      <c r="D79" s="20"/>
      <c r="E79" s="20"/>
      <c r="F79" s="20"/>
      <c r="G79" s="20"/>
      <c r="H79" s="20"/>
      <c r="I79" s="20"/>
      <c r="J79" s="62" t="s">
        <v>196</v>
      </c>
      <c r="K79" s="70">
        <v>8</v>
      </c>
      <c r="L79" s="64" t="s">
        <v>86</v>
      </c>
      <c r="M79" s="65">
        <v>260</v>
      </c>
      <c r="N79" s="25" t="s">
        <v>192</v>
      </c>
      <c r="O79" s="25"/>
      <c r="P79" s="26">
        <v>26.965242054687494</v>
      </c>
      <c r="Q79" s="72">
        <f t="shared" si="9"/>
        <v>1159.5054083515622</v>
      </c>
      <c r="R79" s="28">
        <f t="shared" si="10"/>
        <v>927.60432668124974</v>
      </c>
    </row>
    <row r="80" spans="1:18" ht="10.5" customHeight="1" x14ac:dyDescent="0.3">
      <c r="A80" s="446" t="s">
        <v>78</v>
      </c>
      <c r="B80" s="446" t="s">
        <v>79</v>
      </c>
      <c r="C80" s="446"/>
      <c r="D80" s="446"/>
      <c r="E80" s="447" t="s">
        <v>80</v>
      </c>
      <c r="F80" s="61"/>
      <c r="G80" s="16" t="s">
        <v>81</v>
      </c>
      <c r="H80" s="17" t="s">
        <v>82</v>
      </c>
      <c r="I80" s="20"/>
      <c r="J80" s="62" t="s">
        <v>197</v>
      </c>
      <c r="K80" s="70">
        <v>8</v>
      </c>
      <c r="L80" s="64" t="s">
        <v>86</v>
      </c>
      <c r="M80" s="65">
        <v>300</v>
      </c>
      <c r="N80" s="25" t="s">
        <v>192</v>
      </c>
      <c r="O80" s="25"/>
      <c r="P80" s="26">
        <v>29.383999999999993</v>
      </c>
      <c r="Q80" s="72">
        <f t="shared" si="9"/>
        <v>1263.5119999999997</v>
      </c>
      <c r="R80" s="28">
        <f t="shared" si="10"/>
        <v>1010.8095999999998</v>
      </c>
    </row>
    <row r="81" spans="1:18" ht="10.5" customHeight="1" x14ac:dyDescent="0.3">
      <c r="A81" s="446"/>
      <c r="B81" s="446"/>
      <c r="C81" s="446"/>
      <c r="D81" s="446"/>
      <c r="E81" s="447"/>
      <c r="F81" s="68" t="s">
        <v>83</v>
      </c>
      <c r="G81" s="15" t="s">
        <v>84</v>
      </c>
      <c r="H81" s="15" t="s">
        <v>84</v>
      </c>
      <c r="I81" s="20"/>
      <c r="J81" s="62" t="s">
        <v>198</v>
      </c>
      <c r="K81" s="70">
        <v>10</v>
      </c>
      <c r="L81" s="64" t="s">
        <v>86</v>
      </c>
      <c r="M81" s="65">
        <v>70</v>
      </c>
      <c r="N81" s="25" t="s">
        <v>126</v>
      </c>
      <c r="O81" s="25"/>
      <c r="P81" s="26">
        <v>12.365891249999999</v>
      </c>
      <c r="Q81" s="72">
        <f t="shared" si="9"/>
        <v>531.73332374999995</v>
      </c>
      <c r="R81" s="28">
        <f t="shared" si="10"/>
        <v>425.38665899999995</v>
      </c>
    </row>
    <row r="82" spans="1:18" ht="10.5" customHeight="1" x14ac:dyDescent="0.3">
      <c r="A82" s="73" t="s">
        <v>199</v>
      </c>
      <c r="B82" s="74">
        <v>5</v>
      </c>
      <c r="C82" s="75" t="s">
        <v>86</v>
      </c>
      <c r="D82" s="76">
        <v>40</v>
      </c>
      <c r="E82" s="77" t="s">
        <v>94</v>
      </c>
      <c r="F82" s="78">
        <v>2.4017544642857143</v>
      </c>
      <c r="G82" s="72">
        <f t="shared" ref="G82:G103" si="11">F82*$F$10</f>
        <v>103.27544196428572</v>
      </c>
      <c r="H82" s="72">
        <f t="shared" ref="H82:H103" si="12">G82-G82*0.2</f>
        <v>82.620353571428581</v>
      </c>
      <c r="I82" s="20"/>
      <c r="J82" s="62" t="s">
        <v>200</v>
      </c>
      <c r="K82" s="70">
        <v>10</v>
      </c>
      <c r="L82" s="64" t="s">
        <v>86</v>
      </c>
      <c r="M82" s="65">
        <v>80</v>
      </c>
      <c r="N82" s="25" t="s">
        <v>126</v>
      </c>
      <c r="O82" s="25"/>
      <c r="P82" s="26">
        <v>13.180368</v>
      </c>
      <c r="Q82" s="72">
        <f t="shared" si="9"/>
        <v>566.75582399999996</v>
      </c>
      <c r="R82" s="28">
        <f t="shared" si="10"/>
        <v>453.40465919999997</v>
      </c>
    </row>
    <row r="83" spans="1:18" ht="10.5" customHeight="1" x14ac:dyDescent="0.3">
      <c r="A83" s="79" t="s">
        <v>201</v>
      </c>
      <c r="B83" s="22">
        <v>5</v>
      </c>
      <c r="C83" s="23" t="s">
        <v>86</v>
      </c>
      <c r="D83" s="24">
        <v>50</v>
      </c>
      <c r="E83" s="25" t="s">
        <v>94</v>
      </c>
      <c r="F83" s="78">
        <v>2.8017399999999997</v>
      </c>
      <c r="G83" s="72">
        <f t="shared" si="11"/>
        <v>120.47481999999998</v>
      </c>
      <c r="H83" s="28">
        <f t="shared" si="12"/>
        <v>96.37985599999999</v>
      </c>
      <c r="I83" s="20"/>
      <c r="J83" s="62" t="s">
        <v>202</v>
      </c>
      <c r="K83" s="70">
        <v>10</v>
      </c>
      <c r="L83" s="64" t="s">
        <v>86</v>
      </c>
      <c r="M83" s="65">
        <v>90</v>
      </c>
      <c r="N83" s="25" t="s">
        <v>126</v>
      </c>
      <c r="O83" s="25"/>
      <c r="P83" s="26">
        <v>14.603965499999999</v>
      </c>
      <c r="Q83" s="72">
        <f t="shared" si="9"/>
        <v>627.97051649999992</v>
      </c>
      <c r="R83" s="28">
        <f t="shared" si="10"/>
        <v>502.37641319999994</v>
      </c>
    </row>
    <row r="84" spans="1:18" ht="10.5" customHeight="1" x14ac:dyDescent="0.3">
      <c r="A84" s="79" t="s">
        <v>203</v>
      </c>
      <c r="B84" s="22">
        <v>6</v>
      </c>
      <c r="C84" s="23" t="s">
        <v>86</v>
      </c>
      <c r="D84" s="24">
        <v>30</v>
      </c>
      <c r="E84" s="25">
        <v>250</v>
      </c>
      <c r="F84" s="78">
        <v>2.3558317400000002</v>
      </c>
      <c r="G84" s="72">
        <f t="shared" si="11"/>
        <v>101.30076482000001</v>
      </c>
      <c r="H84" s="28">
        <f t="shared" si="12"/>
        <v>81.040611856000012</v>
      </c>
      <c r="I84" s="20"/>
      <c r="J84" s="80" t="s">
        <v>204</v>
      </c>
      <c r="K84" s="70">
        <v>10</v>
      </c>
      <c r="L84" s="64" t="s">
        <v>86</v>
      </c>
      <c r="M84" s="65">
        <v>100</v>
      </c>
      <c r="N84" s="25">
        <v>50</v>
      </c>
      <c r="O84" s="25"/>
      <c r="P84" s="26">
        <v>15.932656499999998</v>
      </c>
      <c r="Q84" s="72">
        <f t="shared" si="9"/>
        <v>685.10422949999997</v>
      </c>
      <c r="R84" s="28">
        <f t="shared" si="10"/>
        <v>548.08338359999993</v>
      </c>
    </row>
    <row r="85" spans="1:18" ht="10.5" customHeight="1" x14ac:dyDescent="0.3">
      <c r="A85" s="79" t="s">
        <v>205</v>
      </c>
      <c r="B85" s="22">
        <v>6</v>
      </c>
      <c r="C85" s="23" t="s">
        <v>86</v>
      </c>
      <c r="D85" s="24">
        <v>40</v>
      </c>
      <c r="E85" s="25">
        <v>250</v>
      </c>
      <c r="F85" s="78">
        <v>3.0654999999999997</v>
      </c>
      <c r="G85" s="72">
        <f t="shared" si="11"/>
        <v>131.81649999999999</v>
      </c>
      <c r="H85" s="28">
        <f t="shared" si="12"/>
        <v>105.4532</v>
      </c>
      <c r="I85" s="20"/>
      <c r="J85" s="80" t="s">
        <v>206</v>
      </c>
      <c r="K85" s="70">
        <v>10</v>
      </c>
      <c r="L85" s="64" t="s">
        <v>86</v>
      </c>
      <c r="M85" s="65">
        <v>120</v>
      </c>
      <c r="N85" s="25">
        <v>50</v>
      </c>
      <c r="O85" s="25"/>
      <c r="P85" s="26">
        <v>18.621673999999999</v>
      </c>
      <c r="Q85" s="72">
        <f t="shared" si="9"/>
        <v>800.7319819999999</v>
      </c>
      <c r="R85" s="28">
        <f t="shared" si="10"/>
        <v>640.58558559999994</v>
      </c>
    </row>
    <row r="86" spans="1:18" ht="10.5" customHeight="1" x14ac:dyDescent="0.3">
      <c r="A86" s="79" t="s">
        <v>207</v>
      </c>
      <c r="B86" s="22">
        <v>6</v>
      </c>
      <c r="C86" s="23" t="s">
        <v>86</v>
      </c>
      <c r="D86" s="24">
        <v>50</v>
      </c>
      <c r="E86" s="25">
        <v>200</v>
      </c>
      <c r="F86" s="78">
        <v>3.0558059449999995</v>
      </c>
      <c r="G86" s="72">
        <f t="shared" si="11"/>
        <v>131.39965563499999</v>
      </c>
      <c r="H86" s="28">
        <f t="shared" si="12"/>
        <v>105.11972450799999</v>
      </c>
      <c r="I86" s="20"/>
      <c r="J86" s="80" t="s">
        <v>208</v>
      </c>
      <c r="K86" s="70">
        <v>10</v>
      </c>
      <c r="L86" s="64" t="s">
        <v>86</v>
      </c>
      <c r="M86" s="65">
        <v>140</v>
      </c>
      <c r="N86" s="25" t="s">
        <v>157</v>
      </c>
      <c r="O86" s="25"/>
      <c r="P86" s="26">
        <v>18.743409999999997</v>
      </c>
      <c r="Q86" s="72">
        <f t="shared" si="9"/>
        <v>805.9666299999999</v>
      </c>
      <c r="R86" s="28">
        <f t="shared" si="10"/>
        <v>644.77330399999994</v>
      </c>
    </row>
    <row r="87" spans="1:18" ht="10.5" customHeight="1" x14ac:dyDescent="0.3">
      <c r="A87" s="79" t="s">
        <v>209</v>
      </c>
      <c r="B87" s="22">
        <v>6</v>
      </c>
      <c r="C87" s="23" t="s">
        <v>86</v>
      </c>
      <c r="D87" s="24">
        <v>60</v>
      </c>
      <c r="E87" s="25">
        <v>200</v>
      </c>
      <c r="F87" s="78">
        <v>4.1796299999999995</v>
      </c>
      <c r="G87" s="72">
        <f t="shared" si="11"/>
        <v>179.72408999999999</v>
      </c>
      <c r="H87" s="28">
        <f t="shared" si="12"/>
        <v>143.77927199999999</v>
      </c>
      <c r="I87" s="20"/>
      <c r="J87" s="80" t="s">
        <v>210</v>
      </c>
      <c r="K87" s="70">
        <v>10</v>
      </c>
      <c r="L87" s="64" t="s">
        <v>86</v>
      </c>
      <c r="M87" s="65">
        <v>160</v>
      </c>
      <c r="N87" s="25" t="s">
        <v>192</v>
      </c>
      <c r="O87" s="25"/>
      <c r="P87" s="26">
        <v>27.17628955</v>
      </c>
      <c r="Q87" s="72">
        <f t="shared" si="9"/>
        <v>1168.5804506500001</v>
      </c>
      <c r="R87" s="28">
        <f t="shared" si="10"/>
        <v>934.8643605200001</v>
      </c>
    </row>
    <row r="88" spans="1:18" ht="10.5" customHeight="1" x14ac:dyDescent="0.3">
      <c r="A88" s="79" t="s">
        <v>211</v>
      </c>
      <c r="B88" s="22">
        <v>6</v>
      </c>
      <c r="C88" s="23" t="s">
        <v>86</v>
      </c>
      <c r="D88" s="24">
        <v>70</v>
      </c>
      <c r="E88" s="25" t="s">
        <v>126</v>
      </c>
      <c r="F88" s="26">
        <v>3.9993699999999994</v>
      </c>
      <c r="G88" s="72">
        <f t="shared" si="11"/>
        <v>171.97290999999998</v>
      </c>
      <c r="H88" s="28">
        <f t="shared" si="12"/>
        <v>137.578328</v>
      </c>
      <c r="I88" s="20"/>
      <c r="J88" s="80" t="s">
        <v>210</v>
      </c>
      <c r="K88" s="70">
        <v>10</v>
      </c>
      <c r="L88" s="64" t="s">
        <v>86</v>
      </c>
      <c r="M88" s="65">
        <v>180</v>
      </c>
      <c r="N88" s="25" t="s">
        <v>192</v>
      </c>
      <c r="O88" s="25"/>
      <c r="P88" s="26">
        <v>26.725361999999993</v>
      </c>
      <c r="Q88" s="72">
        <f t="shared" si="9"/>
        <v>1149.1905659999998</v>
      </c>
      <c r="R88" s="28">
        <f t="shared" si="10"/>
        <v>919.35245279999981</v>
      </c>
    </row>
    <row r="89" spans="1:18" ht="10.5" customHeight="1" x14ac:dyDescent="0.3">
      <c r="A89" s="79" t="s">
        <v>212</v>
      </c>
      <c r="B89" s="22">
        <v>6</v>
      </c>
      <c r="C89" s="23" t="s">
        <v>86</v>
      </c>
      <c r="D89" s="24">
        <v>80</v>
      </c>
      <c r="E89" s="25">
        <v>100</v>
      </c>
      <c r="F89" s="78">
        <v>4.7570476388888876</v>
      </c>
      <c r="G89" s="72">
        <f t="shared" si="11"/>
        <v>204.55304847222217</v>
      </c>
      <c r="H89" s="28">
        <f t="shared" si="12"/>
        <v>163.64243877777773</v>
      </c>
      <c r="I89" s="20"/>
      <c r="J89" s="80" t="s">
        <v>213</v>
      </c>
      <c r="K89" s="70">
        <v>10</v>
      </c>
      <c r="L89" s="64" t="s">
        <v>86</v>
      </c>
      <c r="M89" s="65">
        <v>200</v>
      </c>
      <c r="N89" s="25" t="s">
        <v>192</v>
      </c>
      <c r="O89" s="25"/>
      <c r="P89" s="26">
        <v>30.095832505000001</v>
      </c>
      <c r="Q89" s="72">
        <f t="shared" si="9"/>
        <v>1294.120797715</v>
      </c>
      <c r="R89" s="28">
        <f t="shared" si="10"/>
        <v>1035.296638172</v>
      </c>
    </row>
    <row r="90" spans="1:18" ht="10.5" customHeight="1" x14ac:dyDescent="0.3">
      <c r="A90" s="62" t="s">
        <v>214</v>
      </c>
      <c r="B90" s="70">
        <v>6</v>
      </c>
      <c r="C90" s="64" t="s">
        <v>86</v>
      </c>
      <c r="D90" s="65">
        <v>90</v>
      </c>
      <c r="E90" s="25">
        <v>100</v>
      </c>
      <c r="F90" s="78">
        <v>4.9958521399999993</v>
      </c>
      <c r="G90" s="72">
        <f t="shared" si="11"/>
        <v>214.82164201999998</v>
      </c>
      <c r="H90" s="28">
        <f t="shared" si="12"/>
        <v>171.857313616</v>
      </c>
      <c r="I90" s="20"/>
      <c r="J90" s="80" t="s">
        <v>215</v>
      </c>
      <c r="K90" s="70">
        <v>10</v>
      </c>
      <c r="L90" s="64" t="s">
        <v>86</v>
      </c>
      <c r="M90" s="65">
        <v>240</v>
      </c>
      <c r="N90" s="25" t="s">
        <v>56</v>
      </c>
      <c r="O90" s="25"/>
      <c r="P90" s="26">
        <v>36.551180083333328</v>
      </c>
      <c r="Q90" s="72">
        <f t="shared" si="9"/>
        <v>1571.7007435833332</v>
      </c>
      <c r="R90" s="28">
        <f t="shared" si="10"/>
        <v>1257.3605948666666</v>
      </c>
    </row>
    <row r="91" spans="1:18" ht="10.5" customHeight="1" x14ac:dyDescent="0.3">
      <c r="A91" s="62" t="s">
        <v>216</v>
      </c>
      <c r="B91" s="70">
        <v>6</v>
      </c>
      <c r="C91" s="64" t="s">
        <v>86</v>
      </c>
      <c r="D91" s="65">
        <v>100</v>
      </c>
      <c r="E91" s="25" t="s">
        <v>126</v>
      </c>
      <c r="F91" s="78">
        <v>5.9454068055555549</v>
      </c>
      <c r="G91" s="72">
        <f t="shared" si="11"/>
        <v>255.65249263888887</v>
      </c>
      <c r="H91" s="28">
        <f t="shared" si="12"/>
        <v>204.5219941111111</v>
      </c>
      <c r="I91" s="20"/>
      <c r="J91" s="80" t="s">
        <v>217</v>
      </c>
      <c r="K91" s="70">
        <v>10</v>
      </c>
      <c r="L91" s="64" t="s">
        <v>86</v>
      </c>
      <c r="M91" s="65">
        <v>260</v>
      </c>
      <c r="N91" s="25" t="s">
        <v>56</v>
      </c>
      <c r="O91" s="25"/>
      <c r="P91" s="26">
        <v>41.398437333333327</v>
      </c>
      <c r="Q91" s="72">
        <f t="shared" si="9"/>
        <v>1780.132805333333</v>
      </c>
      <c r="R91" s="28">
        <f t="shared" si="10"/>
        <v>1424.1062442666664</v>
      </c>
    </row>
    <row r="92" spans="1:18" ht="10.5" customHeight="1" x14ac:dyDescent="0.3">
      <c r="A92" s="62" t="s">
        <v>218</v>
      </c>
      <c r="B92" s="70">
        <v>6</v>
      </c>
      <c r="C92" s="64" t="s">
        <v>86</v>
      </c>
      <c r="D92" s="65">
        <v>120</v>
      </c>
      <c r="E92" s="25" t="s">
        <v>126</v>
      </c>
      <c r="F92" s="78">
        <v>6.6071399999999993</v>
      </c>
      <c r="G92" s="72">
        <f t="shared" si="11"/>
        <v>284.10701999999998</v>
      </c>
      <c r="H92" s="28">
        <f t="shared" si="12"/>
        <v>227.28561599999998</v>
      </c>
      <c r="I92" s="20"/>
      <c r="J92" s="80" t="s">
        <v>219</v>
      </c>
      <c r="K92" s="70">
        <v>10</v>
      </c>
      <c r="L92" s="64" t="s">
        <v>86</v>
      </c>
      <c r="M92" s="65">
        <v>300</v>
      </c>
      <c r="N92" s="25" t="s">
        <v>50</v>
      </c>
      <c r="O92" s="25"/>
      <c r="P92" s="26">
        <v>41.125139583333322</v>
      </c>
      <c r="Q92" s="72">
        <f t="shared" si="9"/>
        <v>1768.3810020833328</v>
      </c>
      <c r="R92" s="28">
        <f t="shared" si="10"/>
        <v>1414.7048016666663</v>
      </c>
    </row>
    <row r="93" spans="1:18" ht="10.5" customHeight="1" x14ac:dyDescent="0.3">
      <c r="A93" s="62" t="s">
        <v>220</v>
      </c>
      <c r="B93" s="70">
        <v>6</v>
      </c>
      <c r="C93" s="64" t="s">
        <v>86</v>
      </c>
      <c r="D93" s="65">
        <v>140</v>
      </c>
      <c r="E93" s="25" t="s">
        <v>126</v>
      </c>
      <c r="F93" s="78">
        <v>8.2059800000000003</v>
      </c>
      <c r="G93" s="72">
        <f t="shared" si="11"/>
        <v>352.85714000000002</v>
      </c>
      <c r="H93" s="28">
        <f t="shared" si="12"/>
        <v>282.28571199999999</v>
      </c>
      <c r="I93" s="20"/>
      <c r="J93" s="80" t="s">
        <v>221</v>
      </c>
      <c r="K93" s="70">
        <v>12</v>
      </c>
      <c r="L93" s="64" t="s">
        <v>86</v>
      </c>
      <c r="M93" s="65">
        <v>80</v>
      </c>
      <c r="N93" s="25" t="s">
        <v>50</v>
      </c>
      <c r="O93" s="25"/>
      <c r="P93" s="26">
        <v>20.211097142857142</v>
      </c>
      <c r="Q93" s="72">
        <f t="shared" si="9"/>
        <v>869.07717714285707</v>
      </c>
      <c r="R93" s="28">
        <f t="shared" si="10"/>
        <v>695.26174171428568</v>
      </c>
    </row>
    <row r="94" spans="1:18" ht="10.5" customHeight="1" x14ac:dyDescent="0.3">
      <c r="A94" s="62" t="s">
        <v>222</v>
      </c>
      <c r="B94" s="70">
        <v>8</v>
      </c>
      <c r="C94" s="64" t="s">
        <v>86</v>
      </c>
      <c r="D94" s="65">
        <v>40</v>
      </c>
      <c r="E94" s="25">
        <v>200</v>
      </c>
      <c r="F94" s="78">
        <v>5.1859999999999991</v>
      </c>
      <c r="G94" s="72">
        <f t="shared" si="11"/>
        <v>222.99799999999996</v>
      </c>
      <c r="H94" s="28">
        <f t="shared" si="12"/>
        <v>178.39839999999998</v>
      </c>
      <c r="I94" s="20"/>
      <c r="J94" s="80" t="s">
        <v>223</v>
      </c>
      <c r="K94" s="70">
        <v>12</v>
      </c>
      <c r="L94" s="64" t="s">
        <v>86</v>
      </c>
      <c r="M94" s="65">
        <v>100</v>
      </c>
      <c r="N94" s="25" t="s">
        <v>50</v>
      </c>
      <c r="O94" s="25"/>
      <c r="P94" s="26">
        <v>24.719221273437498</v>
      </c>
      <c r="Q94" s="72">
        <f t="shared" si="9"/>
        <v>1062.9265147578124</v>
      </c>
      <c r="R94" s="28">
        <f t="shared" si="10"/>
        <v>850.34121180624993</v>
      </c>
    </row>
    <row r="95" spans="1:18" ht="10.5" customHeight="1" x14ac:dyDescent="0.3">
      <c r="A95" s="62" t="s">
        <v>224</v>
      </c>
      <c r="B95" s="70">
        <v>8</v>
      </c>
      <c r="C95" s="64" t="s">
        <v>86</v>
      </c>
      <c r="D95" s="65">
        <v>50</v>
      </c>
      <c r="E95" s="25">
        <v>200</v>
      </c>
      <c r="F95" s="78">
        <v>5.6677544999999991</v>
      </c>
      <c r="G95" s="72">
        <f t="shared" si="11"/>
        <v>243.71344349999995</v>
      </c>
      <c r="H95" s="28">
        <f t="shared" si="12"/>
        <v>194.97075479999995</v>
      </c>
      <c r="I95" s="20"/>
      <c r="J95" s="80" t="s">
        <v>225</v>
      </c>
      <c r="K95" s="70">
        <v>12</v>
      </c>
      <c r="L95" s="64" t="s">
        <v>86</v>
      </c>
      <c r="M95" s="65">
        <v>120</v>
      </c>
      <c r="N95" s="25" t="s">
        <v>43</v>
      </c>
      <c r="O95" s="25"/>
      <c r="P95" s="26">
        <v>26.816946109374996</v>
      </c>
      <c r="Q95" s="72">
        <f t="shared" si="9"/>
        <v>1153.1286827031249</v>
      </c>
      <c r="R95" s="28">
        <f t="shared" si="10"/>
        <v>922.50294616249994</v>
      </c>
    </row>
    <row r="96" spans="1:18" ht="10.5" customHeight="1" x14ac:dyDescent="0.3">
      <c r="A96" s="62" t="s">
        <v>226</v>
      </c>
      <c r="B96" s="70">
        <v>8</v>
      </c>
      <c r="C96" s="64" t="s">
        <v>86</v>
      </c>
      <c r="D96" s="65">
        <v>60</v>
      </c>
      <c r="E96" s="25">
        <v>200</v>
      </c>
      <c r="F96" s="78">
        <v>6.5219129999999996</v>
      </c>
      <c r="G96" s="72">
        <f t="shared" si="11"/>
        <v>280.44225899999998</v>
      </c>
      <c r="H96" s="28">
        <f t="shared" si="12"/>
        <v>224.35380719999998</v>
      </c>
      <c r="I96" s="20"/>
      <c r="J96" s="80" t="s">
        <v>208</v>
      </c>
      <c r="K96" s="70">
        <v>12</v>
      </c>
      <c r="L96" s="64" t="s">
        <v>86</v>
      </c>
      <c r="M96" s="65">
        <v>140</v>
      </c>
      <c r="N96" s="25" t="s">
        <v>56</v>
      </c>
      <c r="O96" s="25"/>
      <c r="P96" s="26">
        <v>32.001854999999999</v>
      </c>
      <c r="Q96" s="72">
        <f t="shared" si="9"/>
        <v>1376.079765</v>
      </c>
      <c r="R96" s="28">
        <f t="shared" si="10"/>
        <v>1100.8638120000001</v>
      </c>
    </row>
    <row r="97" spans="1:18" ht="10.5" customHeight="1" x14ac:dyDescent="0.3">
      <c r="A97" s="62" t="s">
        <v>227</v>
      </c>
      <c r="B97" s="70">
        <v>8</v>
      </c>
      <c r="C97" s="64" t="s">
        <v>86</v>
      </c>
      <c r="D97" s="65">
        <v>70</v>
      </c>
      <c r="E97" s="25" t="s">
        <v>126</v>
      </c>
      <c r="F97" s="78">
        <v>7.3810715</v>
      </c>
      <c r="G97" s="72">
        <f t="shared" si="11"/>
        <v>317.38607450000001</v>
      </c>
      <c r="H97" s="28">
        <f t="shared" si="12"/>
        <v>253.9088596</v>
      </c>
      <c r="I97" s="20"/>
      <c r="J97" s="80" t="s">
        <v>228</v>
      </c>
      <c r="K97" s="70">
        <v>12</v>
      </c>
      <c r="L97" s="64" t="s">
        <v>86</v>
      </c>
      <c r="M97" s="65">
        <v>160</v>
      </c>
      <c r="N97" s="25" t="s">
        <v>56</v>
      </c>
      <c r="O97" s="25"/>
      <c r="P97" s="26">
        <v>35.082744364583327</v>
      </c>
      <c r="Q97" s="72">
        <f t="shared" si="9"/>
        <v>1508.558007677083</v>
      </c>
      <c r="R97" s="28">
        <f t="shared" si="10"/>
        <v>1206.8464061416664</v>
      </c>
    </row>
    <row r="98" spans="1:18" ht="10.5" customHeight="1" x14ac:dyDescent="0.3">
      <c r="A98" s="62" t="s">
        <v>229</v>
      </c>
      <c r="B98" s="70">
        <v>8</v>
      </c>
      <c r="C98" s="64" t="s">
        <v>86</v>
      </c>
      <c r="D98" s="65">
        <v>80</v>
      </c>
      <c r="E98" s="25">
        <v>100</v>
      </c>
      <c r="F98" s="78">
        <v>8.2668654999999998</v>
      </c>
      <c r="G98" s="72">
        <f t="shared" si="11"/>
        <v>355.47521649999999</v>
      </c>
      <c r="H98" s="28">
        <f t="shared" si="12"/>
        <v>284.3801732</v>
      </c>
      <c r="I98" s="20"/>
      <c r="J98" s="80" t="s">
        <v>230</v>
      </c>
      <c r="K98" s="70">
        <v>12</v>
      </c>
      <c r="L98" s="64" t="s">
        <v>86</v>
      </c>
      <c r="M98" s="65">
        <v>180</v>
      </c>
      <c r="N98" s="25">
        <v>20</v>
      </c>
      <c r="O98" s="25"/>
      <c r="P98" s="26">
        <v>40.227099583333327</v>
      </c>
      <c r="Q98" s="72">
        <f t="shared" si="9"/>
        <v>1729.765282083333</v>
      </c>
      <c r="R98" s="28">
        <f t="shared" si="10"/>
        <v>1383.8122256666663</v>
      </c>
    </row>
    <row r="99" spans="1:18" ht="10.5" customHeight="1" x14ac:dyDescent="0.3">
      <c r="A99" s="62" t="s">
        <v>231</v>
      </c>
      <c r="B99" s="70">
        <v>8</v>
      </c>
      <c r="C99" s="64" t="s">
        <v>86</v>
      </c>
      <c r="D99" s="65">
        <v>90</v>
      </c>
      <c r="E99" s="25">
        <v>100</v>
      </c>
      <c r="F99" s="26">
        <v>9.1210240000000002</v>
      </c>
      <c r="G99" s="28">
        <f t="shared" si="11"/>
        <v>392.20403199999998</v>
      </c>
      <c r="H99" s="28">
        <f t="shared" si="12"/>
        <v>313.7632256</v>
      </c>
      <c r="I99" s="20"/>
      <c r="J99" s="80" t="s">
        <v>232</v>
      </c>
      <c r="K99" s="70">
        <v>12</v>
      </c>
      <c r="L99" s="64" t="s">
        <v>86</v>
      </c>
      <c r="M99" s="65">
        <v>200</v>
      </c>
      <c r="N99" s="25" t="s">
        <v>43</v>
      </c>
      <c r="O99" s="25"/>
      <c r="P99" s="26">
        <v>44.792252499999989</v>
      </c>
      <c r="Q99" s="72">
        <f t="shared" si="9"/>
        <v>1926.0668574999995</v>
      </c>
      <c r="R99" s="28">
        <f t="shared" si="10"/>
        <v>1540.8534859999995</v>
      </c>
    </row>
    <row r="100" spans="1:18" ht="10.5" customHeight="1" x14ac:dyDescent="0.3">
      <c r="A100" s="80" t="s">
        <v>233</v>
      </c>
      <c r="B100" s="70">
        <v>8</v>
      </c>
      <c r="C100" s="64" t="s">
        <v>86</v>
      </c>
      <c r="D100" s="65">
        <v>100</v>
      </c>
      <c r="E100" s="25" t="s">
        <v>126</v>
      </c>
      <c r="F100" s="78">
        <v>9.975182499999999</v>
      </c>
      <c r="G100" s="72">
        <f t="shared" si="11"/>
        <v>428.93284749999998</v>
      </c>
      <c r="H100" s="28">
        <f t="shared" si="12"/>
        <v>343.146278</v>
      </c>
      <c r="I100" s="20"/>
      <c r="J100" s="80" t="s">
        <v>234</v>
      </c>
      <c r="K100" s="70">
        <v>12</v>
      </c>
      <c r="L100" s="64" t="s">
        <v>86</v>
      </c>
      <c r="M100" s="65">
        <v>240</v>
      </c>
      <c r="N100" s="25" t="s">
        <v>43</v>
      </c>
      <c r="O100" s="25"/>
      <c r="P100" s="26">
        <v>55.832099999999983</v>
      </c>
      <c r="Q100" s="72">
        <f t="shared" si="9"/>
        <v>2400.7802999999994</v>
      </c>
      <c r="R100" s="28">
        <f t="shared" si="10"/>
        <v>1920.6242399999996</v>
      </c>
    </row>
    <row r="101" spans="1:18" ht="10.5" customHeight="1" x14ac:dyDescent="0.3">
      <c r="A101" s="80" t="s">
        <v>235</v>
      </c>
      <c r="B101" s="70">
        <v>8</v>
      </c>
      <c r="C101" s="64" t="s">
        <v>86</v>
      </c>
      <c r="D101" s="65">
        <v>120</v>
      </c>
      <c r="E101" s="25" t="s">
        <v>126</v>
      </c>
      <c r="F101" s="78">
        <v>11.6934995</v>
      </c>
      <c r="G101" s="72">
        <f t="shared" si="11"/>
        <v>502.82047849999998</v>
      </c>
      <c r="H101" s="28">
        <f t="shared" si="12"/>
        <v>402.25638279999998</v>
      </c>
      <c r="I101" s="20"/>
      <c r="J101" s="80" t="s">
        <v>236</v>
      </c>
      <c r="K101" s="70">
        <v>12</v>
      </c>
      <c r="L101" s="64" t="s">
        <v>86</v>
      </c>
      <c r="M101" s="65">
        <v>260</v>
      </c>
      <c r="N101" s="25" t="s">
        <v>43</v>
      </c>
      <c r="O101" s="25"/>
      <c r="P101" s="26">
        <v>54.112007999999989</v>
      </c>
      <c r="Q101" s="72">
        <f t="shared" si="9"/>
        <v>2326.8163439999994</v>
      </c>
      <c r="R101" s="28">
        <f t="shared" si="10"/>
        <v>1861.4530751999996</v>
      </c>
    </row>
    <row r="102" spans="1:18" ht="10.5" customHeight="1" x14ac:dyDescent="0.3">
      <c r="A102" s="80" t="s">
        <v>237</v>
      </c>
      <c r="B102" s="70">
        <v>8</v>
      </c>
      <c r="C102" s="64" t="s">
        <v>86</v>
      </c>
      <c r="D102" s="65">
        <v>140</v>
      </c>
      <c r="E102" s="25" t="s">
        <v>126</v>
      </c>
      <c r="F102" s="78">
        <v>13.401816500000002</v>
      </c>
      <c r="G102" s="72">
        <f t="shared" si="11"/>
        <v>576.27810950000014</v>
      </c>
      <c r="H102" s="28">
        <f t="shared" si="12"/>
        <v>461.02248760000009</v>
      </c>
      <c r="I102" s="20"/>
      <c r="J102" s="80" t="s">
        <v>238</v>
      </c>
      <c r="K102" s="70">
        <v>12</v>
      </c>
      <c r="L102" s="64" t="s">
        <v>86</v>
      </c>
      <c r="M102" s="65">
        <v>280</v>
      </c>
      <c r="N102" s="25" t="s">
        <v>43</v>
      </c>
      <c r="O102" s="25"/>
      <c r="P102" s="26">
        <v>58.938824585937489</v>
      </c>
      <c r="Q102" s="72">
        <f t="shared" si="9"/>
        <v>2534.369457195312</v>
      </c>
      <c r="R102" s="28">
        <f t="shared" si="10"/>
        <v>2027.4955657562496</v>
      </c>
    </row>
    <row r="103" spans="1:18" ht="10.5" customHeight="1" x14ac:dyDescent="0.3">
      <c r="A103" s="81" t="s">
        <v>239</v>
      </c>
      <c r="B103" s="82">
        <v>8</v>
      </c>
      <c r="C103" s="56" t="s">
        <v>86</v>
      </c>
      <c r="D103" s="57">
        <v>160</v>
      </c>
      <c r="E103" s="77" t="s">
        <v>157</v>
      </c>
      <c r="F103" s="78">
        <v>15.99475</v>
      </c>
      <c r="G103" s="72">
        <f t="shared" si="11"/>
        <v>687.77424999999994</v>
      </c>
      <c r="H103" s="28">
        <f t="shared" si="12"/>
        <v>550.21939999999995</v>
      </c>
      <c r="I103" s="83"/>
      <c r="J103" s="80" t="s">
        <v>240</v>
      </c>
      <c r="K103" s="70">
        <v>12</v>
      </c>
      <c r="L103" s="64" t="s">
        <v>86</v>
      </c>
      <c r="M103" s="65">
        <v>300</v>
      </c>
      <c r="N103" s="25" t="s">
        <v>43</v>
      </c>
      <c r="O103" s="25"/>
      <c r="P103" s="26">
        <v>73.649260699999985</v>
      </c>
      <c r="Q103" s="28">
        <f t="shared" si="9"/>
        <v>3166.9182100999992</v>
      </c>
      <c r="R103" s="28">
        <f t="shared" si="10"/>
        <v>2533.5345680799992</v>
      </c>
    </row>
    <row r="104" spans="1:18" ht="10.5" customHeight="1" x14ac:dyDescent="0.3">
      <c r="A104" s="20"/>
      <c r="B104" s="20"/>
      <c r="C104" s="20"/>
      <c r="D104" s="20"/>
      <c r="E104" s="20"/>
      <c r="F104" s="20"/>
      <c r="G104" s="20"/>
      <c r="H104" s="20"/>
      <c r="I104" s="20"/>
      <c r="J104" s="39"/>
      <c r="K104" s="40"/>
      <c r="L104" s="41"/>
      <c r="M104" s="42"/>
      <c r="N104" s="43"/>
      <c r="O104" s="43"/>
      <c r="P104" s="44"/>
      <c r="Q104" s="46"/>
      <c r="R104" s="46"/>
    </row>
    <row r="105" spans="1:18" ht="10.5" customHeight="1" x14ac:dyDescent="0.3">
      <c r="A105" s="47" t="s">
        <v>241</v>
      </c>
      <c r="B105" s="48" t="s">
        <v>242</v>
      </c>
      <c r="C105" s="49"/>
      <c r="D105" s="49"/>
      <c r="E105" s="49"/>
      <c r="F105" s="49"/>
      <c r="G105" s="49"/>
      <c r="H105" s="49"/>
      <c r="I105" s="49"/>
      <c r="J105" s="446" t="s">
        <v>78</v>
      </c>
      <c r="K105" s="446" t="s">
        <v>79</v>
      </c>
      <c r="L105" s="446"/>
      <c r="M105" s="446"/>
      <c r="N105" s="447" t="s">
        <v>80</v>
      </c>
      <c r="O105" s="14"/>
      <c r="P105" s="15"/>
      <c r="Q105" s="16" t="s">
        <v>81</v>
      </c>
      <c r="R105" s="17" t="s">
        <v>82</v>
      </c>
    </row>
    <row r="106" spans="1:18" ht="10.5" customHeight="1" x14ac:dyDescent="0.3">
      <c r="A106" s="18"/>
      <c r="B106" s="20"/>
      <c r="C106" s="20"/>
      <c r="D106" s="20"/>
      <c r="E106" s="20"/>
      <c r="F106" s="20"/>
      <c r="G106" s="20"/>
      <c r="H106" s="20"/>
      <c r="I106" s="20"/>
      <c r="J106" s="446"/>
      <c r="K106" s="446"/>
      <c r="L106" s="446"/>
      <c r="M106" s="446"/>
      <c r="N106" s="447"/>
      <c r="O106" s="14"/>
      <c r="P106" s="19" t="s">
        <v>83</v>
      </c>
      <c r="Q106" s="15" t="s">
        <v>84</v>
      </c>
      <c r="R106" s="15" t="s">
        <v>84</v>
      </c>
    </row>
    <row r="107" spans="1:18" ht="10.5" customHeight="1" x14ac:dyDescent="0.3">
      <c r="A107" s="18"/>
      <c r="B107" s="20"/>
      <c r="C107" s="20"/>
      <c r="D107" s="20"/>
      <c r="E107" s="20"/>
      <c r="F107" s="20"/>
      <c r="G107" s="20"/>
      <c r="H107" s="20"/>
      <c r="I107" s="20"/>
      <c r="J107" s="62" t="s">
        <v>243</v>
      </c>
      <c r="K107" s="70">
        <v>5</v>
      </c>
      <c r="L107" s="64" t="s">
        <v>86</v>
      </c>
      <c r="M107" s="65">
        <v>100</v>
      </c>
      <c r="N107" s="77" t="s">
        <v>101</v>
      </c>
      <c r="O107" s="77"/>
      <c r="P107" s="26">
        <v>7.4731999999999985</v>
      </c>
      <c r="Q107" s="72">
        <f t="shared" ref="Q107:Q112" si="13">P107*$F$10</f>
        <v>321.34759999999994</v>
      </c>
      <c r="R107" s="28">
        <f t="shared" ref="R107:R112" si="14">Q107-Q107*0.2</f>
        <v>257.07807999999994</v>
      </c>
    </row>
    <row r="108" spans="1:18" ht="10.5" customHeight="1" x14ac:dyDescent="0.3">
      <c r="A108" s="18"/>
      <c r="B108" s="20"/>
      <c r="C108" s="20"/>
      <c r="D108" s="20"/>
      <c r="E108" s="20"/>
      <c r="F108" s="20"/>
      <c r="G108" s="20"/>
      <c r="H108" s="20"/>
      <c r="I108" s="20"/>
      <c r="J108" s="62" t="s">
        <v>244</v>
      </c>
      <c r="K108" s="70">
        <v>5</v>
      </c>
      <c r="L108" s="64" t="s">
        <v>86</v>
      </c>
      <c r="M108" s="65">
        <v>110</v>
      </c>
      <c r="N108" s="77" t="s">
        <v>101</v>
      </c>
      <c r="O108" s="77"/>
      <c r="P108" s="26">
        <v>8.6349999999999998</v>
      </c>
      <c r="Q108" s="72">
        <f t="shared" si="13"/>
        <v>371.30500000000001</v>
      </c>
      <c r="R108" s="28">
        <f t="shared" si="14"/>
        <v>297.04399999999998</v>
      </c>
    </row>
    <row r="109" spans="1:18" ht="10.5" customHeight="1" x14ac:dyDescent="0.3">
      <c r="A109" s="53" t="s">
        <v>245</v>
      </c>
      <c r="B109" s="20"/>
      <c r="C109" s="20"/>
      <c r="D109" s="20"/>
      <c r="E109" s="20"/>
      <c r="F109" s="20"/>
      <c r="G109" s="20"/>
      <c r="H109" s="20"/>
      <c r="I109" s="20"/>
      <c r="J109" s="62" t="s">
        <v>246</v>
      </c>
      <c r="K109" s="70">
        <v>5</v>
      </c>
      <c r="L109" s="64" t="s">
        <v>86</v>
      </c>
      <c r="M109" s="65">
        <v>120</v>
      </c>
      <c r="N109" s="77" t="s">
        <v>101</v>
      </c>
      <c r="O109" s="77"/>
      <c r="P109" s="26">
        <v>9.7182999999999975</v>
      </c>
      <c r="Q109" s="72">
        <f t="shared" si="13"/>
        <v>417.88689999999991</v>
      </c>
      <c r="R109" s="28">
        <f t="shared" si="14"/>
        <v>334.30951999999991</v>
      </c>
    </row>
    <row r="110" spans="1:18" ht="10.5" customHeight="1" x14ac:dyDescent="0.3">
      <c r="A110" s="53" t="s">
        <v>247</v>
      </c>
      <c r="B110" s="20"/>
      <c r="C110" s="20"/>
      <c r="D110" s="20"/>
      <c r="E110" s="20"/>
      <c r="F110" s="20"/>
      <c r="G110" s="20"/>
      <c r="H110" s="20"/>
      <c r="I110" s="20"/>
      <c r="J110" s="62" t="s">
        <v>248</v>
      </c>
      <c r="K110" s="70">
        <v>6</v>
      </c>
      <c r="L110" s="64" t="s">
        <v>86</v>
      </c>
      <c r="M110" s="65">
        <v>40</v>
      </c>
      <c r="N110" s="77">
        <v>100</v>
      </c>
      <c r="O110" s="77"/>
      <c r="P110" s="26">
        <v>5.024</v>
      </c>
      <c r="Q110" s="72">
        <f t="shared" si="13"/>
        <v>216.03200000000001</v>
      </c>
      <c r="R110" s="28">
        <f t="shared" si="14"/>
        <v>172.82560000000001</v>
      </c>
    </row>
    <row r="111" spans="1:18" ht="10.5" customHeight="1" thickBot="1" x14ac:dyDescent="0.35">
      <c r="A111" s="446" t="s">
        <v>78</v>
      </c>
      <c r="B111" s="446" t="s">
        <v>79</v>
      </c>
      <c r="C111" s="446"/>
      <c r="D111" s="446"/>
      <c r="E111" s="447" t="s">
        <v>80</v>
      </c>
      <c r="F111" s="61"/>
      <c r="G111" s="16" t="s">
        <v>81</v>
      </c>
      <c r="H111" s="17" t="s">
        <v>82</v>
      </c>
      <c r="I111" s="20"/>
      <c r="J111" s="62" t="s">
        <v>249</v>
      </c>
      <c r="K111" s="70">
        <v>6</v>
      </c>
      <c r="L111" s="64" t="s">
        <v>86</v>
      </c>
      <c r="M111" s="65">
        <v>50</v>
      </c>
      <c r="N111" s="77">
        <v>100</v>
      </c>
      <c r="O111" s="77"/>
      <c r="P111" s="26">
        <v>5.997399999999999</v>
      </c>
      <c r="Q111" s="72">
        <f t="shared" si="13"/>
        <v>257.88819999999998</v>
      </c>
      <c r="R111" s="28">
        <f t="shared" si="14"/>
        <v>206.31055999999998</v>
      </c>
    </row>
    <row r="112" spans="1:18" ht="10.5" customHeight="1" thickTop="1" x14ac:dyDescent="0.3">
      <c r="A112" s="446"/>
      <c r="B112" s="446"/>
      <c r="C112" s="446"/>
      <c r="D112" s="446"/>
      <c r="E112" s="447"/>
      <c r="F112" s="68" t="s">
        <v>83</v>
      </c>
      <c r="G112" s="15" t="s">
        <v>84</v>
      </c>
      <c r="H112" s="15" t="s">
        <v>84</v>
      </c>
      <c r="I112" s="20"/>
      <c r="J112" s="62" t="s">
        <v>250</v>
      </c>
      <c r="K112" s="70">
        <v>6</v>
      </c>
      <c r="L112" s="64" t="s">
        <v>86</v>
      </c>
      <c r="M112" s="65">
        <v>60</v>
      </c>
      <c r="N112" s="77">
        <v>100</v>
      </c>
      <c r="O112" s="77"/>
      <c r="P112" s="26">
        <v>7.3004999999999995</v>
      </c>
      <c r="Q112" s="72">
        <f t="shared" si="13"/>
        <v>313.92149999999998</v>
      </c>
      <c r="R112" s="28">
        <f t="shared" si="14"/>
        <v>251.13719999999998</v>
      </c>
    </row>
    <row r="113" spans="1:18" ht="10.5" customHeight="1" x14ac:dyDescent="0.3">
      <c r="A113" s="139" t="s">
        <v>251</v>
      </c>
      <c r="B113" s="254">
        <v>3</v>
      </c>
      <c r="C113" s="75" t="s">
        <v>86</v>
      </c>
      <c r="D113" s="431">
        <v>30</v>
      </c>
      <c r="E113" s="428" t="s">
        <v>170</v>
      </c>
      <c r="F113" s="303">
        <v>1.1774999999999998</v>
      </c>
      <c r="G113" s="72">
        <f t="shared" ref="G113:G119" si="15">F113*$F$10</f>
        <v>50.632499999999993</v>
      </c>
      <c r="H113" s="72">
        <f t="shared" ref="H113:H119" si="16">G113-G113*0.2</f>
        <v>40.505999999999993</v>
      </c>
      <c r="I113" s="20"/>
      <c r="J113" s="62" t="s">
        <v>252</v>
      </c>
      <c r="K113" s="70">
        <v>6</v>
      </c>
      <c r="L113" s="64" t="s">
        <v>86</v>
      </c>
      <c r="M113" s="65">
        <v>70</v>
      </c>
      <c r="N113" s="77">
        <v>100</v>
      </c>
      <c r="O113" s="77"/>
      <c r="P113" s="26">
        <v>6.7352999999999996</v>
      </c>
      <c r="Q113" s="72">
        <f t="shared" ref="Q113:Q144" si="17">P113*$F$10</f>
        <v>289.61789999999996</v>
      </c>
      <c r="R113" s="28">
        <f t="shared" ref="R113:R144" si="18">Q113-Q113*0.2</f>
        <v>231.69431999999998</v>
      </c>
    </row>
    <row r="114" spans="1:18" ht="10.5" customHeight="1" x14ac:dyDescent="0.3">
      <c r="A114" s="139" t="s">
        <v>253</v>
      </c>
      <c r="B114" s="254">
        <v>3</v>
      </c>
      <c r="C114" s="75" t="s">
        <v>86</v>
      </c>
      <c r="D114" s="431">
        <v>35</v>
      </c>
      <c r="E114" s="428" t="s">
        <v>254</v>
      </c>
      <c r="F114" s="303">
        <v>1.256</v>
      </c>
      <c r="G114" s="72">
        <f t="shared" si="15"/>
        <v>54.008000000000003</v>
      </c>
      <c r="H114" s="72">
        <f t="shared" si="16"/>
        <v>43.206400000000002</v>
      </c>
      <c r="I114" s="20"/>
      <c r="J114" s="62" t="s">
        <v>255</v>
      </c>
      <c r="K114" s="70">
        <v>6</v>
      </c>
      <c r="L114" s="64" t="s">
        <v>86</v>
      </c>
      <c r="M114" s="65">
        <v>80</v>
      </c>
      <c r="N114" s="77">
        <v>100</v>
      </c>
      <c r="O114" s="77"/>
      <c r="P114" s="26">
        <v>8.0069999999999979</v>
      </c>
      <c r="Q114" s="72">
        <f t="shared" si="17"/>
        <v>344.30099999999993</v>
      </c>
      <c r="R114" s="28">
        <f t="shared" si="18"/>
        <v>275.44079999999997</v>
      </c>
    </row>
    <row r="115" spans="1:18" ht="10.5" customHeight="1" x14ac:dyDescent="0.3">
      <c r="A115" s="139" t="s">
        <v>256</v>
      </c>
      <c r="B115" s="254">
        <v>3</v>
      </c>
      <c r="C115" s="75" t="s">
        <v>86</v>
      </c>
      <c r="D115" s="431">
        <v>40</v>
      </c>
      <c r="E115" s="428" t="s">
        <v>257</v>
      </c>
      <c r="F115" s="303">
        <v>1.3658999999999999</v>
      </c>
      <c r="G115" s="72">
        <f t="shared" si="15"/>
        <v>58.733699999999999</v>
      </c>
      <c r="H115" s="72">
        <f t="shared" si="16"/>
        <v>46.986959999999996</v>
      </c>
      <c r="I115" s="20"/>
      <c r="J115" s="80" t="s">
        <v>258</v>
      </c>
      <c r="K115" s="70">
        <v>6</v>
      </c>
      <c r="L115" s="64" t="s">
        <v>86</v>
      </c>
      <c r="M115" s="65">
        <v>90</v>
      </c>
      <c r="N115" s="77">
        <v>100</v>
      </c>
      <c r="O115" s="77"/>
      <c r="P115" s="26">
        <v>9.4199999999999982</v>
      </c>
      <c r="Q115" s="72">
        <f t="shared" si="17"/>
        <v>405.05999999999995</v>
      </c>
      <c r="R115" s="28">
        <f t="shared" si="18"/>
        <v>324.04799999999994</v>
      </c>
    </row>
    <row r="116" spans="1:18" ht="10.5" customHeight="1" x14ac:dyDescent="0.3">
      <c r="A116" s="225" t="s">
        <v>259</v>
      </c>
      <c r="B116" s="74">
        <v>3.5</v>
      </c>
      <c r="C116" s="75" t="s">
        <v>86</v>
      </c>
      <c r="D116" s="76">
        <v>30</v>
      </c>
      <c r="E116" s="77" t="s">
        <v>170</v>
      </c>
      <c r="F116" s="78">
        <v>1.3973</v>
      </c>
      <c r="G116" s="72">
        <f t="shared" si="15"/>
        <v>60.0839</v>
      </c>
      <c r="H116" s="72">
        <f t="shared" si="16"/>
        <v>48.067120000000003</v>
      </c>
      <c r="I116" s="20"/>
      <c r="J116" s="80" t="s">
        <v>260</v>
      </c>
      <c r="K116" s="70">
        <v>6</v>
      </c>
      <c r="L116" s="64" t="s">
        <v>86</v>
      </c>
      <c r="M116" s="65">
        <v>100</v>
      </c>
      <c r="N116" s="77">
        <v>100</v>
      </c>
      <c r="O116" s="77"/>
      <c r="P116" s="26">
        <v>11.4924</v>
      </c>
      <c r="Q116" s="72">
        <f t="shared" si="17"/>
        <v>494.17320000000001</v>
      </c>
      <c r="R116" s="28">
        <f t="shared" si="18"/>
        <v>395.33856000000003</v>
      </c>
    </row>
    <row r="117" spans="1:18" ht="10.5" customHeight="1" x14ac:dyDescent="0.3">
      <c r="A117" s="225" t="s">
        <v>261</v>
      </c>
      <c r="B117" s="74">
        <v>3.5</v>
      </c>
      <c r="C117" s="75" t="s">
        <v>86</v>
      </c>
      <c r="D117" s="76">
        <v>35</v>
      </c>
      <c r="E117" s="77" t="s">
        <v>170</v>
      </c>
      <c r="F117" s="78">
        <v>1.5542999999999998</v>
      </c>
      <c r="G117" s="72">
        <f t="shared" si="15"/>
        <v>66.83489999999999</v>
      </c>
      <c r="H117" s="72">
        <f t="shared" si="16"/>
        <v>53.467919999999992</v>
      </c>
      <c r="I117" s="20"/>
      <c r="J117" s="80" t="s">
        <v>262</v>
      </c>
      <c r="K117" s="70">
        <v>6</v>
      </c>
      <c r="L117" s="64" t="s">
        <v>86</v>
      </c>
      <c r="M117" s="65">
        <v>120</v>
      </c>
      <c r="N117" s="77">
        <v>100</v>
      </c>
      <c r="O117" s="77"/>
      <c r="P117" s="26">
        <v>14.3027</v>
      </c>
      <c r="Q117" s="72">
        <f t="shared" si="17"/>
        <v>615.01609999999994</v>
      </c>
      <c r="R117" s="28">
        <f t="shared" si="18"/>
        <v>492.01287999999994</v>
      </c>
    </row>
    <row r="118" spans="1:18" ht="10.5" customHeight="1" x14ac:dyDescent="0.3">
      <c r="A118" s="225" t="s">
        <v>263</v>
      </c>
      <c r="B118" s="74">
        <v>3.5</v>
      </c>
      <c r="C118" s="75" t="s">
        <v>86</v>
      </c>
      <c r="D118" s="76">
        <v>40</v>
      </c>
      <c r="E118" s="77" t="s">
        <v>170</v>
      </c>
      <c r="F118" s="78">
        <v>1.7269999999999999</v>
      </c>
      <c r="G118" s="72">
        <f t="shared" si="15"/>
        <v>74.260999999999996</v>
      </c>
      <c r="H118" s="72">
        <f t="shared" si="16"/>
        <v>59.408799999999999</v>
      </c>
      <c r="I118" s="20"/>
      <c r="J118" s="80" t="s">
        <v>264</v>
      </c>
      <c r="K118" s="70">
        <v>6</v>
      </c>
      <c r="L118" s="64" t="s">
        <v>86</v>
      </c>
      <c r="M118" s="65">
        <v>140</v>
      </c>
      <c r="N118" s="77">
        <v>100</v>
      </c>
      <c r="O118" s="77"/>
      <c r="P118" s="26">
        <v>16.327999999999999</v>
      </c>
      <c r="Q118" s="72">
        <f t="shared" si="17"/>
        <v>702.10399999999993</v>
      </c>
      <c r="R118" s="28">
        <f t="shared" si="18"/>
        <v>561.68319999999994</v>
      </c>
    </row>
    <row r="119" spans="1:18" ht="10.5" customHeight="1" x14ac:dyDescent="0.3">
      <c r="A119" s="225" t="s">
        <v>265</v>
      </c>
      <c r="B119" s="74">
        <v>3.5</v>
      </c>
      <c r="C119" s="75" t="s">
        <v>86</v>
      </c>
      <c r="D119" s="76">
        <v>50</v>
      </c>
      <c r="E119" s="77" t="s">
        <v>170</v>
      </c>
      <c r="F119" s="78">
        <v>2.0566999999999998</v>
      </c>
      <c r="G119" s="72">
        <f t="shared" si="15"/>
        <v>88.438099999999991</v>
      </c>
      <c r="H119" s="72">
        <f t="shared" si="16"/>
        <v>70.750479999999996</v>
      </c>
      <c r="I119" s="20"/>
      <c r="J119" s="80" t="s">
        <v>266</v>
      </c>
      <c r="K119" s="70">
        <v>6</v>
      </c>
      <c r="L119" s="64" t="s">
        <v>86</v>
      </c>
      <c r="M119" s="65">
        <v>160</v>
      </c>
      <c r="N119" s="77">
        <v>100</v>
      </c>
      <c r="O119" s="77"/>
      <c r="P119" s="26">
        <v>21.147899999999996</v>
      </c>
      <c r="Q119" s="72">
        <f t="shared" si="17"/>
        <v>909.35969999999986</v>
      </c>
      <c r="R119" s="28">
        <f t="shared" si="18"/>
        <v>727.48775999999987</v>
      </c>
    </row>
    <row r="120" spans="1:18" ht="10.5" customHeight="1" x14ac:dyDescent="0.3">
      <c r="A120" s="73" t="s">
        <v>267</v>
      </c>
      <c r="B120" s="74">
        <v>4</v>
      </c>
      <c r="C120" s="75" t="s">
        <v>86</v>
      </c>
      <c r="D120" s="76">
        <v>25</v>
      </c>
      <c r="E120" s="77" t="s">
        <v>170</v>
      </c>
      <c r="F120" s="78">
        <v>1.256</v>
      </c>
      <c r="G120" s="72">
        <f t="shared" ref="G120:G145" si="19">F120*$F$10</f>
        <v>54.008000000000003</v>
      </c>
      <c r="H120" s="72">
        <f t="shared" ref="H120:H145" si="20">G120-G120*0.2</f>
        <v>43.206400000000002</v>
      </c>
      <c r="I120" s="20"/>
      <c r="J120" s="80" t="s">
        <v>268</v>
      </c>
      <c r="K120" s="70">
        <v>6</v>
      </c>
      <c r="L120" s="64" t="s">
        <v>86</v>
      </c>
      <c r="M120" s="65">
        <v>180</v>
      </c>
      <c r="N120" s="77">
        <v>100</v>
      </c>
      <c r="O120" s="77"/>
      <c r="P120" s="26">
        <v>21.194999999999997</v>
      </c>
      <c r="Q120" s="72">
        <f t="shared" si="17"/>
        <v>911.38499999999988</v>
      </c>
      <c r="R120" s="28">
        <f t="shared" si="18"/>
        <v>729.10799999999995</v>
      </c>
    </row>
    <row r="121" spans="1:18" ht="10.5" customHeight="1" x14ac:dyDescent="0.3">
      <c r="A121" s="225" t="s">
        <v>269</v>
      </c>
      <c r="B121" s="74">
        <v>4</v>
      </c>
      <c r="C121" s="75" t="s">
        <v>86</v>
      </c>
      <c r="D121" s="76">
        <v>30</v>
      </c>
      <c r="E121" s="77" t="s">
        <v>170</v>
      </c>
      <c r="F121" s="78">
        <v>1.7584</v>
      </c>
      <c r="G121" s="72">
        <f>F121*$F$10</f>
        <v>75.611199999999997</v>
      </c>
      <c r="H121" s="72">
        <f>G121-G121*0.2</f>
        <v>60.488959999999999</v>
      </c>
      <c r="I121" s="20"/>
      <c r="J121" s="80" t="s">
        <v>270</v>
      </c>
      <c r="K121" s="70">
        <v>6</v>
      </c>
      <c r="L121" s="64" t="s">
        <v>86</v>
      </c>
      <c r="M121" s="65">
        <v>200</v>
      </c>
      <c r="N121" s="77">
        <v>100</v>
      </c>
      <c r="O121" s="77"/>
      <c r="P121" s="26">
        <v>27.2866</v>
      </c>
      <c r="Q121" s="72">
        <f t="shared" si="17"/>
        <v>1173.3237999999999</v>
      </c>
      <c r="R121" s="28">
        <f t="shared" si="18"/>
        <v>938.65903999999989</v>
      </c>
    </row>
    <row r="122" spans="1:18" ht="10.5" customHeight="1" x14ac:dyDescent="0.3">
      <c r="A122" s="79" t="s">
        <v>271</v>
      </c>
      <c r="B122" s="22">
        <v>4</v>
      </c>
      <c r="C122" s="23" t="s">
        <v>86</v>
      </c>
      <c r="D122" s="24">
        <v>35</v>
      </c>
      <c r="E122" s="25" t="s">
        <v>170</v>
      </c>
      <c r="F122" s="78">
        <v>1.9467999999999999</v>
      </c>
      <c r="G122" s="72">
        <f t="shared" si="19"/>
        <v>83.712399999999988</v>
      </c>
      <c r="H122" s="28">
        <f t="shared" si="20"/>
        <v>66.969919999999988</v>
      </c>
      <c r="I122" s="20"/>
      <c r="J122" s="80" t="s">
        <v>272</v>
      </c>
      <c r="K122" s="70">
        <v>6</v>
      </c>
      <c r="L122" s="64" t="s">
        <v>86</v>
      </c>
      <c r="M122" s="65">
        <v>220</v>
      </c>
      <c r="N122" s="77">
        <v>100</v>
      </c>
      <c r="O122" s="77"/>
      <c r="P122" s="26">
        <v>30.536499999999997</v>
      </c>
      <c r="Q122" s="72">
        <f t="shared" si="17"/>
        <v>1313.0694999999998</v>
      </c>
      <c r="R122" s="28">
        <f t="shared" si="18"/>
        <v>1050.4555999999998</v>
      </c>
    </row>
    <row r="123" spans="1:18" ht="10.5" customHeight="1" x14ac:dyDescent="0.3">
      <c r="A123" s="225" t="s">
        <v>273</v>
      </c>
      <c r="B123" s="22">
        <v>4</v>
      </c>
      <c r="C123" s="23" t="s">
        <v>86</v>
      </c>
      <c r="D123" s="24">
        <v>40</v>
      </c>
      <c r="E123" s="25" t="s">
        <v>170</v>
      </c>
      <c r="F123" s="78">
        <v>2.1194999999999999</v>
      </c>
      <c r="G123" s="72">
        <f>F123*$F$10</f>
        <v>91.138499999999993</v>
      </c>
      <c r="H123" s="28">
        <f>G123-G123*0.2</f>
        <v>72.910799999999995</v>
      </c>
      <c r="I123" s="20"/>
      <c r="J123" s="80" t="s">
        <v>274</v>
      </c>
      <c r="K123" s="70">
        <v>6</v>
      </c>
      <c r="L123" s="64" t="s">
        <v>86</v>
      </c>
      <c r="M123" s="65">
        <v>240</v>
      </c>
      <c r="N123" s="77">
        <v>100</v>
      </c>
      <c r="O123" s="77"/>
      <c r="P123" s="26">
        <v>34.885399999999997</v>
      </c>
      <c r="Q123" s="72">
        <f t="shared" si="17"/>
        <v>1500.0721999999998</v>
      </c>
      <c r="R123" s="28">
        <f t="shared" si="18"/>
        <v>1200.0577599999999</v>
      </c>
    </row>
    <row r="124" spans="1:18" ht="10.5" customHeight="1" x14ac:dyDescent="0.3">
      <c r="A124" s="79" t="s">
        <v>275</v>
      </c>
      <c r="B124" s="22">
        <v>4</v>
      </c>
      <c r="C124" s="23" t="s">
        <v>86</v>
      </c>
      <c r="D124" s="24">
        <v>45</v>
      </c>
      <c r="E124" s="25" t="s">
        <v>88</v>
      </c>
      <c r="F124" s="78">
        <v>2.1979999999999995</v>
      </c>
      <c r="G124" s="72">
        <f t="shared" si="19"/>
        <v>94.513999999999982</v>
      </c>
      <c r="H124" s="28">
        <f t="shared" si="20"/>
        <v>75.611199999999982</v>
      </c>
      <c r="I124" s="20"/>
      <c r="J124" s="80" t="s">
        <v>276</v>
      </c>
      <c r="K124" s="70">
        <v>6</v>
      </c>
      <c r="L124" s="64" t="s">
        <v>86</v>
      </c>
      <c r="M124" s="65">
        <v>260</v>
      </c>
      <c r="N124" s="77">
        <v>100</v>
      </c>
      <c r="O124" s="77"/>
      <c r="P124" s="26">
        <v>54.949999999999996</v>
      </c>
      <c r="Q124" s="72">
        <f t="shared" si="17"/>
        <v>2362.85</v>
      </c>
      <c r="R124" s="28">
        <f t="shared" si="18"/>
        <v>1890.28</v>
      </c>
    </row>
    <row r="125" spans="1:18" ht="10.5" customHeight="1" x14ac:dyDescent="0.3">
      <c r="A125" s="225" t="s">
        <v>277</v>
      </c>
      <c r="B125" s="22">
        <v>4</v>
      </c>
      <c r="C125" s="23" t="s">
        <v>86</v>
      </c>
      <c r="D125" s="24">
        <v>50</v>
      </c>
      <c r="E125" s="25" t="s">
        <v>88</v>
      </c>
      <c r="F125" s="78">
        <v>2.1979999999999995</v>
      </c>
      <c r="G125" s="72">
        <f>F125*$F$10</f>
        <v>94.513999999999982</v>
      </c>
      <c r="H125" s="28">
        <f>G125-G125*0.2</f>
        <v>75.611199999999982</v>
      </c>
      <c r="I125" s="20"/>
      <c r="J125" s="80" t="s">
        <v>278</v>
      </c>
      <c r="K125" s="70">
        <v>6</v>
      </c>
      <c r="L125" s="64" t="s">
        <v>86</v>
      </c>
      <c r="M125" s="65">
        <v>280</v>
      </c>
      <c r="N125" s="77">
        <v>100</v>
      </c>
      <c r="O125" s="77"/>
      <c r="P125" s="26">
        <v>58.089999999999996</v>
      </c>
      <c r="Q125" s="72">
        <f t="shared" si="17"/>
        <v>2497.87</v>
      </c>
      <c r="R125" s="28">
        <f t="shared" si="18"/>
        <v>1998.2959999999998</v>
      </c>
    </row>
    <row r="126" spans="1:18" ht="10.5" customHeight="1" x14ac:dyDescent="0.3">
      <c r="A126" s="79" t="s">
        <v>279</v>
      </c>
      <c r="B126" s="22">
        <v>4</v>
      </c>
      <c r="C126" s="23" t="s">
        <v>86</v>
      </c>
      <c r="D126" s="24">
        <v>60</v>
      </c>
      <c r="E126" s="25" t="s">
        <v>88</v>
      </c>
      <c r="F126" s="78">
        <v>3.1399999999999997</v>
      </c>
      <c r="G126" s="72">
        <f t="shared" si="19"/>
        <v>135.01999999999998</v>
      </c>
      <c r="H126" s="28">
        <f t="shared" si="20"/>
        <v>108.01599999999999</v>
      </c>
      <c r="I126" s="20"/>
      <c r="J126" s="80" t="s">
        <v>280</v>
      </c>
      <c r="K126" s="70">
        <v>6</v>
      </c>
      <c r="L126" s="64" t="s">
        <v>86</v>
      </c>
      <c r="M126" s="65">
        <v>300</v>
      </c>
      <c r="N126" s="77">
        <v>100</v>
      </c>
      <c r="O126" s="77"/>
      <c r="P126" s="26">
        <v>69.08</v>
      </c>
      <c r="Q126" s="72">
        <f t="shared" si="17"/>
        <v>2970.44</v>
      </c>
      <c r="R126" s="28">
        <f t="shared" si="18"/>
        <v>2376.3519999999999</v>
      </c>
    </row>
    <row r="127" spans="1:18" ht="10.5" customHeight="1" x14ac:dyDescent="0.3">
      <c r="A127" s="79" t="s">
        <v>281</v>
      </c>
      <c r="B127" s="22">
        <v>4</v>
      </c>
      <c r="C127" s="23" t="s">
        <v>86</v>
      </c>
      <c r="D127" s="24">
        <v>70</v>
      </c>
      <c r="E127" s="25" t="s">
        <v>101</v>
      </c>
      <c r="F127" s="78">
        <v>3.1399999999999997</v>
      </c>
      <c r="G127" s="72">
        <f t="shared" si="19"/>
        <v>135.01999999999998</v>
      </c>
      <c r="H127" s="28">
        <f t="shared" si="20"/>
        <v>108.01599999999999</v>
      </c>
      <c r="I127" s="20"/>
      <c r="J127" s="80" t="s">
        <v>282</v>
      </c>
      <c r="K127" s="70">
        <v>8</v>
      </c>
      <c r="L127" s="64" t="s">
        <v>86</v>
      </c>
      <c r="M127" s="65">
        <v>80</v>
      </c>
      <c r="N127" s="77">
        <v>100</v>
      </c>
      <c r="O127" s="77"/>
      <c r="P127" s="26">
        <v>15.228999999999997</v>
      </c>
      <c r="Q127" s="72">
        <f t="shared" si="17"/>
        <v>654.84699999999987</v>
      </c>
      <c r="R127" s="28">
        <f t="shared" si="18"/>
        <v>523.87759999999992</v>
      </c>
    </row>
    <row r="128" spans="1:18" ht="10.5" customHeight="1" x14ac:dyDescent="0.3">
      <c r="A128" s="79" t="s">
        <v>283</v>
      </c>
      <c r="B128" s="22">
        <v>4.5</v>
      </c>
      <c r="C128" s="23" t="s">
        <v>86</v>
      </c>
      <c r="D128" s="24">
        <v>25</v>
      </c>
      <c r="E128" s="25" t="s">
        <v>101</v>
      </c>
      <c r="F128" s="78">
        <v>1.4809630921874999</v>
      </c>
      <c r="G128" s="72">
        <f t="shared" si="19"/>
        <v>63.681412964062496</v>
      </c>
      <c r="H128" s="28">
        <f t="shared" si="20"/>
        <v>50.945130371249995</v>
      </c>
      <c r="I128" s="20"/>
      <c r="J128" s="80" t="s">
        <v>284</v>
      </c>
      <c r="K128" s="70">
        <v>8</v>
      </c>
      <c r="L128" s="64" t="s">
        <v>86</v>
      </c>
      <c r="M128" s="65">
        <v>90</v>
      </c>
      <c r="N128" s="77">
        <v>100</v>
      </c>
      <c r="O128" s="77"/>
      <c r="P128" s="26">
        <v>23.206164848437499</v>
      </c>
      <c r="Q128" s="72">
        <f t="shared" si="17"/>
        <v>997.86508848281244</v>
      </c>
      <c r="R128" s="28">
        <f t="shared" si="18"/>
        <v>798.29207078624995</v>
      </c>
    </row>
    <row r="129" spans="1:18" ht="10.5" customHeight="1" x14ac:dyDescent="0.3">
      <c r="A129" s="79" t="s">
        <v>285</v>
      </c>
      <c r="B129" s="22">
        <v>4.5</v>
      </c>
      <c r="C129" s="23" t="s">
        <v>86</v>
      </c>
      <c r="D129" s="24">
        <v>30</v>
      </c>
      <c r="E129" s="25" t="s">
        <v>101</v>
      </c>
      <c r="F129" s="78">
        <v>2.1719532093749998</v>
      </c>
      <c r="G129" s="72">
        <f t="shared" si="19"/>
        <v>93.393988003124988</v>
      </c>
      <c r="H129" s="28">
        <f t="shared" si="20"/>
        <v>74.715190402499985</v>
      </c>
      <c r="I129" s="20"/>
      <c r="J129" s="80" t="s">
        <v>286</v>
      </c>
      <c r="K129" s="70">
        <v>8</v>
      </c>
      <c r="L129" s="64" t="s">
        <v>86</v>
      </c>
      <c r="M129" s="65">
        <v>100</v>
      </c>
      <c r="N129" s="77">
        <v>100</v>
      </c>
      <c r="O129" s="77"/>
      <c r="P129" s="26">
        <v>23.518599999999999</v>
      </c>
      <c r="Q129" s="72">
        <f t="shared" si="17"/>
        <v>1011.2998</v>
      </c>
      <c r="R129" s="28">
        <f t="shared" si="18"/>
        <v>809.03984000000003</v>
      </c>
    </row>
    <row r="130" spans="1:18" ht="10.5" customHeight="1" x14ac:dyDescent="0.3">
      <c r="A130" s="79" t="s">
        <v>287</v>
      </c>
      <c r="B130" s="22">
        <v>4.5</v>
      </c>
      <c r="C130" s="23" t="s">
        <v>86</v>
      </c>
      <c r="D130" s="24">
        <v>35</v>
      </c>
      <c r="E130" s="25" t="s">
        <v>101</v>
      </c>
      <c r="F130" s="78">
        <v>2.2764999999999995</v>
      </c>
      <c r="G130" s="72">
        <f t="shared" si="19"/>
        <v>97.889499999999984</v>
      </c>
      <c r="H130" s="28">
        <f t="shared" si="20"/>
        <v>78.311599999999984</v>
      </c>
      <c r="I130" s="20"/>
      <c r="J130" s="80" t="s">
        <v>288</v>
      </c>
      <c r="K130" s="70">
        <v>8</v>
      </c>
      <c r="L130" s="64" t="s">
        <v>86</v>
      </c>
      <c r="M130" s="65">
        <v>120</v>
      </c>
      <c r="N130" s="77">
        <v>100</v>
      </c>
      <c r="O130" s="77"/>
      <c r="P130" s="26">
        <v>21.587499999999999</v>
      </c>
      <c r="Q130" s="72">
        <f t="shared" si="17"/>
        <v>928.26249999999993</v>
      </c>
      <c r="R130" s="28">
        <f t="shared" si="18"/>
        <v>742.6099999999999</v>
      </c>
    </row>
    <row r="131" spans="1:18" ht="10.5" customHeight="1" x14ac:dyDescent="0.3">
      <c r="A131" s="79" t="s">
        <v>289</v>
      </c>
      <c r="B131" s="22">
        <v>4.5</v>
      </c>
      <c r="C131" s="23" t="s">
        <v>86</v>
      </c>
      <c r="D131" s="24">
        <v>40</v>
      </c>
      <c r="E131" s="25" t="s">
        <v>101</v>
      </c>
      <c r="F131" s="26">
        <v>2.3549999999999995</v>
      </c>
      <c r="G131" s="72">
        <f t="shared" si="19"/>
        <v>101.26499999999999</v>
      </c>
      <c r="H131" s="28">
        <f t="shared" si="20"/>
        <v>81.011999999999986</v>
      </c>
      <c r="I131" s="20"/>
      <c r="J131" s="80" t="s">
        <v>290</v>
      </c>
      <c r="K131" s="70">
        <v>8</v>
      </c>
      <c r="L131" s="64" t="s">
        <v>86</v>
      </c>
      <c r="M131" s="65">
        <v>140</v>
      </c>
      <c r="N131" s="77">
        <v>100</v>
      </c>
      <c r="O131" s="77"/>
      <c r="P131" s="26">
        <v>32.812999999999988</v>
      </c>
      <c r="Q131" s="72">
        <f t="shared" si="17"/>
        <v>1410.9589999999994</v>
      </c>
      <c r="R131" s="28">
        <f t="shared" si="18"/>
        <v>1128.7671999999995</v>
      </c>
    </row>
    <row r="132" spans="1:18" ht="10.5" customHeight="1" x14ac:dyDescent="0.3">
      <c r="A132" s="79" t="s">
        <v>291</v>
      </c>
      <c r="B132" s="22">
        <v>4.5</v>
      </c>
      <c r="C132" s="23" t="s">
        <v>86</v>
      </c>
      <c r="D132" s="24">
        <v>45</v>
      </c>
      <c r="E132" s="25" t="s">
        <v>101</v>
      </c>
      <c r="F132" s="78">
        <v>2.2332578334375</v>
      </c>
      <c r="G132" s="72">
        <f t="shared" si="19"/>
        <v>96.030086837812505</v>
      </c>
      <c r="H132" s="28">
        <f t="shared" si="20"/>
        <v>76.824069470250009</v>
      </c>
      <c r="I132" s="20"/>
      <c r="J132" s="80" t="s">
        <v>292</v>
      </c>
      <c r="K132" s="70">
        <v>8</v>
      </c>
      <c r="L132" s="64" t="s">
        <v>86</v>
      </c>
      <c r="M132" s="65">
        <v>160</v>
      </c>
      <c r="N132" s="77" t="s">
        <v>157</v>
      </c>
      <c r="O132" s="77"/>
      <c r="P132" s="26">
        <v>38.826099999999997</v>
      </c>
      <c r="Q132" s="72">
        <f t="shared" si="17"/>
        <v>1669.5222999999999</v>
      </c>
      <c r="R132" s="28">
        <f t="shared" si="18"/>
        <v>1335.6178399999999</v>
      </c>
    </row>
    <row r="133" spans="1:18" ht="10.5" customHeight="1" x14ac:dyDescent="0.3">
      <c r="A133" s="79" t="s">
        <v>293</v>
      </c>
      <c r="B133" s="22">
        <v>4.5</v>
      </c>
      <c r="C133" s="23" t="s">
        <v>86</v>
      </c>
      <c r="D133" s="24">
        <v>50</v>
      </c>
      <c r="E133" s="25" t="s">
        <v>88</v>
      </c>
      <c r="F133" s="78">
        <v>3.4068999999999994</v>
      </c>
      <c r="G133" s="72">
        <f t="shared" si="19"/>
        <v>146.49669999999998</v>
      </c>
      <c r="H133" s="28">
        <f t="shared" si="20"/>
        <v>117.19735999999997</v>
      </c>
      <c r="I133" s="20"/>
      <c r="J133" s="80" t="s">
        <v>294</v>
      </c>
      <c r="K133" s="70">
        <v>8</v>
      </c>
      <c r="L133" s="64" t="s">
        <v>86</v>
      </c>
      <c r="M133" s="65">
        <v>180</v>
      </c>
      <c r="N133" s="77" t="s">
        <v>157</v>
      </c>
      <c r="O133" s="77"/>
      <c r="P133" s="26">
        <v>38.826099999999997</v>
      </c>
      <c r="Q133" s="72">
        <f t="shared" si="17"/>
        <v>1669.5222999999999</v>
      </c>
      <c r="R133" s="28">
        <f t="shared" si="18"/>
        <v>1335.6178399999999</v>
      </c>
    </row>
    <row r="134" spans="1:18" ht="10.5" customHeight="1" x14ac:dyDescent="0.3">
      <c r="A134" s="62" t="s">
        <v>295</v>
      </c>
      <c r="B134" s="70">
        <v>4.5</v>
      </c>
      <c r="C134" s="64" t="s">
        <v>86</v>
      </c>
      <c r="D134" s="65">
        <v>60</v>
      </c>
      <c r="E134" s="25" t="s">
        <v>101</v>
      </c>
      <c r="F134" s="78">
        <v>3.4539999999999997</v>
      </c>
      <c r="G134" s="72">
        <f t="shared" si="19"/>
        <v>148.52199999999999</v>
      </c>
      <c r="H134" s="28">
        <f t="shared" si="20"/>
        <v>118.8176</v>
      </c>
      <c r="I134" s="20"/>
      <c r="J134" s="80" t="s">
        <v>296</v>
      </c>
      <c r="K134" s="70">
        <v>8</v>
      </c>
      <c r="L134" s="64" t="s">
        <v>86</v>
      </c>
      <c r="M134" s="65">
        <v>200</v>
      </c>
      <c r="N134" s="77" t="s">
        <v>157</v>
      </c>
      <c r="O134" s="77"/>
      <c r="P134" s="26">
        <v>50.726700000000001</v>
      </c>
      <c r="Q134" s="72">
        <f t="shared" si="17"/>
        <v>2181.2481000000002</v>
      </c>
      <c r="R134" s="28">
        <f t="shared" si="18"/>
        <v>1744.9984800000002</v>
      </c>
    </row>
    <row r="135" spans="1:18" ht="10.5" customHeight="1" x14ac:dyDescent="0.3">
      <c r="A135" s="62" t="s">
        <v>297</v>
      </c>
      <c r="B135" s="70">
        <v>4.5</v>
      </c>
      <c r="C135" s="64" t="s">
        <v>86</v>
      </c>
      <c r="D135" s="65">
        <v>70</v>
      </c>
      <c r="E135" s="25" t="s">
        <v>101</v>
      </c>
      <c r="F135" s="78">
        <v>3.7679999999999993</v>
      </c>
      <c r="G135" s="72">
        <f t="shared" si="19"/>
        <v>162.02399999999997</v>
      </c>
      <c r="H135" s="28">
        <f t="shared" si="20"/>
        <v>129.61919999999998</v>
      </c>
      <c r="I135" s="20"/>
      <c r="J135" s="80" t="s">
        <v>298</v>
      </c>
      <c r="K135" s="70">
        <v>8</v>
      </c>
      <c r="L135" s="64" t="s">
        <v>86</v>
      </c>
      <c r="M135" s="65">
        <v>220</v>
      </c>
      <c r="N135" s="77" t="s">
        <v>157</v>
      </c>
      <c r="O135" s="77"/>
      <c r="P135" s="26">
        <v>57.556200000000011</v>
      </c>
      <c r="Q135" s="72">
        <f t="shared" si="17"/>
        <v>2474.9166000000005</v>
      </c>
      <c r="R135" s="28">
        <f t="shared" si="18"/>
        <v>1979.9332800000004</v>
      </c>
    </row>
    <row r="136" spans="1:18" ht="10.5" customHeight="1" x14ac:dyDescent="0.3">
      <c r="A136" s="62" t="s">
        <v>299</v>
      </c>
      <c r="B136" s="70">
        <v>4.5</v>
      </c>
      <c r="C136" s="64" t="s">
        <v>86</v>
      </c>
      <c r="D136" s="65">
        <v>80</v>
      </c>
      <c r="E136" s="25" t="s">
        <v>101</v>
      </c>
      <c r="F136" s="78">
        <v>4.6785999999999994</v>
      </c>
      <c r="G136" s="72">
        <f t="shared" si="19"/>
        <v>201.17979999999997</v>
      </c>
      <c r="H136" s="28">
        <f t="shared" si="20"/>
        <v>160.94383999999997</v>
      </c>
      <c r="I136" s="20"/>
      <c r="J136" s="80" t="s">
        <v>300</v>
      </c>
      <c r="K136" s="70">
        <v>8</v>
      </c>
      <c r="L136" s="64" t="s">
        <v>86</v>
      </c>
      <c r="M136" s="65">
        <v>240</v>
      </c>
      <c r="N136" s="77" t="s">
        <v>157</v>
      </c>
      <c r="O136" s="77"/>
      <c r="P136" s="26">
        <v>64.558399999999992</v>
      </c>
      <c r="Q136" s="72">
        <f t="shared" si="17"/>
        <v>2776.0111999999995</v>
      </c>
      <c r="R136" s="28">
        <f t="shared" si="18"/>
        <v>2220.8089599999994</v>
      </c>
    </row>
    <row r="137" spans="1:18" ht="10.5" customHeight="1" x14ac:dyDescent="0.3">
      <c r="A137" s="62" t="s">
        <v>301</v>
      </c>
      <c r="B137" s="70">
        <v>5</v>
      </c>
      <c r="C137" s="64" t="s">
        <v>86</v>
      </c>
      <c r="D137" s="65">
        <v>30</v>
      </c>
      <c r="E137" s="25" t="s">
        <v>101</v>
      </c>
      <c r="F137" s="78">
        <v>2.7474999999999996</v>
      </c>
      <c r="G137" s="72">
        <f t="shared" si="19"/>
        <v>118.14249999999998</v>
      </c>
      <c r="H137" s="28">
        <f t="shared" si="20"/>
        <v>94.513999999999982</v>
      </c>
      <c r="I137" s="20"/>
      <c r="J137" s="80" t="s">
        <v>302</v>
      </c>
      <c r="K137" s="70">
        <v>8</v>
      </c>
      <c r="L137" s="64" t="s">
        <v>86</v>
      </c>
      <c r="M137" s="65">
        <v>260</v>
      </c>
      <c r="N137" s="77" t="s">
        <v>157</v>
      </c>
      <c r="O137" s="77"/>
      <c r="P137" s="26">
        <v>73.632999999999996</v>
      </c>
      <c r="Q137" s="72">
        <f t="shared" si="17"/>
        <v>3166.2189999999996</v>
      </c>
      <c r="R137" s="28">
        <f t="shared" si="18"/>
        <v>2532.9751999999999</v>
      </c>
    </row>
    <row r="138" spans="1:18" ht="10.5" customHeight="1" x14ac:dyDescent="0.3">
      <c r="A138" s="62" t="s">
        <v>303</v>
      </c>
      <c r="B138" s="70">
        <v>5</v>
      </c>
      <c r="C138" s="64" t="s">
        <v>86</v>
      </c>
      <c r="D138" s="65">
        <v>35</v>
      </c>
      <c r="E138" s="25" t="s">
        <v>101</v>
      </c>
      <c r="F138" s="78">
        <v>3.1509149343750003</v>
      </c>
      <c r="G138" s="72">
        <f t="shared" si="19"/>
        <v>135.48934217812501</v>
      </c>
      <c r="H138" s="28">
        <f t="shared" si="20"/>
        <v>108.39147374250001</v>
      </c>
      <c r="I138" s="20"/>
      <c r="J138" s="80" t="s">
        <v>304</v>
      </c>
      <c r="K138" s="70">
        <v>8</v>
      </c>
      <c r="L138" s="64" t="s">
        <v>86</v>
      </c>
      <c r="M138" s="65">
        <v>280</v>
      </c>
      <c r="N138" s="77" t="s">
        <v>157</v>
      </c>
      <c r="O138" s="77"/>
      <c r="P138" s="26">
        <v>82.267999999999986</v>
      </c>
      <c r="Q138" s="72">
        <f t="shared" si="17"/>
        <v>3537.5239999999994</v>
      </c>
      <c r="R138" s="28">
        <f t="shared" si="18"/>
        <v>2830.0191999999997</v>
      </c>
    </row>
    <row r="139" spans="1:18" ht="10.5" customHeight="1" x14ac:dyDescent="0.3">
      <c r="A139" s="62" t="s">
        <v>305</v>
      </c>
      <c r="B139" s="70">
        <v>5</v>
      </c>
      <c r="C139" s="64" t="s">
        <v>86</v>
      </c>
      <c r="D139" s="65">
        <v>40</v>
      </c>
      <c r="E139" s="25" t="s">
        <v>101</v>
      </c>
      <c r="F139" s="78">
        <v>3.3912</v>
      </c>
      <c r="G139" s="72">
        <f t="shared" si="19"/>
        <v>145.82159999999999</v>
      </c>
      <c r="H139" s="28">
        <f t="shared" si="20"/>
        <v>116.65727999999999</v>
      </c>
      <c r="I139" s="20"/>
      <c r="J139" s="80" t="s">
        <v>306</v>
      </c>
      <c r="K139" s="70">
        <v>8</v>
      </c>
      <c r="L139" s="64" t="s">
        <v>86</v>
      </c>
      <c r="M139" s="65">
        <v>300</v>
      </c>
      <c r="N139" s="77" t="s">
        <v>157</v>
      </c>
      <c r="O139" s="77"/>
      <c r="P139" s="26">
        <v>90.431999999999988</v>
      </c>
      <c r="Q139" s="72">
        <f t="shared" si="17"/>
        <v>3888.5759999999996</v>
      </c>
      <c r="R139" s="28">
        <f t="shared" si="18"/>
        <v>3110.8607999999995</v>
      </c>
    </row>
    <row r="140" spans="1:18" ht="10.5" customHeight="1" x14ac:dyDescent="0.3">
      <c r="A140" s="62" t="s">
        <v>307</v>
      </c>
      <c r="B140" s="70">
        <v>5</v>
      </c>
      <c r="C140" s="64" t="s">
        <v>86</v>
      </c>
      <c r="D140" s="65">
        <v>50</v>
      </c>
      <c r="E140" s="25" t="s">
        <v>101</v>
      </c>
      <c r="F140" s="78">
        <v>3.6109999999999993</v>
      </c>
      <c r="G140" s="72">
        <f t="shared" si="19"/>
        <v>155.27299999999997</v>
      </c>
      <c r="H140" s="28">
        <f t="shared" si="20"/>
        <v>124.21839999999997</v>
      </c>
      <c r="I140" s="20"/>
      <c r="J140" s="80" t="s">
        <v>308</v>
      </c>
      <c r="K140" s="70">
        <v>8</v>
      </c>
      <c r="L140" s="64" t="s">
        <v>86</v>
      </c>
      <c r="M140" s="65">
        <v>320</v>
      </c>
      <c r="N140" s="77" t="s">
        <v>157</v>
      </c>
      <c r="O140" s="77"/>
      <c r="P140" s="26">
        <v>111.1726321875</v>
      </c>
      <c r="Q140" s="72">
        <f t="shared" si="17"/>
        <v>4780.4231840624998</v>
      </c>
      <c r="R140" s="28">
        <f t="shared" si="18"/>
        <v>3824.3385472499999</v>
      </c>
    </row>
    <row r="141" spans="1:18" ht="10.5" customHeight="1" x14ac:dyDescent="0.3">
      <c r="A141" s="62" t="s">
        <v>309</v>
      </c>
      <c r="B141" s="70">
        <v>5</v>
      </c>
      <c r="C141" s="64" t="s">
        <v>86</v>
      </c>
      <c r="D141" s="65">
        <v>55</v>
      </c>
      <c r="E141" s="25" t="s">
        <v>101</v>
      </c>
      <c r="F141" s="78">
        <v>4.867</v>
      </c>
      <c r="G141" s="72">
        <f t="shared" si="19"/>
        <v>209.28100000000001</v>
      </c>
      <c r="H141" s="28">
        <f t="shared" si="20"/>
        <v>167.4248</v>
      </c>
      <c r="I141" s="20"/>
      <c r="J141" s="80" t="s">
        <v>310</v>
      </c>
      <c r="K141" s="70">
        <v>8</v>
      </c>
      <c r="L141" s="64" t="s">
        <v>86</v>
      </c>
      <c r="M141" s="65">
        <v>340</v>
      </c>
      <c r="N141" s="77" t="s">
        <v>157</v>
      </c>
      <c r="O141" s="77"/>
      <c r="P141" s="26">
        <v>132.39843117187502</v>
      </c>
      <c r="Q141" s="72">
        <f t="shared" si="17"/>
        <v>5693.1325403906258</v>
      </c>
      <c r="R141" s="28">
        <f t="shared" si="18"/>
        <v>4554.5060323125008</v>
      </c>
    </row>
    <row r="142" spans="1:18" ht="10.5" customHeight="1" x14ac:dyDescent="0.3">
      <c r="A142" s="62" t="s">
        <v>311</v>
      </c>
      <c r="B142" s="70">
        <v>5</v>
      </c>
      <c r="C142" s="64" t="s">
        <v>86</v>
      </c>
      <c r="D142" s="65">
        <v>60</v>
      </c>
      <c r="E142" s="25" t="s">
        <v>101</v>
      </c>
      <c r="F142" s="78">
        <v>4.8826999999999998</v>
      </c>
      <c r="G142" s="72">
        <f t="shared" si="19"/>
        <v>209.95609999999999</v>
      </c>
      <c r="H142" s="28">
        <f t="shared" si="20"/>
        <v>167.96487999999999</v>
      </c>
      <c r="I142" s="20"/>
      <c r="J142" s="80" t="s">
        <v>312</v>
      </c>
      <c r="K142" s="70">
        <v>8</v>
      </c>
      <c r="L142" s="64" t="s">
        <v>86</v>
      </c>
      <c r="M142" s="65">
        <v>360</v>
      </c>
      <c r="N142" s="77" t="s">
        <v>157</v>
      </c>
      <c r="O142" s="77"/>
      <c r="P142" s="26">
        <v>102.87934595833332</v>
      </c>
      <c r="Q142" s="72">
        <f t="shared" si="17"/>
        <v>4423.8118762083323</v>
      </c>
      <c r="R142" s="28">
        <f t="shared" si="18"/>
        <v>3539.0495009666656</v>
      </c>
    </row>
    <row r="143" spans="1:18" ht="10.5" customHeight="1" x14ac:dyDescent="0.3">
      <c r="A143" s="62" t="s">
        <v>313</v>
      </c>
      <c r="B143" s="70">
        <v>5</v>
      </c>
      <c r="C143" s="64" t="s">
        <v>86</v>
      </c>
      <c r="D143" s="65">
        <v>70</v>
      </c>
      <c r="E143" s="25" t="s">
        <v>101</v>
      </c>
      <c r="F143" s="78">
        <v>4.7099999999999991</v>
      </c>
      <c r="G143" s="72">
        <f t="shared" si="19"/>
        <v>202.52999999999997</v>
      </c>
      <c r="H143" s="28">
        <f t="shared" si="20"/>
        <v>162.02399999999997</v>
      </c>
      <c r="I143" s="20"/>
      <c r="J143" s="80" t="s">
        <v>314</v>
      </c>
      <c r="K143" s="70">
        <v>8</v>
      </c>
      <c r="L143" s="64" t="s">
        <v>86</v>
      </c>
      <c r="M143" s="65">
        <v>380</v>
      </c>
      <c r="N143" s="77" t="s">
        <v>157</v>
      </c>
      <c r="O143" s="77"/>
      <c r="P143" s="26">
        <v>139.98160476562501</v>
      </c>
      <c r="Q143" s="72">
        <f t="shared" si="17"/>
        <v>6019.209004921875</v>
      </c>
      <c r="R143" s="28">
        <f t="shared" si="18"/>
        <v>4815.3672039374997</v>
      </c>
    </row>
    <row r="144" spans="1:18" ht="10.5" customHeight="1" x14ac:dyDescent="0.3">
      <c r="A144" s="62" t="s">
        <v>315</v>
      </c>
      <c r="B144" s="70">
        <v>5</v>
      </c>
      <c r="C144" s="64" t="s">
        <v>86</v>
      </c>
      <c r="D144" s="65">
        <v>80</v>
      </c>
      <c r="E144" s="25" t="s">
        <v>101</v>
      </c>
      <c r="F144" s="26">
        <v>5.1809999999999992</v>
      </c>
      <c r="G144" s="28">
        <f t="shared" si="19"/>
        <v>222.78299999999996</v>
      </c>
      <c r="H144" s="28">
        <f t="shared" si="20"/>
        <v>178.22639999999996</v>
      </c>
      <c r="I144" s="20"/>
      <c r="J144" s="80" t="s">
        <v>316</v>
      </c>
      <c r="K144" s="70">
        <v>8</v>
      </c>
      <c r="L144" s="64" t="s">
        <v>86</v>
      </c>
      <c r="M144" s="65">
        <v>400</v>
      </c>
      <c r="N144" s="77" t="s">
        <v>157</v>
      </c>
      <c r="O144" s="77"/>
      <c r="P144" s="26">
        <v>122.68852222222222</v>
      </c>
      <c r="Q144" s="72">
        <f t="shared" si="17"/>
        <v>5275.6064555555549</v>
      </c>
      <c r="R144" s="28">
        <f t="shared" si="18"/>
        <v>4220.4851644444443</v>
      </c>
    </row>
    <row r="145" spans="1:18" ht="10.5" customHeight="1" x14ac:dyDescent="0.3">
      <c r="A145" s="80" t="s">
        <v>317</v>
      </c>
      <c r="B145" s="70">
        <v>5</v>
      </c>
      <c r="C145" s="64" t="s">
        <v>86</v>
      </c>
      <c r="D145" s="65">
        <v>90</v>
      </c>
      <c r="E145" s="25" t="s">
        <v>101</v>
      </c>
      <c r="F145" s="78">
        <v>5.9659999999999993</v>
      </c>
      <c r="G145" s="72">
        <f t="shared" si="19"/>
        <v>256.53799999999995</v>
      </c>
      <c r="H145" s="28">
        <f t="shared" si="20"/>
        <v>205.23039999999997</v>
      </c>
      <c r="I145" s="20"/>
      <c r="J145" s="80"/>
      <c r="K145" s="70"/>
      <c r="L145" s="64"/>
      <c r="M145" s="65"/>
      <c r="N145" s="77"/>
      <c r="O145" s="77"/>
      <c r="P145" s="26"/>
      <c r="Q145" s="72"/>
      <c r="R145" s="28"/>
    </row>
    <row r="146" spans="1:18" ht="10.5" customHeight="1" x14ac:dyDescent="0.3">
      <c r="A146" s="20"/>
      <c r="B146" s="20"/>
      <c r="C146" s="20"/>
      <c r="D146" s="20"/>
      <c r="E146" s="20"/>
      <c r="F146" s="20"/>
      <c r="G146" s="20"/>
      <c r="H146" s="20"/>
      <c r="I146" s="20"/>
      <c r="J146" s="39"/>
      <c r="K146" s="40"/>
      <c r="L146" s="41"/>
      <c r="M146" s="42"/>
      <c r="N146" s="43"/>
      <c r="O146" s="43"/>
      <c r="P146" s="44"/>
      <c r="Q146" s="46"/>
      <c r="R146" s="46"/>
    </row>
    <row r="147" spans="1:18" ht="10.5" customHeight="1" x14ac:dyDescent="0.3">
      <c r="A147" s="47" t="s">
        <v>318</v>
      </c>
      <c r="B147" s="48" t="s">
        <v>242</v>
      </c>
      <c r="C147" s="49"/>
      <c r="D147" s="49"/>
      <c r="E147" s="49"/>
      <c r="F147" s="49"/>
      <c r="G147" s="49"/>
      <c r="H147" s="49"/>
      <c r="I147" s="49"/>
      <c r="J147" s="446" t="s">
        <v>78</v>
      </c>
      <c r="K147" s="446" t="s">
        <v>79</v>
      </c>
      <c r="L147" s="446"/>
      <c r="M147" s="446"/>
      <c r="N147" s="447" t="s">
        <v>80</v>
      </c>
      <c r="O147" s="14"/>
      <c r="P147" s="15"/>
      <c r="Q147" s="16" t="s">
        <v>81</v>
      </c>
      <c r="R147" s="17" t="s">
        <v>82</v>
      </c>
    </row>
    <row r="148" spans="1:18" ht="10.5" customHeight="1" x14ac:dyDescent="0.3">
      <c r="A148" s="18"/>
      <c r="B148" s="20"/>
      <c r="C148" s="20"/>
      <c r="D148" s="20"/>
      <c r="E148" s="20"/>
      <c r="F148" s="20"/>
      <c r="G148" s="20"/>
      <c r="H148" s="20"/>
      <c r="I148" s="20"/>
      <c r="J148" s="446"/>
      <c r="K148" s="446"/>
      <c r="L148" s="446"/>
      <c r="M148" s="446"/>
      <c r="N148" s="447"/>
      <c r="O148" s="14"/>
      <c r="P148" s="19" t="s">
        <v>83</v>
      </c>
      <c r="Q148" s="15" t="s">
        <v>84</v>
      </c>
      <c r="R148" s="15" t="s">
        <v>84</v>
      </c>
    </row>
    <row r="149" spans="1:18" ht="10.5" customHeight="1" x14ac:dyDescent="0.3">
      <c r="A149" s="18"/>
      <c r="B149" s="20"/>
      <c r="C149" s="20"/>
      <c r="D149" s="20"/>
      <c r="E149" s="20"/>
      <c r="F149" s="20"/>
      <c r="G149" s="20"/>
      <c r="H149" s="20"/>
      <c r="I149" s="20"/>
      <c r="J149" s="62" t="s">
        <v>319</v>
      </c>
      <c r="K149" s="70">
        <v>8</v>
      </c>
      <c r="L149" s="64" t="s">
        <v>86</v>
      </c>
      <c r="M149" s="65">
        <v>100</v>
      </c>
      <c r="N149" s="77" t="s">
        <v>157</v>
      </c>
      <c r="O149" s="77"/>
      <c r="P149" s="26">
        <v>25.12</v>
      </c>
      <c r="Q149" s="72">
        <f t="shared" ref="Q149:Q163" si="21">P149*$F$10</f>
        <v>1080.1600000000001</v>
      </c>
      <c r="R149" s="28">
        <f t="shared" ref="R149:R163" si="22">Q149-Q149*0.2</f>
        <v>864.12800000000004</v>
      </c>
    </row>
    <row r="150" spans="1:18" ht="10.5" customHeight="1" x14ac:dyDescent="0.3">
      <c r="A150" s="18"/>
      <c r="B150" s="20"/>
      <c r="C150" s="20"/>
      <c r="D150" s="20"/>
      <c r="E150" s="20"/>
      <c r="F150" s="20"/>
      <c r="G150" s="20"/>
      <c r="H150" s="20"/>
      <c r="I150" s="20"/>
      <c r="J150" s="62" t="s">
        <v>320</v>
      </c>
      <c r="K150" s="70">
        <v>8</v>
      </c>
      <c r="L150" s="64" t="s">
        <v>86</v>
      </c>
      <c r="M150" s="65">
        <v>120</v>
      </c>
      <c r="N150" s="77" t="s">
        <v>157</v>
      </c>
      <c r="O150" s="77"/>
      <c r="P150" s="26">
        <v>31.87</v>
      </c>
      <c r="Q150" s="72">
        <f t="shared" si="21"/>
        <v>1370.41</v>
      </c>
      <c r="R150" s="28">
        <f t="shared" si="22"/>
        <v>1096.328</v>
      </c>
    </row>
    <row r="151" spans="1:18" ht="10.5" customHeight="1" x14ac:dyDescent="0.3">
      <c r="A151" s="53" t="s">
        <v>321</v>
      </c>
      <c r="B151" s="20"/>
      <c r="C151" s="20"/>
      <c r="D151" s="20"/>
      <c r="E151" s="20"/>
      <c r="F151" s="20"/>
      <c r="G151" s="20"/>
      <c r="H151" s="20"/>
      <c r="I151" s="20"/>
      <c r="J151" s="62" t="s">
        <v>322</v>
      </c>
      <c r="K151" s="70">
        <v>8</v>
      </c>
      <c r="L151" s="64" t="s">
        <v>86</v>
      </c>
      <c r="M151" s="65">
        <v>140</v>
      </c>
      <c r="N151" s="77" t="s">
        <v>157</v>
      </c>
      <c r="O151" s="77"/>
      <c r="P151" s="26">
        <v>36.74</v>
      </c>
      <c r="Q151" s="72">
        <f t="shared" si="21"/>
        <v>1579.8200000000002</v>
      </c>
      <c r="R151" s="28">
        <f t="shared" si="22"/>
        <v>1263.8560000000002</v>
      </c>
    </row>
    <row r="152" spans="1:18" ht="10.5" customHeight="1" x14ac:dyDescent="0.3">
      <c r="A152" s="53" t="s">
        <v>247</v>
      </c>
      <c r="B152" s="20"/>
      <c r="C152" s="20"/>
      <c r="D152" s="20"/>
      <c r="E152" s="20"/>
      <c r="F152" s="20"/>
      <c r="G152" s="20"/>
      <c r="H152" s="20"/>
      <c r="I152" s="20"/>
      <c r="J152" s="62" t="s">
        <v>323</v>
      </c>
      <c r="K152" s="70">
        <v>8</v>
      </c>
      <c r="L152" s="64" t="s">
        <v>86</v>
      </c>
      <c r="M152" s="65">
        <v>160</v>
      </c>
      <c r="N152" s="77" t="s">
        <v>157</v>
      </c>
      <c r="O152" s="77"/>
      <c r="P152" s="26">
        <v>42.7</v>
      </c>
      <c r="Q152" s="72">
        <f t="shared" si="21"/>
        <v>1836.1000000000001</v>
      </c>
      <c r="R152" s="28">
        <f t="shared" si="22"/>
        <v>1468.88</v>
      </c>
    </row>
    <row r="153" spans="1:18" ht="10.5" customHeight="1" thickBot="1" x14ac:dyDescent="0.35">
      <c r="A153" s="446" t="s">
        <v>78</v>
      </c>
      <c r="B153" s="446" t="s">
        <v>79</v>
      </c>
      <c r="C153" s="446"/>
      <c r="D153" s="446"/>
      <c r="E153" s="447" t="s">
        <v>80</v>
      </c>
      <c r="F153" s="61"/>
      <c r="G153" s="16" t="s">
        <v>81</v>
      </c>
      <c r="H153" s="17" t="s">
        <v>82</v>
      </c>
      <c r="I153" s="20"/>
      <c r="J153" s="62" t="s">
        <v>324</v>
      </c>
      <c r="K153" s="70">
        <v>8</v>
      </c>
      <c r="L153" s="64" t="s">
        <v>86</v>
      </c>
      <c r="M153" s="65">
        <v>180</v>
      </c>
      <c r="N153" s="77" t="s">
        <v>157</v>
      </c>
      <c r="O153" s="77"/>
      <c r="P153" s="26">
        <v>49.14</v>
      </c>
      <c r="Q153" s="72">
        <f t="shared" si="21"/>
        <v>2113.02</v>
      </c>
      <c r="R153" s="28">
        <f t="shared" si="22"/>
        <v>1690.4159999999999</v>
      </c>
    </row>
    <row r="154" spans="1:18" ht="10.5" customHeight="1" thickTop="1" x14ac:dyDescent="0.3">
      <c r="A154" s="446"/>
      <c r="B154" s="446"/>
      <c r="C154" s="446"/>
      <c r="D154" s="446"/>
      <c r="E154" s="447"/>
      <c r="F154" s="68" t="s">
        <v>83</v>
      </c>
      <c r="G154" s="15" t="s">
        <v>84</v>
      </c>
      <c r="H154" s="15" t="s">
        <v>84</v>
      </c>
      <c r="I154" s="20"/>
      <c r="J154" s="62" t="s">
        <v>325</v>
      </c>
      <c r="K154" s="70">
        <v>8</v>
      </c>
      <c r="L154" s="64" t="s">
        <v>86</v>
      </c>
      <c r="M154" s="65">
        <v>200</v>
      </c>
      <c r="N154" s="77" t="s">
        <v>157</v>
      </c>
      <c r="O154" s="77"/>
      <c r="P154" s="26">
        <v>56.36</v>
      </c>
      <c r="Q154" s="72">
        <f t="shared" si="21"/>
        <v>2423.48</v>
      </c>
      <c r="R154" s="28">
        <f t="shared" si="22"/>
        <v>1938.7840000000001</v>
      </c>
    </row>
    <row r="155" spans="1:18" ht="10.5" customHeight="1" x14ac:dyDescent="0.3">
      <c r="A155" s="225" t="s">
        <v>326</v>
      </c>
      <c r="B155" s="74">
        <v>6</v>
      </c>
      <c r="C155" s="75" t="s">
        <v>86</v>
      </c>
      <c r="D155" s="76">
        <v>50</v>
      </c>
      <c r="E155" s="77" t="s">
        <v>88</v>
      </c>
      <c r="F155" s="78">
        <v>8.6999999999999993</v>
      </c>
      <c r="G155" s="72">
        <f t="shared" ref="G155:G166" si="23">F155*$F$10</f>
        <v>374.09999999999997</v>
      </c>
      <c r="H155" s="72">
        <f t="shared" ref="H155:H166" si="24">G155-G155*0.2</f>
        <v>299.27999999999997</v>
      </c>
      <c r="I155" s="20"/>
      <c r="J155" s="62" t="s">
        <v>327</v>
      </c>
      <c r="K155" s="70">
        <v>8</v>
      </c>
      <c r="L155" s="64" t="s">
        <v>86</v>
      </c>
      <c r="M155" s="65">
        <v>220</v>
      </c>
      <c r="N155" s="77" t="s">
        <v>157</v>
      </c>
      <c r="O155" s="77"/>
      <c r="P155" s="26">
        <v>63.27</v>
      </c>
      <c r="Q155" s="72">
        <f t="shared" si="21"/>
        <v>2720.61</v>
      </c>
      <c r="R155" s="28">
        <f t="shared" si="22"/>
        <v>2176.4880000000003</v>
      </c>
    </row>
    <row r="156" spans="1:18" ht="10.5" customHeight="1" x14ac:dyDescent="0.3">
      <c r="A156" s="73" t="s">
        <v>328</v>
      </c>
      <c r="B156" s="74">
        <v>6</v>
      </c>
      <c r="C156" s="75" t="s">
        <v>86</v>
      </c>
      <c r="D156" s="76">
        <v>60</v>
      </c>
      <c r="E156" s="77" t="s">
        <v>101</v>
      </c>
      <c r="F156" s="78">
        <v>9.8000000000000007</v>
      </c>
      <c r="G156" s="72">
        <f>F156*$F$10</f>
        <v>421.40000000000003</v>
      </c>
      <c r="H156" s="72">
        <f>G156-G156*0.2</f>
        <v>337.12</v>
      </c>
      <c r="I156" s="20"/>
      <c r="J156" s="80" t="s">
        <v>329</v>
      </c>
      <c r="K156" s="70">
        <v>8</v>
      </c>
      <c r="L156" s="64" t="s">
        <v>86</v>
      </c>
      <c r="M156" s="65">
        <v>240</v>
      </c>
      <c r="N156" s="77" t="s">
        <v>157</v>
      </c>
      <c r="O156" s="77"/>
      <c r="P156" s="26">
        <v>71.44</v>
      </c>
      <c r="Q156" s="72">
        <f>P156*$F$10</f>
        <v>3071.92</v>
      </c>
      <c r="R156" s="28">
        <f>Q156-Q156*0.2</f>
        <v>2457.5360000000001</v>
      </c>
    </row>
    <row r="157" spans="1:18" ht="10.5" customHeight="1" x14ac:dyDescent="0.3">
      <c r="A157" s="225" t="s">
        <v>330</v>
      </c>
      <c r="B157" s="74">
        <v>6</v>
      </c>
      <c r="C157" s="75" t="s">
        <v>86</v>
      </c>
      <c r="D157" s="76">
        <v>70</v>
      </c>
      <c r="E157" s="77">
        <v>100</v>
      </c>
      <c r="F157" s="78">
        <v>10.99</v>
      </c>
      <c r="G157" s="72">
        <f>F157*$F$10</f>
        <v>472.57</v>
      </c>
      <c r="H157" s="72">
        <f>G157-G157*0.2</f>
        <v>378.05599999999998</v>
      </c>
      <c r="I157" s="20"/>
      <c r="J157" s="80" t="s">
        <v>331</v>
      </c>
      <c r="K157" s="70">
        <v>8</v>
      </c>
      <c r="L157" s="64" t="s">
        <v>86</v>
      </c>
      <c r="M157" s="65">
        <v>260</v>
      </c>
      <c r="N157" s="77" t="s">
        <v>157</v>
      </c>
      <c r="O157" s="77"/>
      <c r="P157" s="26">
        <v>76.930000000000007</v>
      </c>
      <c r="Q157" s="72">
        <f>P157*$F$10</f>
        <v>3307.9900000000002</v>
      </c>
      <c r="R157" s="28">
        <f>Q157-Q157*0.2</f>
        <v>2646.3920000000003</v>
      </c>
    </row>
    <row r="158" spans="1:18" ht="10.5" customHeight="1" x14ac:dyDescent="0.3">
      <c r="A158" s="79" t="s">
        <v>332</v>
      </c>
      <c r="B158" s="22">
        <v>6</v>
      </c>
      <c r="C158" s="23" t="s">
        <v>86</v>
      </c>
      <c r="D158" s="24">
        <v>80</v>
      </c>
      <c r="E158" s="25">
        <v>100</v>
      </c>
      <c r="F158" s="78">
        <v>11.93</v>
      </c>
      <c r="G158" s="72">
        <f t="shared" si="23"/>
        <v>512.99</v>
      </c>
      <c r="H158" s="28">
        <f t="shared" si="24"/>
        <v>410.392</v>
      </c>
      <c r="I158" s="20"/>
      <c r="J158" s="62" t="s">
        <v>333</v>
      </c>
      <c r="K158" s="70">
        <v>10</v>
      </c>
      <c r="L158" s="64" t="s">
        <v>86</v>
      </c>
      <c r="M158" s="65">
        <v>80</v>
      </c>
      <c r="N158" s="77">
        <v>100</v>
      </c>
      <c r="O158" s="77"/>
      <c r="P158" s="26">
        <v>27.49</v>
      </c>
      <c r="Q158" s="72">
        <f t="shared" si="21"/>
        <v>1182.07</v>
      </c>
      <c r="R158" s="28">
        <f t="shared" si="22"/>
        <v>945.65599999999995</v>
      </c>
    </row>
    <row r="159" spans="1:18" ht="10.5" customHeight="1" x14ac:dyDescent="0.3">
      <c r="A159" s="79" t="s">
        <v>334</v>
      </c>
      <c r="B159" s="22">
        <v>6</v>
      </c>
      <c r="C159" s="23" t="s">
        <v>86</v>
      </c>
      <c r="D159" s="24">
        <v>100</v>
      </c>
      <c r="E159" s="25">
        <v>100</v>
      </c>
      <c r="F159" s="78">
        <v>14.37</v>
      </c>
      <c r="G159" s="72">
        <f t="shared" si="23"/>
        <v>617.91</v>
      </c>
      <c r="H159" s="28">
        <f t="shared" si="24"/>
        <v>494.32799999999997</v>
      </c>
      <c r="I159" s="20"/>
      <c r="J159" s="80" t="s">
        <v>335</v>
      </c>
      <c r="K159" s="70">
        <v>10</v>
      </c>
      <c r="L159" s="64" t="s">
        <v>86</v>
      </c>
      <c r="M159" s="65">
        <v>100</v>
      </c>
      <c r="N159" s="77">
        <v>100</v>
      </c>
      <c r="O159" s="77"/>
      <c r="P159" s="26">
        <v>37.020000000000003</v>
      </c>
      <c r="Q159" s="72">
        <f t="shared" si="21"/>
        <v>1591.8600000000001</v>
      </c>
      <c r="R159" s="28">
        <f t="shared" si="22"/>
        <v>1273.4880000000001</v>
      </c>
    </row>
    <row r="160" spans="1:18" ht="10.5" customHeight="1" x14ac:dyDescent="0.3">
      <c r="A160" s="79" t="s">
        <v>336</v>
      </c>
      <c r="B160" s="22">
        <v>6</v>
      </c>
      <c r="C160" s="23" t="s">
        <v>86</v>
      </c>
      <c r="D160" s="24">
        <v>120</v>
      </c>
      <c r="E160" s="25">
        <v>100</v>
      </c>
      <c r="F160" s="78">
        <v>16.690000000000001</v>
      </c>
      <c r="G160" s="72">
        <f t="shared" si="23"/>
        <v>717.67000000000007</v>
      </c>
      <c r="H160" s="28">
        <f t="shared" si="24"/>
        <v>574.13600000000008</v>
      </c>
      <c r="I160" s="20"/>
      <c r="J160" s="80" t="s">
        <v>337</v>
      </c>
      <c r="K160" s="70">
        <v>10</v>
      </c>
      <c r="L160" s="64" t="s">
        <v>86</v>
      </c>
      <c r="M160" s="65">
        <v>120</v>
      </c>
      <c r="N160" s="77" t="s">
        <v>157</v>
      </c>
      <c r="O160" s="77"/>
      <c r="P160" s="26">
        <v>50.87</v>
      </c>
      <c r="Q160" s="72">
        <f t="shared" si="21"/>
        <v>2187.41</v>
      </c>
      <c r="R160" s="28">
        <f t="shared" si="22"/>
        <v>1749.9279999999999</v>
      </c>
    </row>
    <row r="161" spans="1:18" ht="10.5" customHeight="1" x14ac:dyDescent="0.3">
      <c r="A161" s="79" t="s">
        <v>338</v>
      </c>
      <c r="B161" s="22">
        <v>6</v>
      </c>
      <c r="C161" s="23" t="s">
        <v>86</v>
      </c>
      <c r="D161" s="24">
        <v>140</v>
      </c>
      <c r="E161" s="25">
        <v>100</v>
      </c>
      <c r="F161" s="78">
        <v>19.75</v>
      </c>
      <c r="G161" s="72">
        <f t="shared" si="23"/>
        <v>849.25</v>
      </c>
      <c r="H161" s="28">
        <f t="shared" si="24"/>
        <v>679.4</v>
      </c>
      <c r="I161" s="20"/>
      <c r="J161" s="80" t="s">
        <v>339</v>
      </c>
      <c r="K161" s="70">
        <v>10</v>
      </c>
      <c r="L161" s="64" t="s">
        <v>86</v>
      </c>
      <c r="M161" s="65">
        <v>140</v>
      </c>
      <c r="N161" s="77" t="s">
        <v>157</v>
      </c>
      <c r="O161" s="77"/>
      <c r="P161" s="26">
        <v>57.62</v>
      </c>
      <c r="Q161" s="72">
        <f t="shared" si="21"/>
        <v>2477.66</v>
      </c>
      <c r="R161" s="28">
        <f t="shared" si="22"/>
        <v>1982.1279999999999</v>
      </c>
    </row>
    <row r="162" spans="1:18" ht="10.5" customHeight="1" x14ac:dyDescent="0.3">
      <c r="A162" s="79" t="s">
        <v>340</v>
      </c>
      <c r="B162" s="22">
        <v>6</v>
      </c>
      <c r="C162" s="23" t="s">
        <v>86</v>
      </c>
      <c r="D162" s="24">
        <v>160</v>
      </c>
      <c r="E162" s="25">
        <v>100</v>
      </c>
      <c r="F162" s="78">
        <v>23.06</v>
      </c>
      <c r="G162" s="72">
        <f t="shared" si="23"/>
        <v>991.57999999999993</v>
      </c>
      <c r="H162" s="28">
        <f t="shared" si="24"/>
        <v>793.2639999999999</v>
      </c>
      <c r="I162" s="20"/>
      <c r="J162" s="80" t="s">
        <v>341</v>
      </c>
      <c r="K162" s="70">
        <v>10</v>
      </c>
      <c r="L162" s="64" t="s">
        <v>86</v>
      </c>
      <c r="M162" s="65">
        <v>160</v>
      </c>
      <c r="N162" s="77" t="s">
        <v>157</v>
      </c>
      <c r="O162" s="77"/>
      <c r="P162" s="26">
        <v>65.78</v>
      </c>
      <c r="Q162" s="72">
        <f t="shared" si="21"/>
        <v>2828.54</v>
      </c>
      <c r="R162" s="28">
        <f t="shared" si="22"/>
        <v>2262.8319999999999</v>
      </c>
    </row>
    <row r="163" spans="1:18" ht="10.5" customHeight="1" x14ac:dyDescent="0.3">
      <c r="A163" s="79" t="s">
        <v>342</v>
      </c>
      <c r="B163" s="22">
        <v>6</v>
      </c>
      <c r="C163" s="23" t="s">
        <v>86</v>
      </c>
      <c r="D163" s="24">
        <v>180</v>
      </c>
      <c r="E163" s="25">
        <v>100</v>
      </c>
      <c r="F163" s="26">
        <v>26.45</v>
      </c>
      <c r="G163" s="72">
        <f t="shared" si="23"/>
        <v>1137.3499999999999</v>
      </c>
      <c r="H163" s="28">
        <f t="shared" si="24"/>
        <v>909.87999999999988</v>
      </c>
      <c r="I163" s="20"/>
      <c r="J163" s="80" t="s">
        <v>343</v>
      </c>
      <c r="K163" s="70">
        <v>10</v>
      </c>
      <c r="L163" s="64" t="s">
        <v>86</v>
      </c>
      <c r="M163" s="65">
        <v>180</v>
      </c>
      <c r="N163" s="77" t="s">
        <v>157</v>
      </c>
      <c r="O163" s="77"/>
      <c r="P163" s="26">
        <v>76.150000000000006</v>
      </c>
      <c r="Q163" s="72">
        <f t="shared" si="21"/>
        <v>3274.4500000000003</v>
      </c>
      <c r="R163" s="28">
        <f t="shared" si="22"/>
        <v>2619.5600000000004</v>
      </c>
    </row>
    <row r="164" spans="1:18" ht="10.5" customHeight="1" x14ac:dyDescent="0.3">
      <c r="A164" s="121" t="s">
        <v>344</v>
      </c>
      <c r="B164" s="22">
        <v>6</v>
      </c>
      <c r="C164" s="23" t="s">
        <v>86</v>
      </c>
      <c r="D164" s="24">
        <v>200</v>
      </c>
      <c r="E164" s="25">
        <v>100</v>
      </c>
      <c r="F164" s="26">
        <v>31.59</v>
      </c>
      <c r="G164" s="72">
        <f>F164*$F$10</f>
        <v>1358.37</v>
      </c>
      <c r="H164" s="28">
        <f>G164-G164*0.2</f>
        <v>1086.6959999999999</v>
      </c>
      <c r="I164" s="20"/>
      <c r="J164" s="80" t="s">
        <v>345</v>
      </c>
      <c r="K164" s="70">
        <v>10</v>
      </c>
      <c r="L164" s="64" t="s">
        <v>86</v>
      </c>
      <c r="M164" s="65">
        <v>200</v>
      </c>
      <c r="N164" s="77" t="s">
        <v>157</v>
      </c>
      <c r="O164" s="77"/>
      <c r="P164" s="26">
        <v>85.25</v>
      </c>
      <c r="Q164" s="72">
        <f>P164*$F$10</f>
        <v>3665.75</v>
      </c>
      <c r="R164" s="28">
        <f>Q164-Q164*0.2</f>
        <v>2932.6</v>
      </c>
    </row>
    <row r="165" spans="1:18" ht="10.5" customHeight="1" x14ac:dyDescent="0.3">
      <c r="A165" s="79" t="s">
        <v>346</v>
      </c>
      <c r="B165" s="22">
        <v>8</v>
      </c>
      <c r="C165" s="23" t="s">
        <v>86</v>
      </c>
      <c r="D165" s="24">
        <v>80</v>
      </c>
      <c r="E165" s="25" t="s">
        <v>157</v>
      </c>
      <c r="F165" s="78">
        <v>17.43</v>
      </c>
      <c r="G165" s="72">
        <f t="shared" si="23"/>
        <v>749.49</v>
      </c>
      <c r="H165" s="28">
        <f t="shared" si="24"/>
        <v>599.59199999999998</v>
      </c>
      <c r="I165" s="20"/>
      <c r="J165" s="80" t="s">
        <v>347</v>
      </c>
      <c r="K165" s="70">
        <v>10</v>
      </c>
      <c r="L165" s="64" t="s">
        <v>86</v>
      </c>
      <c r="M165" s="65">
        <v>220</v>
      </c>
      <c r="N165" s="77" t="s">
        <v>157</v>
      </c>
      <c r="O165" s="77"/>
      <c r="P165" s="26">
        <v>95.77</v>
      </c>
      <c r="Q165" s="72">
        <f>P165*$F$10</f>
        <v>4118.1099999999997</v>
      </c>
      <c r="R165" s="28">
        <f>Q165-Q165*0.2</f>
        <v>3294.4879999999998</v>
      </c>
    </row>
    <row r="166" spans="1:18" ht="10.5" customHeight="1" x14ac:dyDescent="0.3">
      <c r="A166" s="62" t="s">
        <v>348</v>
      </c>
      <c r="B166" s="70">
        <v>8</v>
      </c>
      <c r="C166" s="64" t="s">
        <v>86</v>
      </c>
      <c r="D166" s="65">
        <v>90</v>
      </c>
      <c r="E166" s="25" t="s">
        <v>157</v>
      </c>
      <c r="F166" s="78">
        <v>26.04</v>
      </c>
      <c r="G166" s="72">
        <f t="shared" si="23"/>
        <v>1119.72</v>
      </c>
      <c r="H166" s="28">
        <f t="shared" si="24"/>
        <v>895.77600000000007</v>
      </c>
      <c r="I166" s="20"/>
      <c r="J166" s="80" t="s">
        <v>349</v>
      </c>
      <c r="K166" s="70">
        <v>10</v>
      </c>
      <c r="L166" s="64" t="s">
        <v>86</v>
      </c>
      <c r="M166" s="65">
        <v>240</v>
      </c>
      <c r="N166" s="77" t="s">
        <v>50</v>
      </c>
      <c r="O166" s="77"/>
      <c r="P166" s="26">
        <v>106.76</v>
      </c>
      <c r="Q166" s="72">
        <f>P166*$F$10</f>
        <v>4590.68</v>
      </c>
      <c r="R166" s="28">
        <f>Q166-Q166*0.2</f>
        <v>3672.5440000000003</v>
      </c>
    </row>
    <row r="167" spans="1:18" ht="10.5" customHeight="1" x14ac:dyDescent="0.3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</row>
    <row r="168" spans="1:18" ht="10.5" customHeight="1" x14ac:dyDescent="0.3">
      <c r="A168" s="47" t="s">
        <v>350</v>
      </c>
      <c r="B168" s="48" t="s">
        <v>351</v>
      </c>
      <c r="C168" s="49"/>
      <c r="D168" s="49"/>
      <c r="E168" s="49"/>
      <c r="F168" s="49"/>
      <c r="G168" s="49"/>
      <c r="H168" s="49"/>
      <c r="I168" s="49"/>
      <c r="J168" s="446" t="s">
        <v>78</v>
      </c>
      <c r="K168" s="446" t="s">
        <v>79</v>
      </c>
      <c r="L168" s="446"/>
      <c r="M168" s="446"/>
      <c r="N168" s="447" t="s">
        <v>80</v>
      </c>
      <c r="O168" s="434"/>
      <c r="P168" s="61"/>
      <c r="Q168" s="16" t="s">
        <v>81</v>
      </c>
      <c r="R168" s="17" t="s">
        <v>82</v>
      </c>
    </row>
    <row r="169" spans="1:18" ht="10.5" customHeight="1" thickTop="1" x14ac:dyDescent="0.3">
      <c r="A169" s="84"/>
      <c r="B169" s="20"/>
      <c r="C169" s="20"/>
      <c r="D169" s="20"/>
      <c r="E169" s="20"/>
      <c r="F169" s="20"/>
      <c r="G169" s="20"/>
      <c r="H169" s="20"/>
      <c r="I169" s="20"/>
      <c r="J169" s="446"/>
      <c r="K169" s="446"/>
      <c r="L169" s="446"/>
      <c r="M169" s="446"/>
      <c r="N169" s="447"/>
      <c r="O169" s="369"/>
      <c r="P169" s="68" t="s">
        <v>83</v>
      </c>
      <c r="Q169" s="15" t="s">
        <v>84</v>
      </c>
      <c r="R169" s="15" t="s">
        <v>84</v>
      </c>
    </row>
    <row r="170" spans="1:18" ht="10.5" customHeight="1" x14ac:dyDescent="0.3">
      <c r="A170" s="18"/>
      <c r="B170" s="20"/>
      <c r="C170" s="20"/>
      <c r="D170" s="20"/>
      <c r="E170" s="20"/>
      <c r="F170" s="20"/>
      <c r="G170" s="20"/>
      <c r="H170" s="20"/>
      <c r="I170" s="20"/>
      <c r="J170" s="21" t="s">
        <v>352</v>
      </c>
      <c r="K170" s="70">
        <v>8</v>
      </c>
      <c r="L170" s="64" t="s">
        <v>86</v>
      </c>
      <c r="M170" s="65">
        <v>160</v>
      </c>
      <c r="N170" s="66" t="s">
        <v>157</v>
      </c>
      <c r="O170" s="66"/>
      <c r="P170" s="67">
        <v>21.15</v>
      </c>
      <c r="Q170" s="28">
        <f t="shared" ref="Q170:Q181" si="25">P170*$F$10</f>
        <v>909.44999999999993</v>
      </c>
      <c r="R170" s="28">
        <f t="shared" ref="R170:R181" si="26">Q170-Q170*0.2</f>
        <v>727.56</v>
      </c>
    </row>
    <row r="171" spans="1:18" ht="10.5" customHeight="1" x14ac:dyDescent="0.3">
      <c r="A171" s="18"/>
      <c r="B171" s="20"/>
      <c r="C171" s="20"/>
      <c r="D171" s="20"/>
      <c r="E171" s="20"/>
      <c r="F171" s="20"/>
      <c r="G171" s="20"/>
      <c r="H171" s="20"/>
      <c r="I171" s="20"/>
      <c r="J171" s="21" t="s">
        <v>353</v>
      </c>
      <c r="K171" s="70">
        <v>8</v>
      </c>
      <c r="L171" s="64" t="s">
        <v>86</v>
      </c>
      <c r="M171" s="65">
        <v>200</v>
      </c>
      <c r="N171" s="66" t="s">
        <v>50</v>
      </c>
      <c r="O171" s="66"/>
      <c r="P171" s="67">
        <v>29.35</v>
      </c>
      <c r="Q171" s="28">
        <f t="shared" si="25"/>
        <v>1262.05</v>
      </c>
      <c r="R171" s="28">
        <f t="shared" si="26"/>
        <v>1009.64</v>
      </c>
    </row>
    <row r="172" spans="1:18" ht="10.5" customHeight="1" x14ac:dyDescent="0.3">
      <c r="A172" s="53" t="s">
        <v>354</v>
      </c>
      <c r="B172" s="20"/>
      <c r="C172" s="20"/>
      <c r="D172" s="20"/>
      <c r="E172" s="20"/>
      <c r="F172" s="20"/>
      <c r="G172" s="20"/>
      <c r="H172" s="20"/>
      <c r="I172" s="20"/>
      <c r="J172" s="21" t="s">
        <v>355</v>
      </c>
      <c r="K172" s="70">
        <v>8</v>
      </c>
      <c r="L172" s="64" t="s">
        <v>86</v>
      </c>
      <c r="M172" s="65">
        <v>250</v>
      </c>
      <c r="N172" s="66" t="s">
        <v>50</v>
      </c>
      <c r="O172" s="66"/>
      <c r="P172" s="67">
        <v>40.119999999999997</v>
      </c>
      <c r="Q172" s="28">
        <f t="shared" si="25"/>
        <v>1725.1599999999999</v>
      </c>
      <c r="R172" s="28">
        <f t="shared" si="26"/>
        <v>1380.1279999999999</v>
      </c>
    </row>
    <row r="173" spans="1:18" ht="10.5" customHeight="1" thickBot="1" x14ac:dyDescent="0.35">
      <c r="A173" s="446" t="s">
        <v>78</v>
      </c>
      <c r="B173" s="446" t="s">
        <v>79</v>
      </c>
      <c r="C173" s="446"/>
      <c r="D173" s="446"/>
      <c r="E173" s="447" t="s">
        <v>80</v>
      </c>
      <c r="F173" s="61"/>
      <c r="G173" s="16" t="s">
        <v>81</v>
      </c>
      <c r="H173" s="17" t="s">
        <v>82</v>
      </c>
      <c r="I173" s="20"/>
      <c r="J173" s="21" t="s">
        <v>356</v>
      </c>
      <c r="K173" s="70">
        <v>10</v>
      </c>
      <c r="L173" s="64" t="s">
        <v>86</v>
      </c>
      <c r="M173" s="65">
        <v>60</v>
      </c>
      <c r="N173" s="66">
        <v>100</v>
      </c>
      <c r="O173" s="66"/>
      <c r="P173" s="67">
        <v>8.1199999999999992</v>
      </c>
      <c r="Q173" s="28">
        <f t="shared" si="25"/>
        <v>349.15999999999997</v>
      </c>
      <c r="R173" s="28">
        <f t="shared" si="26"/>
        <v>279.32799999999997</v>
      </c>
    </row>
    <row r="174" spans="1:18" ht="10.5" customHeight="1" thickTop="1" x14ac:dyDescent="0.3">
      <c r="A174" s="446"/>
      <c r="B174" s="446"/>
      <c r="C174" s="446"/>
      <c r="D174" s="446"/>
      <c r="E174" s="447"/>
      <c r="F174" s="68" t="s">
        <v>83</v>
      </c>
      <c r="G174" s="15" t="s">
        <v>84</v>
      </c>
      <c r="H174" s="15" t="s">
        <v>84</v>
      </c>
      <c r="I174" s="20"/>
      <c r="J174" s="21" t="s">
        <v>357</v>
      </c>
      <c r="K174" s="70">
        <v>10</v>
      </c>
      <c r="L174" s="64" t="s">
        <v>86</v>
      </c>
      <c r="M174" s="65">
        <v>80</v>
      </c>
      <c r="N174" s="66" t="s">
        <v>157</v>
      </c>
      <c r="O174" s="66"/>
      <c r="P174" s="67">
        <v>15.47</v>
      </c>
      <c r="Q174" s="28">
        <f t="shared" si="25"/>
        <v>665.21</v>
      </c>
      <c r="R174" s="28">
        <f t="shared" si="26"/>
        <v>532.16800000000001</v>
      </c>
    </row>
    <row r="175" spans="1:18" ht="10.5" customHeight="1" x14ac:dyDescent="0.3">
      <c r="A175" s="54" t="s">
        <v>358</v>
      </c>
      <c r="B175" s="82">
        <v>6</v>
      </c>
      <c r="C175" s="56" t="s">
        <v>359</v>
      </c>
      <c r="D175" s="57">
        <v>60</v>
      </c>
      <c r="E175" s="58" t="s">
        <v>101</v>
      </c>
      <c r="F175" s="59">
        <v>4.8899999999999997</v>
      </c>
      <c r="G175" s="28">
        <f t="shared" ref="G175:G181" si="27">F175*$F$10</f>
        <v>210.26999999999998</v>
      </c>
      <c r="H175" s="28">
        <f t="shared" ref="H175:H181" si="28">G175-G175*0.2</f>
        <v>168.21599999999998</v>
      </c>
      <c r="I175" s="20"/>
      <c r="J175" s="21" t="s">
        <v>360</v>
      </c>
      <c r="K175" s="70">
        <v>10</v>
      </c>
      <c r="L175" s="64" t="s">
        <v>86</v>
      </c>
      <c r="M175" s="65">
        <v>100</v>
      </c>
      <c r="N175" s="66" t="s">
        <v>157</v>
      </c>
      <c r="O175" s="66"/>
      <c r="P175" s="67">
        <v>18.2</v>
      </c>
      <c r="Q175" s="28">
        <f t="shared" si="25"/>
        <v>782.6</v>
      </c>
      <c r="R175" s="28">
        <f t="shared" si="26"/>
        <v>626.08000000000004</v>
      </c>
    </row>
    <row r="176" spans="1:18" ht="10.5" customHeight="1" x14ac:dyDescent="0.3">
      <c r="A176" s="62" t="s">
        <v>361</v>
      </c>
      <c r="B176" s="82">
        <v>6</v>
      </c>
      <c r="C176" s="56" t="s">
        <v>359</v>
      </c>
      <c r="D176" s="57">
        <v>80</v>
      </c>
      <c r="E176" s="58" t="s">
        <v>126</v>
      </c>
      <c r="F176" s="59">
        <v>6.94</v>
      </c>
      <c r="G176" s="28">
        <f t="shared" si="27"/>
        <v>298.42</v>
      </c>
      <c r="H176" s="28">
        <f t="shared" si="28"/>
        <v>238.73600000000002</v>
      </c>
      <c r="I176" s="20"/>
      <c r="J176" s="21" t="s">
        <v>362</v>
      </c>
      <c r="K176" s="70">
        <v>10</v>
      </c>
      <c r="L176" s="64" t="s">
        <v>86</v>
      </c>
      <c r="M176" s="65">
        <v>120</v>
      </c>
      <c r="N176" s="66" t="s">
        <v>157</v>
      </c>
      <c r="O176" s="66"/>
      <c r="P176" s="67">
        <v>24.1</v>
      </c>
      <c r="Q176" s="28">
        <f t="shared" si="25"/>
        <v>1036.3</v>
      </c>
      <c r="R176" s="28">
        <f t="shared" si="26"/>
        <v>829.04</v>
      </c>
    </row>
    <row r="177" spans="1:18" ht="10.5" customHeight="1" x14ac:dyDescent="0.3">
      <c r="A177" s="30" t="s">
        <v>363</v>
      </c>
      <c r="B177" s="82">
        <v>8</v>
      </c>
      <c r="C177" s="56" t="s">
        <v>86</v>
      </c>
      <c r="D177" s="57">
        <v>60</v>
      </c>
      <c r="E177" s="58" t="s">
        <v>126</v>
      </c>
      <c r="F177" s="59">
        <v>7.58</v>
      </c>
      <c r="G177" s="28">
        <f t="shared" si="27"/>
        <v>325.94</v>
      </c>
      <c r="H177" s="28">
        <f t="shared" si="28"/>
        <v>260.75200000000001</v>
      </c>
      <c r="I177" s="20"/>
      <c r="J177" s="21" t="s">
        <v>364</v>
      </c>
      <c r="K177" s="70">
        <v>10</v>
      </c>
      <c r="L177" s="64" t="s">
        <v>86</v>
      </c>
      <c r="M177" s="65">
        <v>140</v>
      </c>
      <c r="N177" s="66" t="s">
        <v>157</v>
      </c>
      <c r="O177" s="66"/>
      <c r="P177" s="67">
        <v>26.63</v>
      </c>
      <c r="Q177" s="28">
        <f t="shared" si="25"/>
        <v>1145.0899999999999</v>
      </c>
      <c r="R177" s="28">
        <f t="shared" si="26"/>
        <v>916.07199999999989</v>
      </c>
    </row>
    <row r="178" spans="1:18" ht="10.5" customHeight="1" x14ac:dyDescent="0.3">
      <c r="A178" s="21" t="s">
        <v>365</v>
      </c>
      <c r="B178" s="70">
        <v>8</v>
      </c>
      <c r="C178" s="64" t="s">
        <v>86</v>
      </c>
      <c r="D178" s="65">
        <v>80</v>
      </c>
      <c r="E178" s="66">
        <v>100</v>
      </c>
      <c r="F178" s="67">
        <v>10.1</v>
      </c>
      <c r="G178" s="28">
        <f t="shared" si="27"/>
        <v>434.3</v>
      </c>
      <c r="H178" s="28">
        <f t="shared" si="28"/>
        <v>347.44</v>
      </c>
      <c r="I178" s="20"/>
      <c r="J178" s="21" t="s">
        <v>366</v>
      </c>
      <c r="K178" s="70">
        <v>10</v>
      </c>
      <c r="L178" s="64" t="s">
        <v>86</v>
      </c>
      <c r="M178" s="65">
        <v>180</v>
      </c>
      <c r="N178" s="66" t="s">
        <v>50</v>
      </c>
      <c r="O178" s="66"/>
      <c r="P178" s="67">
        <v>39.99</v>
      </c>
      <c r="Q178" s="28">
        <f t="shared" si="25"/>
        <v>1719.5700000000002</v>
      </c>
      <c r="R178" s="28">
        <f t="shared" si="26"/>
        <v>1375.6560000000002</v>
      </c>
    </row>
    <row r="179" spans="1:18" ht="10.5" customHeight="1" x14ac:dyDescent="0.3">
      <c r="A179" s="21" t="s">
        <v>367</v>
      </c>
      <c r="B179" s="70">
        <v>8</v>
      </c>
      <c r="C179" s="64" t="s">
        <v>86</v>
      </c>
      <c r="D179" s="65">
        <v>100</v>
      </c>
      <c r="E179" s="66">
        <v>100</v>
      </c>
      <c r="F179" s="67">
        <v>12.52</v>
      </c>
      <c r="G179" s="28">
        <f t="shared" si="27"/>
        <v>538.36</v>
      </c>
      <c r="H179" s="28">
        <f t="shared" si="28"/>
        <v>430.68799999999999</v>
      </c>
      <c r="I179" s="20"/>
      <c r="J179" s="21" t="s">
        <v>368</v>
      </c>
      <c r="K179" s="70">
        <v>10</v>
      </c>
      <c r="L179" s="64" t="s">
        <v>86</v>
      </c>
      <c r="M179" s="65">
        <v>200</v>
      </c>
      <c r="N179" s="66" t="s">
        <v>50</v>
      </c>
      <c r="O179" s="66"/>
      <c r="P179" s="67">
        <v>48.29</v>
      </c>
      <c r="Q179" s="28">
        <f t="shared" si="25"/>
        <v>2076.4699999999998</v>
      </c>
      <c r="R179" s="28">
        <f t="shared" si="26"/>
        <v>1661.1759999999999</v>
      </c>
    </row>
    <row r="180" spans="1:18" ht="10.5" customHeight="1" x14ac:dyDescent="0.3">
      <c r="A180" s="21" t="s">
        <v>369</v>
      </c>
      <c r="B180" s="70">
        <v>8</v>
      </c>
      <c r="C180" s="64" t="s">
        <v>86</v>
      </c>
      <c r="D180" s="65">
        <v>120</v>
      </c>
      <c r="E180" s="66">
        <v>100</v>
      </c>
      <c r="F180" s="67">
        <v>16</v>
      </c>
      <c r="G180" s="28">
        <f t="shared" si="27"/>
        <v>688</v>
      </c>
      <c r="H180" s="28">
        <f t="shared" si="28"/>
        <v>550.4</v>
      </c>
      <c r="I180" s="20"/>
      <c r="J180" s="21" t="s">
        <v>370</v>
      </c>
      <c r="K180" s="70">
        <v>10</v>
      </c>
      <c r="L180" s="64" t="s">
        <v>86</v>
      </c>
      <c r="M180" s="65">
        <v>250</v>
      </c>
      <c r="N180" s="66" t="s">
        <v>50</v>
      </c>
      <c r="O180" s="66"/>
      <c r="P180" s="67">
        <v>65.709999999999994</v>
      </c>
      <c r="Q180" s="28">
        <f t="shared" si="25"/>
        <v>2825.5299999999997</v>
      </c>
      <c r="R180" s="28">
        <f t="shared" si="26"/>
        <v>2260.424</v>
      </c>
    </row>
    <row r="181" spans="1:18" ht="10.5" customHeight="1" x14ac:dyDescent="0.3">
      <c r="A181" s="30" t="s">
        <v>371</v>
      </c>
      <c r="B181" s="82">
        <v>8</v>
      </c>
      <c r="C181" s="56" t="s">
        <v>86</v>
      </c>
      <c r="D181" s="57">
        <v>140</v>
      </c>
      <c r="E181" s="58" t="s">
        <v>157</v>
      </c>
      <c r="F181" s="59">
        <v>16.73</v>
      </c>
      <c r="G181" s="72">
        <f t="shared" si="27"/>
        <v>719.39</v>
      </c>
      <c r="H181" s="28">
        <f t="shared" si="28"/>
        <v>575.51199999999994</v>
      </c>
      <c r="I181" s="83"/>
      <c r="J181" s="21" t="s">
        <v>372</v>
      </c>
      <c r="K181" s="70">
        <v>12</v>
      </c>
      <c r="L181" s="64" t="s">
        <v>86</v>
      </c>
      <c r="M181" s="65">
        <v>100</v>
      </c>
      <c r="N181" s="66" t="s">
        <v>157</v>
      </c>
      <c r="O181" s="66"/>
      <c r="P181" s="67">
        <v>27.78</v>
      </c>
      <c r="Q181" s="28">
        <f t="shared" si="25"/>
        <v>1194.54</v>
      </c>
      <c r="R181" s="28">
        <f t="shared" si="26"/>
        <v>955.63199999999995</v>
      </c>
    </row>
    <row r="182" spans="1:18" ht="10.5" customHeight="1" x14ac:dyDescent="0.3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</row>
    <row r="183" spans="1:18" ht="10.5" customHeight="1" x14ac:dyDescent="0.3">
      <c r="A183" s="47" t="s">
        <v>373</v>
      </c>
      <c r="B183" s="48" t="s">
        <v>374</v>
      </c>
      <c r="C183" s="49"/>
      <c r="D183" s="49"/>
      <c r="E183" s="49"/>
      <c r="F183" s="49"/>
      <c r="G183" s="49"/>
      <c r="H183" s="49"/>
      <c r="I183" s="49"/>
      <c r="J183" s="446" t="s">
        <v>78</v>
      </c>
      <c r="K183" s="446" t="s">
        <v>79</v>
      </c>
      <c r="L183" s="446"/>
      <c r="M183" s="446"/>
      <c r="N183" s="447" t="s">
        <v>80</v>
      </c>
      <c r="O183" s="434"/>
      <c r="P183" s="61"/>
      <c r="Q183" s="16" t="s">
        <v>81</v>
      </c>
      <c r="R183" s="17" t="s">
        <v>82</v>
      </c>
    </row>
    <row r="184" spans="1:18" ht="10.5" customHeight="1" thickTop="1" x14ac:dyDescent="0.3">
      <c r="A184" s="18"/>
      <c r="B184" s="20"/>
      <c r="C184" s="20"/>
      <c r="D184" s="20"/>
      <c r="E184" s="20"/>
      <c r="F184" s="20"/>
      <c r="G184" s="20"/>
      <c r="H184" s="20"/>
      <c r="I184" s="20"/>
      <c r="J184" s="446"/>
      <c r="K184" s="446"/>
      <c r="L184" s="446"/>
      <c r="M184" s="446"/>
      <c r="N184" s="447"/>
      <c r="O184" s="369"/>
      <c r="P184" s="68" t="s">
        <v>83</v>
      </c>
      <c r="Q184" s="15" t="s">
        <v>375</v>
      </c>
      <c r="R184" s="15" t="s">
        <v>375</v>
      </c>
    </row>
    <row r="185" spans="1:18" ht="10.5" customHeight="1" x14ac:dyDescent="0.3">
      <c r="A185" s="18"/>
      <c r="B185" s="20"/>
      <c r="C185" s="20"/>
      <c r="D185" s="20"/>
      <c r="E185" s="20"/>
      <c r="F185" s="20"/>
      <c r="G185" s="20"/>
      <c r="H185" s="20"/>
      <c r="I185" s="20"/>
      <c r="J185" s="85" t="s">
        <v>376</v>
      </c>
      <c r="K185" s="22" t="s">
        <v>377</v>
      </c>
      <c r="L185" s="23" t="s">
        <v>86</v>
      </c>
      <c r="M185" s="86">
        <v>1000</v>
      </c>
      <c r="N185" s="87" t="s">
        <v>11</v>
      </c>
      <c r="O185" s="87"/>
      <c r="P185" s="26">
        <v>2.9969999999999999</v>
      </c>
      <c r="Q185" s="28">
        <f t="shared" ref="Q185:Q196" si="29">P185*$F$10</f>
        <v>128.87099999999998</v>
      </c>
      <c r="R185" s="28">
        <f t="shared" ref="R185:R196" si="30">Q185-Q185*0.2</f>
        <v>103.09679999999999</v>
      </c>
    </row>
    <row r="186" spans="1:18" ht="10.5" customHeight="1" x14ac:dyDescent="0.3">
      <c r="A186" s="18"/>
      <c r="B186" s="20"/>
      <c r="C186" s="20"/>
      <c r="D186" s="20"/>
      <c r="E186" s="20"/>
      <c r="F186" s="20"/>
      <c r="G186" s="20"/>
      <c r="H186" s="20"/>
      <c r="I186" s="20"/>
      <c r="J186" s="85" t="s">
        <v>378</v>
      </c>
      <c r="K186" s="22" t="s">
        <v>379</v>
      </c>
      <c r="L186" s="23" t="s">
        <v>86</v>
      </c>
      <c r="M186" s="86">
        <v>1000</v>
      </c>
      <c r="N186" s="87" t="s">
        <v>11</v>
      </c>
      <c r="O186" s="87"/>
      <c r="P186" s="26">
        <v>4.0629999999999997</v>
      </c>
      <c r="Q186" s="28">
        <f t="shared" si="29"/>
        <v>174.70899999999997</v>
      </c>
      <c r="R186" s="28">
        <f t="shared" si="30"/>
        <v>139.76719999999997</v>
      </c>
    </row>
    <row r="187" spans="1:18" ht="10.5" customHeight="1" x14ac:dyDescent="0.3">
      <c r="A187" s="53" t="s">
        <v>193</v>
      </c>
      <c r="B187" s="20"/>
      <c r="C187" s="20"/>
      <c r="D187" s="20"/>
      <c r="E187" s="20"/>
      <c r="F187" s="20"/>
      <c r="G187" s="20"/>
      <c r="H187" s="20"/>
      <c r="I187" s="20"/>
      <c r="J187" s="85" t="s">
        <v>380</v>
      </c>
      <c r="K187" s="51" t="s">
        <v>381</v>
      </c>
      <c r="L187" s="23" t="s">
        <v>86</v>
      </c>
      <c r="M187" s="86">
        <v>1000</v>
      </c>
      <c r="N187" s="87" t="s">
        <v>11</v>
      </c>
      <c r="O187" s="87"/>
      <c r="P187" s="26">
        <v>5.1180000000000003</v>
      </c>
      <c r="Q187" s="28">
        <f t="shared" si="29"/>
        <v>220.07400000000001</v>
      </c>
      <c r="R187" s="28">
        <f t="shared" si="30"/>
        <v>176.0592</v>
      </c>
    </row>
    <row r="188" spans="1:18" ht="10.5" customHeight="1" thickBot="1" x14ac:dyDescent="0.35">
      <c r="A188" s="446" t="s">
        <v>78</v>
      </c>
      <c r="B188" s="446" t="s">
        <v>79</v>
      </c>
      <c r="C188" s="446"/>
      <c r="D188" s="446"/>
      <c r="E188" s="447" t="s">
        <v>80</v>
      </c>
      <c r="F188" s="61"/>
      <c r="G188" s="16" t="s">
        <v>81</v>
      </c>
      <c r="H188" s="17" t="s">
        <v>82</v>
      </c>
      <c r="I188" s="20"/>
      <c r="J188" s="85" t="s">
        <v>382</v>
      </c>
      <c r="K188" s="51" t="s">
        <v>383</v>
      </c>
      <c r="L188" s="23" t="s">
        <v>86</v>
      </c>
      <c r="M188" s="86">
        <v>1000</v>
      </c>
      <c r="N188" s="87" t="s">
        <v>11</v>
      </c>
      <c r="O188" s="87"/>
      <c r="P188" s="26">
        <v>6.36</v>
      </c>
      <c r="Q188" s="28">
        <f t="shared" si="29"/>
        <v>273.48</v>
      </c>
      <c r="R188" s="28">
        <f t="shared" si="30"/>
        <v>218.78400000000002</v>
      </c>
    </row>
    <row r="189" spans="1:18" ht="10.5" customHeight="1" thickTop="1" x14ac:dyDescent="0.3">
      <c r="A189" s="446"/>
      <c r="B189" s="446"/>
      <c r="C189" s="446"/>
      <c r="D189" s="446"/>
      <c r="E189" s="447"/>
      <c r="F189" s="68" t="s">
        <v>83</v>
      </c>
      <c r="G189" s="15" t="s">
        <v>375</v>
      </c>
      <c r="H189" s="15" t="s">
        <v>375</v>
      </c>
      <c r="I189" s="20"/>
      <c r="J189" s="85" t="s">
        <v>384</v>
      </c>
      <c r="K189" s="51" t="s">
        <v>385</v>
      </c>
      <c r="L189" s="23" t="s">
        <v>86</v>
      </c>
      <c r="M189" s="86">
        <v>1000</v>
      </c>
      <c r="N189" s="87" t="s">
        <v>11</v>
      </c>
      <c r="O189" s="87"/>
      <c r="P189" s="26">
        <v>8.0050000000000008</v>
      </c>
      <c r="Q189" s="28">
        <f t="shared" si="29"/>
        <v>344.21500000000003</v>
      </c>
      <c r="R189" s="28">
        <f t="shared" si="30"/>
        <v>275.37200000000001</v>
      </c>
    </row>
    <row r="190" spans="1:18" ht="10.5" customHeight="1" x14ac:dyDescent="0.3">
      <c r="A190" s="88" t="s">
        <v>386</v>
      </c>
      <c r="B190" s="74" t="s">
        <v>387</v>
      </c>
      <c r="C190" s="75" t="s">
        <v>86</v>
      </c>
      <c r="D190" s="89">
        <v>1000</v>
      </c>
      <c r="E190" s="87" t="s">
        <v>11</v>
      </c>
      <c r="F190" s="26">
        <v>0.308</v>
      </c>
      <c r="G190" s="28">
        <f t="shared" ref="G190:G196" si="31">F190*$F$10</f>
        <v>13.244</v>
      </c>
      <c r="H190" s="28">
        <f t="shared" ref="H190:H196" si="32">G190-G190*0.2</f>
        <v>10.5952</v>
      </c>
      <c r="I190" s="20"/>
      <c r="J190" s="85" t="s">
        <v>388</v>
      </c>
      <c r="K190" s="90" t="s">
        <v>389</v>
      </c>
      <c r="L190" s="33" t="s">
        <v>86</v>
      </c>
      <c r="M190" s="91">
        <v>1000</v>
      </c>
      <c r="N190" s="87" t="s">
        <v>11</v>
      </c>
      <c r="O190" s="106"/>
      <c r="P190" s="36">
        <v>18.498999999999999</v>
      </c>
      <c r="Q190" s="28">
        <f t="shared" si="29"/>
        <v>795.45699999999999</v>
      </c>
      <c r="R190" s="38">
        <f t="shared" si="30"/>
        <v>636.36559999999997</v>
      </c>
    </row>
    <row r="191" spans="1:18" ht="10.5" customHeight="1" x14ac:dyDescent="0.3">
      <c r="A191" s="85" t="s">
        <v>390</v>
      </c>
      <c r="B191" s="22" t="s">
        <v>391</v>
      </c>
      <c r="C191" s="23" t="s">
        <v>86</v>
      </c>
      <c r="D191" s="86">
        <v>1000</v>
      </c>
      <c r="E191" s="87" t="s">
        <v>11</v>
      </c>
      <c r="F191" s="78">
        <v>0.377</v>
      </c>
      <c r="G191" s="28">
        <f t="shared" si="31"/>
        <v>16.210999999999999</v>
      </c>
      <c r="H191" s="72">
        <f t="shared" si="32"/>
        <v>12.968799999999998</v>
      </c>
      <c r="I191" s="20"/>
      <c r="J191" s="85" t="s">
        <v>392</v>
      </c>
      <c r="K191" s="51" t="s">
        <v>393</v>
      </c>
      <c r="L191" s="23" t="s">
        <v>86</v>
      </c>
      <c r="M191" s="86">
        <v>2000</v>
      </c>
      <c r="N191" s="87" t="s">
        <v>11</v>
      </c>
      <c r="O191" s="87"/>
      <c r="P191" s="26">
        <v>1.1459999999999999</v>
      </c>
      <c r="Q191" s="28">
        <f t="shared" si="29"/>
        <v>49.277999999999999</v>
      </c>
      <c r="R191" s="28">
        <f t="shared" si="30"/>
        <v>39.422399999999996</v>
      </c>
    </row>
    <row r="192" spans="1:18" ht="10.5" customHeight="1" x14ac:dyDescent="0.3">
      <c r="A192" s="85" t="s">
        <v>394</v>
      </c>
      <c r="B192" s="22" t="s">
        <v>395</v>
      </c>
      <c r="C192" s="23" t="s">
        <v>86</v>
      </c>
      <c r="D192" s="86">
        <v>1000</v>
      </c>
      <c r="E192" s="87" t="s">
        <v>11</v>
      </c>
      <c r="F192" s="26">
        <v>0.39200000000000002</v>
      </c>
      <c r="G192" s="28">
        <f t="shared" si="31"/>
        <v>16.856000000000002</v>
      </c>
      <c r="H192" s="28">
        <f t="shared" si="32"/>
        <v>13.484800000000002</v>
      </c>
      <c r="I192" s="20"/>
      <c r="J192" s="85" t="s">
        <v>396</v>
      </c>
      <c r="K192" s="51" t="s">
        <v>397</v>
      </c>
      <c r="L192" s="23" t="s">
        <v>86</v>
      </c>
      <c r="M192" s="86">
        <v>2000</v>
      </c>
      <c r="N192" s="87" t="s">
        <v>11</v>
      </c>
      <c r="O192" s="87"/>
      <c r="P192" s="26">
        <v>1.95</v>
      </c>
      <c r="Q192" s="28">
        <f t="shared" si="29"/>
        <v>83.85</v>
      </c>
      <c r="R192" s="28">
        <f t="shared" si="30"/>
        <v>67.08</v>
      </c>
    </row>
    <row r="193" spans="1:18" ht="10.5" customHeight="1" x14ac:dyDescent="0.3">
      <c r="A193" s="85" t="s">
        <v>398</v>
      </c>
      <c r="B193" s="22" t="s">
        <v>393</v>
      </c>
      <c r="C193" s="23" t="s">
        <v>86</v>
      </c>
      <c r="D193" s="86">
        <v>1000</v>
      </c>
      <c r="E193" s="87" t="s">
        <v>11</v>
      </c>
      <c r="F193" s="26">
        <v>0.52800000000000002</v>
      </c>
      <c r="G193" s="28">
        <f t="shared" si="31"/>
        <v>22.704000000000001</v>
      </c>
      <c r="H193" s="28">
        <f t="shared" si="32"/>
        <v>18.1632</v>
      </c>
      <c r="I193" s="20"/>
      <c r="J193" s="85" t="s">
        <v>399</v>
      </c>
      <c r="K193" s="51" t="s">
        <v>400</v>
      </c>
      <c r="L193" s="23" t="s">
        <v>86</v>
      </c>
      <c r="M193" s="86">
        <v>2000</v>
      </c>
      <c r="N193" s="87" t="s">
        <v>11</v>
      </c>
      <c r="O193" s="87"/>
      <c r="P193" s="26">
        <v>3.0379999999999998</v>
      </c>
      <c r="Q193" s="28">
        <f t="shared" si="29"/>
        <v>130.63399999999999</v>
      </c>
      <c r="R193" s="28">
        <f t="shared" si="30"/>
        <v>104.50719999999998</v>
      </c>
    </row>
    <row r="194" spans="1:18" ht="10.5" customHeight="1" x14ac:dyDescent="0.3">
      <c r="A194" s="85" t="s">
        <v>401</v>
      </c>
      <c r="B194" s="22" t="s">
        <v>397</v>
      </c>
      <c r="C194" s="23" t="s">
        <v>86</v>
      </c>
      <c r="D194" s="86">
        <v>1000</v>
      </c>
      <c r="E194" s="87" t="s">
        <v>11</v>
      </c>
      <c r="F194" s="26">
        <v>0.84699999999999998</v>
      </c>
      <c r="G194" s="28">
        <f t="shared" si="31"/>
        <v>36.420999999999999</v>
      </c>
      <c r="H194" s="28">
        <f t="shared" si="32"/>
        <v>29.136800000000001</v>
      </c>
      <c r="I194" s="20"/>
      <c r="J194" s="85" t="s">
        <v>402</v>
      </c>
      <c r="K194" s="51" t="s">
        <v>403</v>
      </c>
      <c r="L194" s="23" t="s">
        <v>86</v>
      </c>
      <c r="M194" s="86">
        <v>2000</v>
      </c>
      <c r="N194" s="87" t="s">
        <v>11</v>
      </c>
      <c r="O194" s="87"/>
      <c r="P194" s="26">
        <v>4.3920000000000003</v>
      </c>
      <c r="Q194" s="28">
        <f t="shared" si="29"/>
        <v>188.85600000000002</v>
      </c>
      <c r="R194" s="28">
        <f t="shared" si="30"/>
        <v>151.08480000000003</v>
      </c>
    </row>
    <row r="195" spans="1:18" ht="10.5" customHeight="1" x14ac:dyDescent="0.3">
      <c r="A195" s="92" t="s">
        <v>404</v>
      </c>
      <c r="B195" s="32" t="s">
        <v>400</v>
      </c>
      <c r="C195" s="33" t="s">
        <v>86</v>
      </c>
      <c r="D195" s="91">
        <v>1000</v>
      </c>
      <c r="E195" s="93" t="s">
        <v>11</v>
      </c>
      <c r="F195" s="36">
        <v>1.32</v>
      </c>
      <c r="G195" s="38">
        <f t="shared" si="31"/>
        <v>56.760000000000005</v>
      </c>
      <c r="H195" s="38">
        <f t="shared" si="32"/>
        <v>45.408000000000001</v>
      </c>
      <c r="I195" s="20"/>
      <c r="J195" s="85" t="s">
        <v>405</v>
      </c>
      <c r="K195" s="51" t="s">
        <v>377</v>
      </c>
      <c r="L195" s="23" t="s">
        <v>86</v>
      </c>
      <c r="M195" s="86">
        <v>2000</v>
      </c>
      <c r="N195" s="87" t="s">
        <v>11</v>
      </c>
      <c r="O195" s="87"/>
      <c r="P195" s="26">
        <v>5.9939999999999998</v>
      </c>
      <c r="Q195" s="28">
        <f t="shared" si="29"/>
        <v>257.74199999999996</v>
      </c>
      <c r="R195" s="28">
        <f t="shared" si="30"/>
        <v>206.19359999999998</v>
      </c>
    </row>
    <row r="196" spans="1:18" ht="10.5" customHeight="1" x14ac:dyDescent="0.3">
      <c r="A196" s="85" t="s">
        <v>406</v>
      </c>
      <c r="B196" s="22" t="s">
        <v>403</v>
      </c>
      <c r="C196" s="23" t="s">
        <v>86</v>
      </c>
      <c r="D196" s="86">
        <v>1000</v>
      </c>
      <c r="E196" s="94" t="s">
        <v>11</v>
      </c>
      <c r="F196" s="26">
        <v>1.931</v>
      </c>
      <c r="G196" s="28">
        <f t="shared" si="31"/>
        <v>83.033000000000001</v>
      </c>
      <c r="H196" s="28">
        <f t="shared" si="32"/>
        <v>66.426400000000001</v>
      </c>
      <c r="I196" s="83"/>
      <c r="J196" s="85" t="s">
        <v>407</v>
      </c>
      <c r="K196" s="51" t="s">
        <v>379</v>
      </c>
      <c r="L196" s="23" t="s">
        <v>86</v>
      </c>
      <c r="M196" s="86">
        <v>2000</v>
      </c>
      <c r="N196" s="94" t="s">
        <v>11</v>
      </c>
      <c r="O196" s="94"/>
      <c r="P196" s="26">
        <v>7.1539999999999999</v>
      </c>
      <c r="Q196" s="28">
        <f t="shared" si="29"/>
        <v>307.62200000000001</v>
      </c>
      <c r="R196" s="28">
        <f t="shared" si="30"/>
        <v>246.0976</v>
      </c>
    </row>
    <row r="197" spans="1:18" ht="10.5" customHeight="1" x14ac:dyDescent="0.3">
      <c r="A197" s="95"/>
      <c r="B197" s="40"/>
      <c r="C197" s="41"/>
      <c r="D197" s="96"/>
      <c r="E197" s="97"/>
      <c r="F197" s="44"/>
      <c r="G197" s="46"/>
      <c r="H197" s="46"/>
      <c r="I197" s="20"/>
      <c r="J197" s="95"/>
      <c r="K197" s="40"/>
      <c r="L197" s="41"/>
      <c r="M197" s="96"/>
      <c r="N197" s="97"/>
      <c r="O197" s="97"/>
      <c r="P197" s="44"/>
      <c r="Q197" s="46"/>
      <c r="R197" s="46"/>
    </row>
    <row r="198" spans="1:18" ht="10.5" customHeight="1" x14ac:dyDescent="0.3">
      <c r="A198" s="95"/>
      <c r="B198" s="40"/>
      <c r="C198" s="41"/>
      <c r="D198" s="96"/>
      <c r="E198" s="97"/>
      <c r="F198" s="44"/>
      <c r="G198" s="46"/>
      <c r="H198" s="46"/>
      <c r="I198" s="20"/>
      <c r="J198" s="95"/>
      <c r="K198" s="40"/>
      <c r="L198" s="41"/>
      <c r="M198" s="96"/>
      <c r="N198" s="97"/>
      <c r="O198" s="97"/>
      <c r="P198" s="44"/>
      <c r="Q198" s="46"/>
      <c r="R198" s="46"/>
    </row>
    <row r="199" spans="1:18" ht="10.5" customHeight="1" x14ac:dyDescent="0.3">
      <c r="A199" s="95"/>
      <c r="B199" s="40"/>
      <c r="C199" s="41"/>
      <c r="D199" s="96"/>
      <c r="E199" s="97"/>
      <c r="F199" s="44"/>
      <c r="G199" s="46"/>
      <c r="H199" s="46"/>
      <c r="I199" s="20"/>
      <c r="J199" s="95"/>
      <c r="K199" s="40"/>
      <c r="L199" s="41"/>
      <c r="M199" s="96"/>
      <c r="N199" s="97"/>
      <c r="O199" s="97"/>
      <c r="P199" s="44"/>
      <c r="Q199" s="46"/>
      <c r="R199" s="46"/>
    </row>
    <row r="200" spans="1:18" ht="10.5" customHeight="1" x14ac:dyDescent="0.3">
      <c r="A200" s="95"/>
      <c r="B200" s="40"/>
      <c r="C200" s="41"/>
      <c r="D200" s="96"/>
      <c r="E200" s="97"/>
      <c r="F200" s="44"/>
      <c r="G200" s="46"/>
      <c r="H200" s="46"/>
      <c r="I200" s="20"/>
      <c r="J200" s="95"/>
      <c r="K200" s="40"/>
      <c r="L200" s="41"/>
      <c r="M200" s="96"/>
      <c r="N200" s="97"/>
      <c r="O200" s="97"/>
      <c r="P200" s="44"/>
      <c r="Q200" s="46"/>
      <c r="R200" s="46"/>
    </row>
    <row r="201" spans="1:18" ht="10.5" customHeight="1" x14ac:dyDescent="0.3">
      <c r="A201" s="95"/>
      <c r="B201" s="40"/>
      <c r="C201" s="41"/>
      <c r="D201" s="96"/>
      <c r="E201" s="97"/>
      <c r="F201" s="44"/>
      <c r="G201" s="46"/>
      <c r="H201" s="46"/>
      <c r="I201" s="20"/>
      <c r="J201" s="95"/>
      <c r="K201" s="40"/>
      <c r="L201" s="41"/>
      <c r="M201" s="96"/>
      <c r="N201" s="97"/>
      <c r="O201" s="97"/>
      <c r="P201" s="44"/>
      <c r="Q201" s="46"/>
      <c r="R201" s="46"/>
    </row>
    <row r="202" spans="1:18" ht="10.5" customHeight="1" x14ac:dyDescent="0.3">
      <c r="A202" s="95"/>
      <c r="B202" s="40"/>
      <c r="C202" s="41"/>
      <c r="D202" s="96"/>
      <c r="E202" s="97"/>
      <c r="F202" s="44"/>
      <c r="G202" s="46"/>
      <c r="H202" s="46"/>
      <c r="I202" s="20"/>
      <c r="J202" s="95"/>
      <c r="K202" s="40"/>
      <c r="L202" s="41"/>
      <c r="M202" s="96"/>
      <c r="N202" s="97"/>
      <c r="O202" s="97"/>
      <c r="P202" s="44"/>
      <c r="Q202" s="46"/>
      <c r="R202" s="46"/>
    </row>
    <row r="203" spans="1:18" ht="10.5" customHeight="1" x14ac:dyDescent="0.3">
      <c r="A203" s="95"/>
      <c r="B203" s="40"/>
      <c r="C203" s="41"/>
      <c r="D203" s="96"/>
      <c r="E203" s="97"/>
      <c r="F203" s="44"/>
      <c r="G203" s="46"/>
      <c r="H203" s="46"/>
      <c r="I203" s="20"/>
      <c r="J203" s="95"/>
      <c r="K203" s="40"/>
      <c r="L203" s="41"/>
      <c r="M203" s="96"/>
      <c r="N203" s="97"/>
      <c r="O203" s="97"/>
      <c r="P203" s="44"/>
      <c r="Q203" s="46"/>
      <c r="R203" s="46"/>
    </row>
    <row r="204" spans="1:18" ht="10.5" customHeight="1" x14ac:dyDescent="0.3">
      <c r="A204" s="95"/>
      <c r="B204" s="40"/>
      <c r="C204" s="41"/>
      <c r="D204" s="96"/>
      <c r="E204" s="97"/>
      <c r="F204" s="44"/>
      <c r="G204" s="46"/>
      <c r="H204" s="46"/>
      <c r="I204" s="20"/>
      <c r="J204" s="95"/>
      <c r="K204" s="40"/>
      <c r="L204" s="41"/>
      <c r="M204" s="96"/>
      <c r="N204" s="97"/>
      <c r="O204" s="97"/>
      <c r="P204" s="44"/>
      <c r="Q204" s="46"/>
      <c r="R204" s="46"/>
    </row>
    <row r="205" spans="1:18" ht="10.5" customHeight="1" x14ac:dyDescent="0.3">
      <c r="A205" s="95"/>
      <c r="B205" s="40"/>
      <c r="C205" s="41"/>
      <c r="D205" s="96"/>
      <c r="E205" s="97"/>
      <c r="F205" s="44"/>
      <c r="G205" s="46"/>
      <c r="H205" s="46"/>
      <c r="I205" s="20"/>
      <c r="J205" s="95"/>
      <c r="K205" s="40"/>
      <c r="L205" s="41"/>
      <c r="M205" s="96"/>
      <c r="N205" s="97"/>
      <c r="O205" s="97"/>
      <c r="P205" s="44"/>
      <c r="Q205" s="46"/>
      <c r="R205" s="46"/>
    </row>
    <row r="206" spans="1:18" ht="10.5" customHeight="1" x14ac:dyDescent="0.3">
      <c r="A206" s="95"/>
      <c r="B206" s="40"/>
      <c r="C206" s="41"/>
      <c r="D206" s="96"/>
      <c r="E206" s="97"/>
      <c r="F206" s="44"/>
      <c r="G206" s="46"/>
      <c r="H206" s="46"/>
      <c r="I206" s="20"/>
      <c r="J206" s="95"/>
      <c r="K206" s="40"/>
      <c r="L206" s="41"/>
      <c r="M206" s="96"/>
      <c r="N206" s="97"/>
      <c r="O206" s="97"/>
      <c r="P206" s="44"/>
      <c r="Q206" s="46"/>
      <c r="R206" s="46"/>
    </row>
    <row r="207" spans="1:18" ht="10.5" customHeight="1" x14ac:dyDescent="0.3">
      <c r="A207" s="95"/>
      <c r="B207" s="40"/>
      <c r="C207" s="41"/>
      <c r="D207" s="96"/>
      <c r="E207" s="97"/>
      <c r="F207" s="44"/>
      <c r="G207" s="46"/>
      <c r="H207" s="46"/>
      <c r="I207" s="20"/>
      <c r="J207" s="95"/>
      <c r="K207" s="40"/>
      <c r="L207" s="41"/>
      <c r="M207" s="96"/>
      <c r="N207" s="97"/>
      <c r="O207" s="97"/>
      <c r="P207" s="44"/>
      <c r="Q207" s="46"/>
      <c r="R207" s="46"/>
    </row>
    <row r="208" spans="1:18" ht="10.5" customHeight="1" x14ac:dyDescent="0.3">
      <c r="A208" s="95"/>
      <c r="B208" s="40"/>
      <c r="C208" s="41"/>
      <c r="D208" s="96"/>
      <c r="E208" s="97"/>
      <c r="F208" s="44"/>
      <c r="G208" s="46"/>
      <c r="H208" s="46"/>
      <c r="I208" s="20"/>
      <c r="J208" s="95"/>
      <c r="K208" s="40"/>
      <c r="L208" s="41"/>
      <c r="M208" s="96"/>
      <c r="N208" s="97"/>
      <c r="O208" s="97"/>
      <c r="P208" s="44"/>
      <c r="Q208" s="46"/>
      <c r="R208" s="46"/>
    </row>
    <row r="209" spans="1:18" ht="10.5" customHeight="1" x14ac:dyDescent="0.3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</row>
    <row r="210" spans="1:18" ht="10.5" customHeight="1" x14ac:dyDescent="0.3">
      <c r="A210" s="47" t="s">
        <v>408</v>
      </c>
      <c r="B210" s="49"/>
      <c r="C210" s="49"/>
      <c r="D210" s="49"/>
      <c r="E210" s="49"/>
      <c r="F210" s="49"/>
      <c r="G210" s="49"/>
      <c r="H210" s="49"/>
      <c r="I210" s="49"/>
      <c r="J210" s="98" t="s">
        <v>409</v>
      </c>
      <c r="K210" s="49"/>
      <c r="L210" s="49"/>
      <c r="M210" s="49"/>
      <c r="N210" s="49"/>
      <c r="O210" s="49"/>
      <c r="P210" s="49"/>
      <c r="Q210" s="49"/>
      <c r="R210" s="50"/>
    </row>
    <row r="211" spans="1:18" ht="10.5" customHeight="1" x14ac:dyDescent="0.3">
      <c r="A211" s="99" t="s">
        <v>410</v>
      </c>
      <c r="B211" s="20"/>
      <c r="C211" s="20"/>
      <c r="D211" s="20"/>
      <c r="E211" s="20"/>
      <c r="F211" s="20"/>
      <c r="G211" s="20"/>
      <c r="H211" s="20"/>
      <c r="I211" s="20"/>
      <c r="J211" s="100" t="s">
        <v>411</v>
      </c>
      <c r="K211" s="20"/>
      <c r="L211" s="20"/>
      <c r="M211" s="20"/>
      <c r="N211" s="20"/>
      <c r="O211" s="20"/>
      <c r="P211" s="20"/>
      <c r="Q211" s="20"/>
      <c r="R211" s="101"/>
    </row>
    <row r="212" spans="1:18" ht="10.5" customHeight="1" x14ac:dyDescent="0.3">
      <c r="A212" s="18"/>
      <c r="B212" s="20"/>
      <c r="C212" s="20"/>
      <c r="D212" s="20"/>
      <c r="E212" s="20"/>
      <c r="F212" s="20"/>
      <c r="G212" s="20"/>
      <c r="H212" s="20"/>
      <c r="I212" s="20"/>
      <c r="J212" s="39"/>
      <c r="K212" s="20"/>
      <c r="L212" s="20"/>
      <c r="M212" s="20"/>
      <c r="N212" s="20"/>
      <c r="O212" s="20"/>
      <c r="P212" s="20"/>
      <c r="Q212" s="20"/>
      <c r="R212" s="101"/>
    </row>
    <row r="213" spans="1:18" ht="10.5" customHeight="1" x14ac:dyDescent="0.3">
      <c r="A213" s="18"/>
      <c r="B213" s="20"/>
      <c r="C213" s="20"/>
      <c r="D213" s="20"/>
      <c r="E213" s="20"/>
      <c r="F213" s="20"/>
      <c r="G213" s="20"/>
      <c r="H213" s="20"/>
      <c r="I213" s="20"/>
      <c r="J213" s="39"/>
      <c r="K213" s="20"/>
      <c r="L213" s="20"/>
      <c r="M213" s="20"/>
      <c r="N213" s="20"/>
      <c r="O213" s="20"/>
      <c r="P213" s="20"/>
      <c r="Q213" s="20"/>
      <c r="R213" s="101"/>
    </row>
    <row r="214" spans="1:18" ht="10.5" customHeight="1" x14ac:dyDescent="0.3">
      <c r="A214" s="18"/>
      <c r="B214" s="20"/>
      <c r="C214" s="20"/>
      <c r="D214" s="20"/>
      <c r="E214" s="20"/>
      <c r="F214" s="20"/>
      <c r="G214" s="20"/>
      <c r="H214" s="20"/>
      <c r="I214" s="20"/>
      <c r="J214" s="39"/>
      <c r="K214" s="20"/>
      <c r="L214" s="20"/>
      <c r="M214" s="20"/>
      <c r="N214" s="20"/>
      <c r="O214" s="20"/>
      <c r="P214" s="20"/>
      <c r="Q214" s="20"/>
      <c r="R214" s="101"/>
    </row>
    <row r="215" spans="1:18" ht="10.5" customHeight="1" x14ac:dyDescent="0.3">
      <c r="A215" s="73" t="s">
        <v>412</v>
      </c>
      <c r="B215" s="20"/>
      <c r="C215" s="20"/>
      <c r="D215" s="20"/>
      <c r="E215" s="20"/>
      <c r="F215" s="20"/>
      <c r="G215" s="20"/>
      <c r="H215" s="20"/>
      <c r="I215" s="20"/>
      <c r="J215" s="102" t="s">
        <v>413</v>
      </c>
      <c r="K215" s="20"/>
      <c r="L215" s="20"/>
      <c r="M215" s="20"/>
      <c r="N215" s="20"/>
      <c r="O215" s="20"/>
      <c r="P215" s="20"/>
      <c r="Q215" s="20"/>
      <c r="R215" s="101"/>
    </row>
    <row r="216" spans="1:18" ht="10.5" customHeight="1" x14ac:dyDescent="0.3">
      <c r="A216" s="452" t="s">
        <v>78</v>
      </c>
      <c r="B216" s="452" t="s">
        <v>79</v>
      </c>
      <c r="C216" s="452"/>
      <c r="D216" s="452"/>
      <c r="E216" s="453" t="s">
        <v>80</v>
      </c>
      <c r="F216" s="61"/>
      <c r="G216" s="16" t="s">
        <v>81</v>
      </c>
      <c r="H216" s="17" t="s">
        <v>82</v>
      </c>
      <c r="I216" s="20"/>
      <c r="J216" s="446" t="s">
        <v>78</v>
      </c>
      <c r="K216" s="446" t="s">
        <v>79</v>
      </c>
      <c r="L216" s="446"/>
      <c r="M216" s="446"/>
      <c r="N216" s="447" t="s">
        <v>80</v>
      </c>
      <c r="O216" s="434"/>
      <c r="P216" s="61"/>
      <c r="Q216" s="16" t="s">
        <v>81</v>
      </c>
      <c r="R216" s="17" t="s">
        <v>82</v>
      </c>
    </row>
    <row r="217" spans="1:18" ht="10.5" customHeight="1" thickTop="1" x14ac:dyDescent="0.3">
      <c r="A217" s="452"/>
      <c r="B217" s="452"/>
      <c r="C217" s="452"/>
      <c r="D217" s="452"/>
      <c r="E217" s="453"/>
      <c r="F217" s="103" t="s">
        <v>83</v>
      </c>
      <c r="G217" s="104" t="s">
        <v>375</v>
      </c>
      <c r="H217" s="104" t="s">
        <v>375</v>
      </c>
      <c r="I217" s="20"/>
      <c r="J217" s="446"/>
      <c r="K217" s="446"/>
      <c r="L217" s="446"/>
      <c r="M217" s="446"/>
      <c r="N217" s="447"/>
      <c r="O217" s="369"/>
      <c r="P217" s="68" t="s">
        <v>83</v>
      </c>
      <c r="Q217" s="15" t="s">
        <v>375</v>
      </c>
      <c r="R217" s="15" t="s">
        <v>375</v>
      </c>
    </row>
    <row r="218" spans="1:18" ht="10.5" customHeight="1" x14ac:dyDescent="0.3">
      <c r="A218" s="85" t="s">
        <v>414</v>
      </c>
      <c r="B218" s="22" t="s">
        <v>393</v>
      </c>
      <c r="C218" s="23" t="s">
        <v>86</v>
      </c>
      <c r="D218" s="86">
        <v>1000</v>
      </c>
      <c r="E218" s="94" t="s">
        <v>11</v>
      </c>
      <c r="F218" s="26">
        <v>0.83</v>
      </c>
      <c r="G218" s="28">
        <f t="shared" ref="G218:G223" si="33">F218*$F$10</f>
        <v>35.69</v>
      </c>
      <c r="H218" s="28">
        <f t="shared" ref="H218:H223" si="34">G218-G218*0.2</f>
        <v>28.552</v>
      </c>
      <c r="I218" s="20"/>
      <c r="J218" s="88" t="s">
        <v>415</v>
      </c>
      <c r="K218" s="74" t="s">
        <v>395</v>
      </c>
      <c r="L218" s="75" t="s">
        <v>86</v>
      </c>
      <c r="M218" s="89">
        <v>1000</v>
      </c>
      <c r="N218" s="87">
        <v>1</v>
      </c>
      <c r="O218" s="87"/>
      <c r="P218" s="78">
        <v>1.9</v>
      </c>
      <c r="Q218" s="72">
        <f t="shared" ref="Q218:Q223" si="35">P218*$F$10</f>
        <v>81.7</v>
      </c>
      <c r="R218" s="72">
        <f t="shared" ref="R218:R223" si="36">Q218-Q218*0.2</f>
        <v>65.36</v>
      </c>
    </row>
    <row r="219" spans="1:18" ht="10.5" customHeight="1" x14ac:dyDescent="0.3">
      <c r="A219" s="85" t="s">
        <v>416</v>
      </c>
      <c r="B219" s="22" t="s">
        <v>397</v>
      </c>
      <c r="C219" s="23" t="s">
        <v>86</v>
      </c>
      <c r="D219" s="86">
        <v>1000</v>
      </c>
      <c r="E219" s="94" t="s">
        <v>11</v>
      </c>
      <c r="F219" s="26">
        <v>1.41</v>
      </c>
      <c r="G219" s="28">
        <f t="shared" si="33"/>
        <v>60.629999999999995</v>
      </c>
      <c r="H219" s="28">
        <f t="shared" si="34"/>
        <v>48.503999999999998</v>
      </c>
      <c r="I219" s="20"/>
      <c r="J219" s="85" t="s">
        <v>417</v>
      </c>
      <c r="K219" s="22" t="s">
        <v>393</v>
      </c>
      <c r="L219" s="23" t="s">
        <v>86</v>
      </c>
      <c r="M219" s="86">
        <v>1000</v>
      </c>
      <c r="N219" s="94">
        <v>1</v>
      </c>
      <c r="O219" s="94"/>
      <c r="P219" s="26">
        <v>2.3199999999999998</v>
      </c>
      <c r="Q219" s="72">
        <f t="shared" si="35"/>
        <v>99.759999999999991</v>
      </c>
      <c r="R219" s="28">
        <f t="shared" si="36"/>
        <v>79.807999999999993</v>
      </c>
    </row>
    <row r="220" spans="1:18" ht="10.5" customHeight="1" x14ac:dyDescent="0.3">
      <c r="A220" s="85" t="s">
        <v>418</v>
      </c>
      <c r="B220" s="22" t="s">
        <v>400</v>
      </c>
      <c r="C220" s="23" t="s">
        <v>86</v>
      </c>
      <c r="D220" s="86">
        <v>1000</v>
      </c>
      <c r="E220" s="94" t="s">
        <v>11</v>
      </c>
      <c r="F220" s="26">
        <v>1.91</v>
      </c>
      <c r="G220" s="28">
        <f t="shared" si="33"/>
        <v>82.13</v>
      </c>
      <c r="H220" s="28">
        <f t="shared" si="34"/>
        <v>65.703999999999994</v>
      </c>
      <c r="I220" s="20"/>
      <c r="J220" s="85" t="s">
        <v>419</v>
      </c>
      <c r="K220" s="22" t="s">
        <v>397</v>
      </c>
      <c r="L220" s="23" t="s">
        <v>86</v>
      </c>
      <c r="M220" s="86">
        <v>1000</v>
      </c>
      <c r="N220" s="94">
        <v>1</v>
      </c>
      <c r="O220" s="94"/>
      <c r="P220" s="26">
        <v>3.2</v>
      </c>
      <c r="Q220" s="72">
        <f t="shared" si="35"/>
        <v>137.6</v>
      </c>
      <c r="R220" s="28">
        <f t="shared" si="36"/>
        <v>110.08</v>
      </c>
    </row>
    <row r="221" spans="1:18" ht="10.5" customHeight="1" x14ac:dyDescent="0.3">
      <c r="A221" s="85" t="s">
        <v>420</v>
      </c>
      <c r="B221" s="22" t="s">
        <v>403</v>
      </c>
      <c r="C221" s="23" t="s">
        <v>86</v>
      </c>
      <c r="D221" s="86">
        <v>1000</v>
      </c>
      <c r="E221" s="94" t="s">
        <v>11</v>
      </c>
      <c r="F221" s="26">
        <v>2.73</v>
      </c>
      <c r="G221" s="28">
        <f t="shared" si="33"/>
        <v>117.39</v>
      </c>
      <c r="H221" s="28">
        <f t="shared" si="34"/>
        <v>93.912000000000006</v>
      </c>
      <c r="I221" s="20"/>
      <c r="J221" s="85" t="s">
        <v>421</v>
      </c>
      <c r="K221" s="22" t="s">
        <v>400</v>
      </c>
      <c r="L221" s="23" t="s">
        <v>86</v>
      </c>
      <c r="M221" s="86">
        <v>1000</v>
      </c>
      <c r="N221" s="94">
        <v>1</v>
      </c>
      <c r="O221" s="94"/>
      <c r="P221" s="26">
        <v>5.05</v>
      </c>
      <c r="Q221" s="72">
        <f t="shared" si="35"/>
        <v>217.15</v>
      </c>
      <c r="R221" s="28">
        <f t="shared" si="36"/>
        <v>173.72</v>
      </c>
    </row>
    <row r="222" spans="1:18" ht="10.5" customHeight="1" x14ac:dyDescent="0.3">
      <c r="A222" s="85" t="s">
        <v>422</v>
      </c>
      <c r="B222" s="22" t="s">
        <v>377</v>
      </c>
      <c r="C222" s="23" t="s">
        <v>86</v>
      </c>
      <c r="D222" s="86">
        <v>1000</v>
      </c>
      <c r="E222" s="94" t="s">
        <v>11</v>
      </c>
      <c r="F222" s="26">
        <v>4.22</v>
      </c>
      <c r="G222" s="28">
        <f t="shared" si="33"/>
        <v>181.45999999999998</v>
      </c>
      <c r="H222" s="28">
        <f t="shared" si="34"/>
        <v>145.16799999999998</v>
      </c>
      <c r="I222" s="20"/>
      <c r="J222" s="92" t="s">
        <v>423</v>
      </c>
      <c r="K222" s="32" t="s">
        <v>403</v>
      </c>
      <c r="L222" s="33" t="s">
        <v>86</v>
      </c>
      <c r="M222" s="91">
        <v>1000</v>
      </c>
      <c r="N222" s="93">
        <v>1</v>
      </c>
      <c r="O222" s="93"/>
      <c r="P222" s="36">
        <v>9.48</v>
      </c>
      <c r="Q222" s="72">
        <f t="shared" si="35"/>
        <v>407.64000000000004</v>
      </c>
      <c r="R222" s="38">
        <f t="shared" si="36"/>
        <v>326.11200000000002</v>
      </c>
    </row>
    <row r="223" spans="1:18" ht="10.5" customHeight="1" x14ac:dyDescent="0.3">
      <c r="A223" s="85" t="s">
        <v>424</v>
      </c>
      <c r="B223" s="22" t="s">
        <v>379</v>
      </c>
      <c r="C223" s="23" t="s">
        <v>86</v>
      </c>
      <c r="D223" s="86">
        <v>1000</v>
      </c>
      <c r="E223" s="94" t="s">
        <v>11</v>
      </c>
      <c r="F223" s="26">
        <v>5.14</v>
      </c>
      <c r="G223" s="28">
        <f t="shared" si="33"/>
        <v>221.01999999999998</v>
      </c>
      <c r="H223" s="28">
        <f t="shared" si="34"/>
        <v>176.81599999999997</v>
      </c>
      <c r="I223" s="83"/>
      <c r="J223" s="85" t="s">
        <v>423</v>
      </c>
      <c r="K223" s="22" t="s">
        <v>379</v>
      </c>
      <c r="L223" s="23" t="s">
        <v>86</v>
      </c>
      <c r="M223" s="86">
        <v>1000</v>
      </c>
      <c r="N223" s="94">
        <v>1</v>
      </c>
      <c r="O223" s="94"/>
      <c r="P223" s="26">
        <v>15.69</v>
      </c>
      <c r="Q223" s="72">
        <f t="shared" si="35"/>
        <v>674.67</v>
      </c>
      <c r="R223" s="28">
        <f t="shared" si="36"/>
        <v>539.73599999999999</v>
      </c>
    </row>
    <row r="224" spans="1:18" ht="10.5" customHeight="1" x14ac:dyDescent="0.3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</row>
    <row r="225" spans="1:18" ht="10.5" customHeight="1" x14ac:dyDescent="0.3">
      <c r="A225" s="47" t="s">
        <v>425</v>
      </c>
      <c r="B225" s="49"/>
      <c r="C225" s="49"/>
      <c r="D225" s="49"/>
      <c r="E225" s="49"/>
      <c r="F225" s="49"/>
      <c r="G225" s="49"/>
      <c r="H225" s="49"/>
      <c r="I225" s="49"/>
      <c r="J225" s="446" t="s">
        <v>78</v>
      </c>
      <c r="K225" s="446" t="s">
        <v>79</v>
      </c>
      <c r="L225" s="446"/>
      <c r="M225" s="446"/>
      <c r="N225" s="447" t="s">
        <v>80</v>
      </c>
      <c r="O225" s="434"/>
      <c r="P225" s="61"/>
      <c r="Q225" s="16" t="s">
        <v>81</v>
      </c>
      <c r="R225" s="17" t="s">
        <v>82</v>
      </c>
    </row>
    <row r="226" spans="1:18" ht="10.5" customHeight="1" thickTop="1" x14ac:dyDescent="0.3">
      <c r="A226" s="99" t="s">
        <v>426</v>
      </c>
      <c r="B226" s="20"/>
      <c r="C226" s="20"/>
      <c r="D226" s="20"/>
      <c r="E226" s="20"/>
      <c r="F226" s="20"/>
      <c r="G226" s="20"/>
      <c r="H226" s="20"/>
      <c r="I226" s="20"/>
      <c r="J226" s="446"/>
      <c r="K226" s="446"/>
      <c r="L226" s="446"/>
      <c r="M226" s="446"/>
      <c r="N226" s="447"/>
      <c r="O226" s="369"/>
      <c r="P226" s="68" t="s">
        <v>83</v>
      </c>
      <c r="Q226" s="15" t="s">
        <v>84</v>
      </c>
      <c r="R226" s="15" t="s">
        <v>84</v>
      </c>
    </row>
    <row r="227" spans="1:18" ht="10.5" customHeight="1" x14ac:dyDescent="0.3">
      <c r="A227" s="18"/>
      <c r="B227" s="20"/>
      <c r="C227" s="20"/>
      <c r="D227" s="20"/>
      <c r="E227" s="20"/>
      <c r="F227" s="20"/>
      <c r="G227" s="20"/>
      <c r="H227" s="20"/>
      <c r="I227" s="105"/>
      <c r="J227" s="85" t="s">
        <v>427</v>
      </c>
      <c r="K227" s="22">
        <v>6</v>
      </c>
      <c r="L227" s="23" t="s">
        <v>86</v>
      </c>
      <c r="M227" s="86">
        <v>60</v>
      </c>
      <c r="N227" s="94" t="s">
        <v>101</v>
      </c>
      <c r="O227" s="94"/>
      <c r="P227" s="26">
        <v>6.91</v>
      </c>
      <c r="Q227" s="28">
        <f t="shared" ref="Q227:Q236" si="37">P227*$F$10</f>
        <v>297.13</v>
      </c>
      <c r="R227" s="28">
        <f t="shared" ref="R227:R236" si="38">Q227-Q227*0.2</f>
        <v>237.70400000000001</v>
      </c>
    </row>
    <row r="228" spans="1:18" ht="10.5" customHeight="1" x14ac:dyDescent="0.3">
      <c r="A228" s="18"/>
      <c r="B228" s="20"/>
      <c r="C228" s="20"/>
      <c r="D228" s="20"/>
      <c r="E228" s="20"/>
      <c r="F228" s="20"/>
      <c r="G228" s="20"/>
      <c r="H228" s="20"/>
      <c r="I228" s="105"/>
      <c r="J228" s="85" t="s">
        <v>428</v>
      </c>
      <c r="K228" s="22">
        <v>6</v>
      </c>
      <c r="L228" s="23" t="s">
        <v>86</v>
      </c>
      <c r="M228" s="86">
        <v>80</v>
      </c>
      <c r="N228" s="94" t="s">
        <v>126</v>
      </c>
      <c r="O228" s="94"/>
      <c r="P228" s="26">
        <v>9.67</v>
      </c>
      <c r="Q228" s="28">
        <f t="shared" si="37"/>
        <v>415.81</v>
      </c>
      <c r="R228" s="28">
        <f t="shared" si="38"/>
        <v>332.64800000000002</v>
      </c>
    </row>
    <row r="229" spans="1:18" ht="10.5" customHeight="1" x14ac:dyDescent="0.3">
      <c r="A229" s="18"/>
      <c r="B229" s="20"/>
      <c r="C229" s="20"/>
      <c r="D229" s="20"/>
      <c r="E229" s="20"/>
      <c r="F229" s="20"/>
      <c r="G229" s="20"/>
      <c r="H229" s="20"/>
      <c r="I229" s="20"/>
      <c r="J229" s="85" t="s">
        <v>429</v>
      </c>
      <c r="K229" s="22">
        <v>8</v>
      </c>
      <c r="L229" s="23" t="s">
        <v>86</v>
      </c>
      <c r="M229" s="86">
        <v>80</v>
      </c>
      <c r="N229" s="94" t="s">
        <v>126</v>
      </c>
      <c r="O229" s="94"/>
      <c r="P229" s="26">
        <v>17.02</v>
      </c>
      <c r="Q229" s="28">
        <f t="shared" si="37"/>
        <v>731.86</v>
      </c>
      <c r="R229" s="28">
        <f t="shared" si="38"/>
        <v>585.48800000000006</v>
      </c>
    </row>
    <row r="230" spans="1:18" ht="10.5" customHeight="1" x14ac:dyDescent="0.3">
      <c r="A230" s="53" t="s">
        <v>430</v>
      </c>
      <c r="B230" s="20"/>
      <c r="C230" s="20"/>
      <c r="D230" s="20"/>
      <c r="E230" s="20"/>
      <c r="F230" s="20"/>
      <c r="G230" s="20"/>
      <c r="H230" s="20"/>
      <c r="I230" s="20"/>
      <c r="J230" s="85" t="s">
        <v>431</v>
      </c>
      <c r="K230" s="22">
        <v>8</v>
      </c>
      <c r="L230" s="23" t="s">
        <v>86</v>
      </c>
      <c r="M230" s="86">
        <v>100</v>
      </c>
      <c r="N230" s="94" t="s">
        <v>126</v>
      </c>
      <c r="O230" s="94"/>
      <c r="P230" s="26">
        <v>14.15</v>
      </c>
      <c r="Q230" s="28">
        <f t="shared" si="37"/>
        <v>608.45000000000005</v>
      </c>
      <c r="R230" s="28">
        <f t="shared" si="38"/>
        <v>486.76000000000005</v>
      </c>
    </row>
    <row r="231" spans="1:18" ht="10.5" customHeight="1" x14ac:dyDescent="0.3">
      <c r="A231" s="53" t="s">
        <v>193</v>
      </c>
      <c r="B231" s="20"/>
      <c r="C231" s="20"/>
      <c r="D231" s="20"/>
      <c r="E231" s="20"/>
      <c r="F231" s="20"/>
      <c r="G231" s="20"/>
      <c r="H231" s="20"/>
      <c r="I231" s="20"/>
      <c r="J231" s="85" t="s">
        <v>432</v>
      </c>
      <c r="K231" s="22">
        <v>8</v>
      </c>
      <c r="L231" s="23" t="s">
        <v>86</v>
      </c>
      <c r="M231" s="86">
        <v>120</v>
      </c>
      <c r="N231" s="94" t="s">
        <v>157</v>
      </c>
      <c r="O231" s="94"/>
      <c r="P231" s="26">
        <v>17.27</v>
      </c>
      <c r="Q231" s="28">
        <f t="shared" si="37"/>
        <v>742.61</v>
      </c>
      <c r="R231" s="28">
        <f t="shared" si="38"/>
        <v>594.08799999999997</v>
      </c>
    </row>
    <row r="232" spans="1:18" ht="10.5" customHeight="1" thickBot="1" x14ac:dyDescent="0.35">
      <c r="A232" s="446" t="s">
        <v>78</v>
      </c>
      <c r="B232" s="446" t="s">
        <v>79</v>
      </c>
      <c r="C232" s="446"/>
      <c r="D232" s="446"/>
      <c r="E232" s="447" t="s">
        <v>80</v>
      </c>
      <c r="F232" s="61"/>
      <c r="G232" s="16" t="s">
        <v>81</v>
      </c>
      <c r="H232" s="17" t="s">
        <v>82</v>
      </c>
      <c r="I232" s="20"/>
      <c r="J232" s="85" t="s">
        <v>433</v>
      </c>
      <c r="K232" s="51">
        <v>10</v>
      </c>
      <c r="L232" s="23" t="s">
        <v>86</v>
      </c>
      <c r="M232" s="86">
        <v>100</v>
      </c>
      <c r="N232" s="94" t="s">
        <v>157</v>
      </c>
      <c r="O232" s="94"/>
      <c r="P232" s="26">
        <v>24.33</v>
      </c>
      <c r="Q232" s="28">
        <f t="shared" si="37"/>
        <v>1046.1899999999998</v>
      </c>
      <c r="R232" s="28">
        <f t="shared" si="38"/>
        <v>836.95199999999988</v>
      </c>
    </row>
    <row r="233" spans="1:18" ht="10.5" customHeight="1" thickTop="1" x14ac:dyDescent="0.3">
      <c r="A233" s="446"/>
      <c r="B233" s="446"/>
      <c r="C233" s="446"/>
      <c r="D233" s="446"/>
      <c r="E233" s="447"/>
      <c r="F233" s="68" t="s">
        <v>83</v>
      </c>
      <c r="G233" s="15" t="s">
        <v>84</v>
      </c>
      <c r="H233" s="15" t="s">
        <v>84</v>
      </c>
      <c r="I233" s="20"/>
      <c r="J233" s="85" t="s">
        <v>434</v>
      </c>
      <c r="K233" s="51">
        <v>10</v>
      </c>
      <c r="L233" s="23" t="s">
        <v>86</v>
      </c>
      <c r="M233" s="86">
        <v>180</v>
      </c>
      <c r="N233" s="94" t="s">
        <v>192</v>
      </c>
      <c r="O233" s="94"/>
      <c r="P233" s="26">
        <v>31.98</v>
      </c>
      <c r="Q233" s="28">
        <f t="shared" si="37"/>
        <v>1375.14</v>
      </c>
      <c r="R233" s="28">
        <f t="shared" si="38"/>
        <v>1100.1120000000001</v>
      </c>
    </row>
    <row r="234" spans="1:18" ht="10.5" customHeight="1" x14ac:dyDescent="0.3">
      <c r="A234" s="88" t="s">
        <v>435</v>
      </c>
      <c r="B234" s="74">
        <v>3.5</v>
      </c>
      <c r="C234" s="75" t="s">
        <v>86</v>
      </c>
      <c r="D234" s="89">
        <v>35</v>
      </c>
      <c r="E234" s="106" t="s">
        <v>101</v>
      </c>
      <c r="F234" s="78">
        <v>2.5</v>
      </c>
      <c r="G234" s="72">
        <f>F234*$F$10</f>
        <v>107.5</v>
      </c>
      <c r="H234" s="28">
        <f>G234-G234*0.2</f>
        <v>86</v>
      </c>
      <c r="I234" s="20"/>
      <c r="J234" s="85" t="s">
        <v>436</v>
      </c>
      <c r="K234" s="51">
        <v>10</v>
      </c>
      <c r="L234" s="23" t="s">
        <v>86</v>
      </c>
      <c r="M234" s="86">
        <v>200</v>
      </c>
      <c r="N234" s="94" t="s">
        <v>56</v>
      </c>
      <c r="O234" s="94"/>
      <c r="P234" s="26">
        <v>32.619999999999997</v>
      </c>
      <c r="Q234" s="28">
        <f t="shared" si="37"/>
        <v>1402.6599999999999</v>
      </c>
      <c r="R234" s="28">
        <f t="shared" si="38"/>
        <v>1122.1279999999999</v>
      </c>
    </row>
    <row r="235" spans="1:18" ht="10.5" customHeight="1" x14ac:dyDescent="0.3">
      <c r="A235" s="85" t="s">
        <v>437</v>
      </c>
      <c r="B235" s="22">
        <v>4</v>
      </c>
      <c r="C235" s="23" t="s">
        <v>86</v>
      </c>
      <c r="D235" s="86">
        <v>40</v>
      </c>
      <c r="E235" s="94" t="s">
        <v>101</v>
      </c>
      <c r="F235" s="26">
        <v>2.59</v>
      </c>
      <c r="G235" s="28">
        <f>F235*$F$10</f>
        <v>111.36999999999999</v>
      </c>
      <c r="H235" s="28">
        <f>G235-G235*0.2</f>
        <v>89.095999999999989</v>
      </c>
      <c r="I235" s="20"/>
      <c r="J235" s="85" t="s">
        <v>438</v>
      </c>
      <c r="K235" s="51">
        <v>10</v>
      </c>
      <c r="L235" s="23" t="s">
        <v>86</v>
      </c>
      <c r="M235" s="86">
        <v>220</v>
      </c>
      <c r="N235" s="94" t="s">
        <v>43</v>
      </c>
      <c r="O235" s="94"/>
      <c r="P235" s="26">
        <v>51.27</v>
      </c>
      <c r="Q235" s="28">
        <f t="shared" si="37"/>
        <v>2204.61</v>
      </c>
      <c r="R235" s="28">
        <f t="shared" si="38"/>
        <v>1763.6880000000001</v>
      </c>
    </row>
    <row r="236" spans="1:18" ht="10.5" customHeight="1" x14ac:dyDescent="0.3">
      <c r="A236" s="85" t="s">
        <v>439</v>
      </c>
      <c r="B236" s="22">
        <v>5</v>
      </c>
      <c r="C236" s="23" t="s">
        <v>86</v>
      </c>
      <c r="D236" s="86">
        <v>50</v>
      </c>
      <c r="E236" s="94" t="s">
        <v>101</v>
      </c>
      <c r="F236" s="26">
        <v>4.34</v>
      </c>
      <c r="G236" s="28">
        <f>F236*$F$10</f>
        <v>186.62</v>
      </c>
      <c r="H236" s="28">
        <f>G236-G236*0.2</f>
        <v>149.29599999999999</v>
      </c>
      <c r="I236" s="83"/>
      <c r="J236" s="85" t="s">
        <v>440</v>
      </c>
      <c r="K236" s="51">
        <v>10</v>
      </c>
      <c r="L236" s="23" t="s">
        <v>86</v>
      </c>
      <c r="M236" s="86">
        <v>250</v>
      </c>
      <c r="N236" s="94" t="s">
        <v>43</v>
      </c>
      <c r="O236" s="94"/>
      <c r="P236" s="26">
        <v>57.4</v>
      </c>
      <c r="Q236" s="28">
        <f t="shared" si="37"/>
        <v>2468.1999999999998</v>
      </c>
      <c r="R236" s="28">
        <f t="shared" si="38"/>
        <v>1974.56</v>
      </c>
    </row>
    <row r="237" spans="1:18" ht="10.5" customHeight="1" x14ac:dyDescent="0.3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</row>
    <row r="238" spans="1:18" ht="10.5" customHeight="1" x14ac:dyDescent="0.3">
      <c r="A238" s="107" t="s">
        <v>441</v>
      </c>
      <c r="B238" s="49"/>
      <c r="C238" s="49"/>
      <c r="D238" s="49"/>
      <c r="E238" s="49"/>
      <c r="F238" s="49"/>
      <c r="G238" s="49"/>
      <c r="H238" s="49"/>
      <c r="I238" s="49"/>
      <c r="J238" s="446" t="s">
        <v>78</v>
      </c>
      <c r="K238" s="446" t="s">
        <v>79</v>
      </c>
      <c r="L238" s="446"/>
      <c r="M238" s="446"/>
      <c r="N238" s="447" t="s">
        <v>80</v>
      </c>
      <c r="O238" s="434"/>
      <c r="P238" s="61"/>
      <c r="Q238" s="16" t="s">
        <v>81</v>
      </c>
      <c r="R238" s="17" t="s">
        <v>82</v>
      </c>
    </row>
    <row r="239" spans="1:18" ht="10.5" customHeight="1" x14ac:dyDescent="0.3">
      <c r="A239" s="99"/>
      <c r="B239" s="20"/>
      <c r="C239" s="20"/>
      <c r="D239" s="20"/>
      <c r="E239" s="20"/>
      <c r="F239" s="20"/>
      <c r="G239" s="20"/>
      <c r="H239" s="20"/>
      <c r="I239" s="20"/>
      <c r="J239" s="446"/>
      <c r="K239" s="446"/>
      <c r="L239" s="446"/>
      <c r="M239" s="446"/>
      <c r="N239" s="447"/>
      <c r="O239" s="369"/>
      <c r="P239" s="68" t="s">
        <v>83</v>
      </c>
      <c r="Q239" s="15" t="s">
        <v>84</v>
      </c>
      <c r="R239" s="15" t="s">
        <v>84</v>
      </c>
    </row>
    <row r="240" spans="1:18" ht="10.5" customHeight="1" x14ac:dyDescent="0.3">
      <c r="A240" s="18"/>
      <c r="B240" s="20"/>
      <c r="C240" s="20"/>
      <c r="D240" s="20"/>
      <c r="E240" s="20"/>
      <c r="F240" s="20"/>
      <c r="G240" s="20"/>
      <c r="H240" s="20"/>
      <c r="I240" s="20"/>
      <c r="J240" s="30" t="s">
        <v>442</v>
      </c>
      <c r="K240" s="74">
        <v>5</v>
      </c>
      <c r="L240" s="75" t="s">
        <v>86</v>
      </c>
      <c r="M240" s="76">
        <v>50</v>
      </c>
      <c r="N240" s="77" t="s">
        <v>101</v>
      </c>
      <c r="O240" s="276"/>
      <c r="P240" s="108">
        <v>1.8353299999999999</v>
      </c>
      <c r="Q240" s="72">
        <f>P240*$F$10</f>
        <v>78.91919</v>
      </c>
      <c r="R240" s="28">
        <f>Q240-Q240*0.2</f>
        <v>63.135351999999997</v>
      </c>
    </row>
    <row r="241" spans="1:18" ht="10.5" customHeight="1" x14ac:dyDescent="0.3">
      <c r="A241" s="18"/>
      <c r="B241" s="20"/>
      <c r="C241" s="20"/>
      <c r="D241" s="20"/>
      <c r="E241" s="20"/>
      <c r="F241" s="20"/>
      <c r="G241" s="20"/>
      <c r="H241" s="20"/>
      <c r="I241" s="20"/>
      <c r="J241" s="21" t="s">
        <v>443</v>
      </c>
      <c r="K241" s="22">
        <v>6.3</v>
      </c>
      <c r="L241" s="23" t="s">
        <v>86</v>
      </c>
      <c r="M241" s="24">
        <v>50</v>
      </c>
      <c r="N241" s="25" t="s">
        <v>101</v>
      </c>
      <c r="O241" s="25"/>
      <c r="P241" s="67">
        <v>2.1163599999999998</v>
      </c>
      <c r="Q241" s="28">
        <f>P241*$F$10</f>
        <v>91.003479999999996</v>
      </c>
      <c r="R241" s="28">
        <f>Q241-Q241*0.2</f>
        <v>72.802784000000003</v>
      </c>
    </row>
    <row r="242" spans="1:18" ht="10.5" customHeight="1" x14ac:dyDescent="0.3">
      <c r="A242" s="53" t="s">
        <v>444</v>
      </c>
      <c r="B242" s="20"/>
      <c r="C242" s="20"/>
      <c r="D242" s="20"/>
      <c r="E242" s="20"/>
      <c r="F242" s="20"/>
      <c r="G242" s="20"/>
      <c r="H242" s="20"/>
      <c r="I242" s="20"/>
      <c r="J242" s="21" t="s">
        <v>445</v>
      </c>
      <c r="K242" s="22">
        <v>7</v>
      </c>
      <c r="L242" s="23" t="s">
        <v>86</v>
      </c>
      <c r="M242" s="24">
        <v>50</v>
      </c>
      <c r="N242" s="25" t="s">
        <v>101</v>
      </c>
      <c r="O242" s="25"/>
      <c r="P242" s="67">
        <v>2.5590999999999999</v>
      </c>
      <c r="Q242" s="28">
        <f>P242*$F$10</f>
        <v>110.04129999999999</v>
      </c>
      <c r="R242" s="28">
        <f>Q242-Q242*0.2</f>
        <v>88.03304</v>
      </c>
    </row>
    <row r="243" spans="1:18" ht="10.5" customHeight="1" x14ac:dyDescent="0.3">
      <c r="A243" s="73" t="s">
        <v>446</v>
      </c>
      <c r="B243" s="83"/>
      <c r="C243" s="83"/>
      <c r="D243" s="83"/>
      <c r="E243" s="83"/>
      <c r="F243" s="83"/>
      <c r="G243" s="83"/>
      <c r="H243" s="83"/>
      <c r="I243" s="83"/>
      <c r="J243" s="21" t="s">
        <v>447</v>
      </c>
      <c r="K243" s="22">
        <v>7</v>
      </c>
      <c r="L243" s="23" t="s">
        <v>86</v>
      </c>
      <c r="M243" s="24">
        <v>70</v>
      </c>
      <c r="N243" s="25" t="s">
        <v>126</v>
      </c>
      <c r="O243" s="25"/>
      <c r="P243" s="67">
        <v>3.7428799999999995</v>
      </c>
      <c r="Q243" s="28">
        <f>P243*$F$10</f>
        <v>160.94383999999997</v>
      </c>
      <c r="R243" s="28">
        <f>Q243-Q243*0.2</f>
        <v>128.75507199999998</v>
      </c>
    </row>
    <row r="244" spans="1:18" ht="10.5" customHeight="1" x14ac:dyDescent="0.3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</row>
    <row r="245" spans="1:18" ht="10.5" customHeight="1" x14ac:dyDescent="0.3">
      <c r="A245" s="47" t="s">
        <v>448</v>
      </c>
      <c r="B245" s="48" t="s">
        <v>449</v>
      </c>
      <c r="C245" s="49"/>
      <c r="D245" s="49"/>
      <c r="E245" s="49"/>
      <c r="F245" s="49"/>
      <c r="G245" s="49"/>
      <c r="H245" s="49"/>
      <c r="I245" s="49"/>
      <c r="J245" s="98" t="s">
        <v>450</v>
      </c>
      <c r="K245" s="48" t="s">
        <v>451</v>
      </c>
      <c r="L245" s="49"/>
      <c r="M245" s="49"/>
      <c r="N245" s="49"/>
      <c r="O245" s="49"/>
      <c r="P245" s="49"/>
      <c r="Q245" s="49"/>
      <c r="R245" s="50"/>
    </row>
    <row r="246" spans="1:18" ht="10.5" customHeight="1" x14ac:dyDescent="0.3">
      <c r="A246" s="18" t="s">
        <v>452</v>
      </c>
      <c r="B246" s="20"/>
      <c r="C246" s="20"/>
      <c r="D246" s="20"/>
      <c r="E246" s="20"/>
      <c r="F246" s="20"/>
      <c r="G246" s="20"/>
      <c r="H246" s="20"/>
      <c r="I246" s="20"/>
      <c r="J246" s="39" t="s">
        <v>452</v>
      </c>
      <c r="K246" s="20"/>
      <c r="L246" s="20"/>
      <c r="M246" s="20"/>
      <c r="N246" s="20"/>
      <c r="O246" s="20"/>
      <c r="P246" s="20"/>
      <c r="Q246" s="20"/>
      <c r="R246" s="101"/>
    </row>
    <row r="247" spans="1:18" ht="10.5" customHeight="1" x14ac:dyDescent="0.3">
      <c r="A247" s="18" t="s">
        <v>453</v>
      </c>
      <c r="B247" s="20"/>
      <c r="C247" s="20"/>
      <c r="D247" s="20"/>
      <c r="E247" s="20"/>
      <c r="F247" s="20"/>
      <c r="G247" s="20"/>
      <c r="H247" s="20"/>
      <c r="I247" s="20"/>
      <c r="J247" s="20" t="s">
        <v>454</v>
      </c>
      <c r="K247" s="20"/>
      <c r="L247" s="20"/>
      <c r="M247" s="20"/>
      <c r="N247" s="20"/>
      <c r="O247" s="20"/>
      <c r="P247" s="20"/>
      <c r="Q247" s="20"/>
      <c r="R247" s="101"/>
    </row>
    <row r="248" spans="1:18" ht="10.5" customHeight="1" x14ac:dyDescent="0.3">
      <c r="A248" s="18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101"/>
    </row>
    <row r="249" spans="1:18" ht="10.5" customHeight="1" x14ac:dyDescent="0.3">
      <c r="A249" s="446" t="s">
        <v>78</v>
      </c>
      <c r="B249" s="446" t="s">
        <v>79</v>
      </c>
      <c r="C249" s="446"/>
      <c r="D249" s="446"/>
      <c r="E249" s="447" t="s">
        <v>80</v>
      </c>
      <c r="F249" s="61"/>
      <c r="G249" s="16" t="s">
        <v>81</v>
      </c>
      <c r="H249" s="17" t="s">
        <v>82</v>
      </c>
      <c r="I249" s="20"/>
      <c r="J249" s="446" t="s">
        <v>78</v>
      </c>
      <c r="K249" s="446" t="s">
        <v>79</v>
      </c>
      <c r="L249" s="446"/>
      <c r="M249" s="446"/>
      <c r="N249" s="447" t="s">
        <v>80</v>
      </c>
      <c r="O249" s="434"/>
      <c r="P249" s="61"/>
      <c r="Q249" s="16" t="s">
        <v>81</v>
      </c>
      <c r="R249" s="17" t="s">
        <v>82</v>
      </c>
    </row>
    <row r="250" spans="1:18" ht="10.5" customHeight="1" x14ac:dyDescent="0.3">
      <c r="A250" s="446"/>
      <c r="B250" s="446"/>
      <c r="C250" s="446"/>
      <c r="D250" s="446"/>
      <c r="E250" s="447"/>
      <c r="F250" s="68" t="s">
        <v>83</v>
      </c>
      <c r="G250" s="15" t="s">
        <v>84</v>
      </c>
      <c r="H250" s="15" t="s">
        <v>84</v>
      </c>
      <c r="I250" s="20"/>
      <c r="J250" s="446"/>
      <c r="K250" s="446"/>
      <c r="L250" s="446"/>
      <c r="M250" s="446"/>
      <c r="N250" s="447"/>
      <c r="O250" s="369"/>
      <c r="P250" s="68" t="s">
        <v>83</v>
      </c>
      <c r="Q250" s="15" t="s">
        <v>84</v>
      </c>
      <c r="R250" s="15" t="s">
        <v>84</v>
      </c>
    </row>
    <row r="251" spans="1:18" ht="10.5" customHeight="1" x14ac:dyDescent="0.3">
      <c r="A251" s="109" t="s">
        <v>455</v>
      </c>
      <c r="B251" s="454"/>
      <c r="C251" s="454"/>
      <c r="D251" s="454"/>
      <c r="E251" s="66">
        <v>50</v>
      </c>
      <c r="F251" s="110">
        <v>0.84878124999999993</v>
      </c>
      <c r="G251" s="111">
        <f>F251*$F$10</f>
        <v>36.49759375</v>
      </c>
      <c r="H251" s="28">
        <f>G251-G251*0.2</f>
        <v>29.198074999999999</v>
      </c>
      <c r="I251" s="20"/>
      <c r="J251" s="88" t="s">
        <v>456</v>
      </c>
      <c r="K251" s="455" t="s">
        <v>457</v>
      </c>
      <c r="L251" s="455"/>
      <c r="M251" s="455"/>
      <c r="N251" s="58">
        <v>50</v>
      </c>
      <c r="O251" s="435"/>
      <c r="P251" s="112">
        <v>0.8727673611111112</v>
      </c>
      <c r="Q251" s="113">
        <f>P251*$F$10</f>
        <v>37.528996527777778</v>
      </c>
      <c r="R251" s="72">
        <f>Q251-Q251*0.2</f>
        <v>30.023197222222223</v>
      </c>
    </row>
    <row r="252" spans="1:18" ht="10.5" customHeight="1" x14ac:dyDescent="0.3">
      <c r="A252" s="18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101"/>
    </row>
    <row r="253" spans="1:18" ht="10.5" customHeight="1" x14ac:dyDescent="0.3">
      <c r="A253" s="456" t="s">
        <v>458</v>
      </c>
      <c r="B253" s="456"/>
      <c r="C253" s="456"/>
      <c r="D253" s="456"/>
      <c r="E253" s="456"/>
      <c r="F253" s="456"/>
      <c r="G253" s="456"/>
      <c r="H253" s="456"/>
      <c r="I253" s="20"/>
      <c r="J253" s="457" t="s">
        <v>458</v>
      </c>
      <c r="K253" s="457"/>
      <c r="L253" s="457"/>
      <c r="M253" s="457"/>
      <c r="N253" s="457"/>
      <c r="O253" s="457"/>
      <c r="P253" s="457"/>
      <c r="Q253" s="457"/>
      <c r="R253" s="457"/>
    </row>
    <row r="254" spans="1:18" ht="10.5" customHeight="1" x14ac:dyDescent="0.3">
      <c r="A254" s="53" t="s">
        <v>459</v>
      </c>
      <c r="B254" s="105"/>
      <c r="C254" s="105"/>
      <c r="D254" s="105"/>
      <c r="E254" s="115"/>
      <c r="F254" s="105"/>
      <c r="G254" s="105"/>
      <c r="H254" s="105"/>
      <c r="I254" s="20"/>
      <c r="J254" s="39" t="s">
        <v>460</v>
      </c>
      <c r="K254" s="39"/>
      <c r="L254" s="39"/>
      <c r="M254" s="39"/>
      <c r="N254" s="95"/>
      <c r="O254" s="95"/>
      <c r="P254" s="39"/>
      <c r="Q254" s="39"/>
      <c r="R254" s="114"/>
    </row>
    <row r="255" spans="1:18" ht="10.5" customHeight="1" x14ac:dyDescent="0.3">
      <c r="A255" s="456" t="s">
        <v>461</v>
      </c>
      <c r="B255" s="456"/>
      <c r="C255" s="456"/>
      <c r="D255" s="456"/>
      <c r="E255" s="456"/>
      <c r="F255" s="456"/>
      <c r="G255" s="456"/>
      <c r="H255" s="456"/>
      <c r="I255" s="20"/>
      <c r="J255" s="39" t="s">
        <v>462</v>
      </c>
      <c r="K255" s="39"/>
      <c r="L255" s="39"/>
      <c r="M255" s="39"/>
      <c r="N255" s="95"/>
      <c r="O255" s="95"/>
      <c r="P255" s="39"/>
      <c r="Q255" s="39"/>
      <c r="R255" s="114"/>
    </row>
    <row r="256" spans="1:18" ht="10.5" customHeight="1" x14ac:dyDescent="0.3">
      <c r="A256" s="458" t="s">
        <v>463</v>
      </c>
      <c r="B256" s="458"/>
      <c r="C256" s="458"/>
      <c r="D256" s="458"/>
      <c r="E256" s="458"/>
      <c r="F256" s="458"/>
      <c r="G256" s="458"/>
      <c r="H256" s="458"/>
      <c r="I256" s="83"/>
      <c r="J256" s="83"/>
      <c r="K256" s="83"/>
      <c r="L256" s="83"/>
      <c r="M256" s="83"/>
      <c r="N256" s="83"/>
      <c r="O256" s="83"/>
      <c r="P256" s="83"/>
      <c r="Q256" s="83"/>
      <c r="R256" s="116"/>
    </row>
    <row r="257" spans="1:18" ht="10.5" customHeight="1" x14ac:dyDescent="0.3">
      <c r="A257" s="39"/>
      <c r="B257" s="105"/>
      <c r="C257" s="105"/>
      <c r="D257" s="105"/>
      <c r="E257" s="105"/>
      <c r="F257" s="105"/>
      <c r="G257" s="105"/>
      <c r="H257" s="105"/>
      <c r="I257" s="20"/>
      <c r="J257" s="20"/>
      <c r="K257" s="20"/>
      <c r="L257" s="20"/>
      <c r="M257" s="20"/>
      <c r="N257" s="20"/>
      <c r="O257" s="20"/>
      <c r="P257" s="20"/>
      <c r="Q257" s="20"/>
      <c r="R257" s="20"/>
    </row>
    <row r="258" spans="1:18" ht="10.5" customHeight="1" x14ac:dyDescent="0.3">
      <c r="A258" s="47" t="s">
        <v>464</v>
      </c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50"/>
    </row>
    <row r="259" spans="1:18" ht="10.5" customHeight="1" x14ac:dyDescent="0.3">
      <c r="A259" s="18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101"/>
    </row>
    <row r="260" spans="1:18" ht="10.5" customHeight="1" x14ac:dyDescent="0.3">
      <c r="A260" s="99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101"/>
    </row>
    <row r="261" spans="1:18" ht="10.5" customHeight="1" x14ac:dyDescent="0.3">
      <c r="A261" s="117" t="s">
        <v>457</v>
      </c>
      <c r="B261" s="20"/>
      <c r="C261" s="20"/>
      <c r="D261" s="20"/>
      <c r="E261" s="20"/>
      <c r="F261" s="20"/>
      <c r="G261" s="20"/>
      <c r="H261" s="20"/>
      <c r="I261" s="20"/>
      <c r="J261" s="446" t="s">
        <v>78</v>
      </c>
      <c r="K261" s="446" t="s">
        <v>79</v>
      </c>
      <c r="L261" s="446"/>
      <c r="M261" s="446"/>
      <c r="N261" s="447" t="s">
        <v>80</v>
      </c>
      <c r="O261" s="434"/>
      <c r="P261" s="61"/>
      <c r="Q261" s="16" t="s">
        <v>81</v>
      </c>
      <c r="R261" s="17" t="s">
        <v>82</v>
      </c>
    </row>
    <row r="262" spans="1:18" ht="10.5" customHeight="1" x14ac:dyDescent="0.3">
      <c r="A262" s="118" t="s">
        <v>465</v>
      </c>
      <c r="B262" s="20"/>
      <c r="C262" s="20"/>
      <c r="D262" s="20"/>
      <c r="E262" s="20"/>
      <c r="F262" s="20"/>
      <c r="G262" s="20"/>
      <c r="H262" s="20"/>
      <c r="I262" s="20"/>
      <c r="J262" s="446"/>
      <c r="K262" s="446"/>
      <c r="L262" s="446"/>
      <c r="M262" s="446"/>
      <c r="N262" s="447"/>
      <c r="O262" s="369"/>
      <c r="P262" s="68" t="s">
        <v>83</v>
      </c>
      <c r="Q262" s="15" t="s">
        <v>84</v>
      </c>
      <c r="R262" s="15" t="s">
        <v>84</v>
      </c>
    </row>
    <row r="263" spans="1:18" ht="10.5" customHeight="1" x14ac:dyDescent="0.3">
      <c r="A263" s="118" t="s">
        <v>466</v>
      </c>
      <c r="B263" s="20"/>
      <c r="C263" s="20"/>
      <c r="D263" s="20"/>
      <c r="E263" s="20"/>
      <c r="F263" s="20"/>
      <c r="G263" s="20"/>
      <c r="H263" s="20"/>
      <c r="I263" s="20"/>
      <c r="J263" s="20" t="s">
        <v>467</v>
      </c>
      <c r="K263" s="20"/>
      <c r="L263" s="20"/>
      <c r="M263" s="20"/>
      <c r="N263" s="119"/>
      <c r="O263" s="119"/>
      <c r="P263" s="46"/>
      <c r="Q263" s="20"/>
      <c r="R263" s="120"/>
    </row>
    <row r="264" spans="1:18" ht="10.5" customHeight="1" thickBot="1" x14ac:dyDescent="0.35">
      <c r="A264" s="446" t="s">
        <v>78</v>
      </c>
      <c r="B264" s="446" t="s">
        <v>79</v>
      </c>
      <c r="C264" s="446"/>
      <c r="D264" s="446"/>
      <c r="E264" s="447" t="s">
        <v>80</v>
      </c>
      <c r="F264" s="61"/>
      <c r="G264" s="16" t="s">
        <v>81</v>
      </c>
      <c r="H264" s="17" t="s">
        <v>82</v>
      </c>
      <c r="I264" s="101"/>
      <c r="J264" s="121" t="s">
        <v>468</v>
      </c>
      <c r="K264" s="22">
        <v>3.8</v>
      </c>
      <c r="L264" s="23" t="s">
        <v>86</v>
      </c>
      <c r="M264" s="122">
        <v>11</v>
      </c>
      <c r="N264" s="25">
        <v>1000</v>
      </c>
      <c r="O264" s="25"/>
      <c r="P264" s="26">
        <v>0.36697089999999993</v>
      </c>
      <c r="Q264" s="28">
        <f>P264*$F$10</f>
        <v>15.779748699999997</v>
      </c>
      <c r="R264" s="28">
        <f>Q264-Q264*0.2</f>
        <v>12.623798959999998</v>
      </c>
    </row>
    <row r="265" spans="1:18" ht="10.5" customHeight="1" thickTop="1" x14ac:dyDescent="0.3">
      <c r="A265" s="446"/>
      <c r="B265" s="446"/>
      <c r="C265" s="446"/>
      <c r="D265" s="446"/>
      <c r="E265" s="447"/>
      <c r="F265" s="68" t="s">
        <v>83</v>
      </c>
      <c r="G265" s="15" t="s">
        <v>84</v>
      </c>
      <c r="H265" s="15" t="s">
        <v>84</v>
      </c>
      <c r="I265" s="20"/>
      <c r="J265" s="20" t="s">
        <v>469</v>
      </c>
      <c r="K265" s="20"/>
      <c r="L265" s="20"/>
      <c r="M265" s="20"/>
      <c r="N265" s="119"/>
      <c r="O265" s="119"/>
      <c r="P265" s="46"/>
      <c r="Q265" s="20"/>
      <c r="R265" s="120"/>
    </row>
    <row r="266" spans="1:18" ht="10.5" customHeight="1" x14ac:dyDescent="0.3">
      <c r="A266" s="123" t="s">
        <v>470</v>
      </c>
      <c r="B266" s="124">
        <v>3.5</v>
      </c>
      <c r="C266" s="75" t="s">
        <v>86</v>
      </c>
      <c r="D266" s="125">
        <v>25</v>
      </c>
      <c r="E266" s="77">
        <v>1000</v>
      </c>
      <c r="F266" s="126">
        <v>0.76</v>
      </c>
      <c r="G266" s="72">
        <f>F266*$F$10</f>
        <v>32.68</v>
      </c>
      <c r="H266" s="28">
        <f>G266-G266*0.2</f>
        <v>26.143999999999998</v>
      </c>
      <c r="I266" s="20"/>
      <c r="J266" s="79" t="s">
        <v>471</v>
      </c>
      <c r="K266" s="22">
        <v>3.5</v>
      </c>
      <c r="L266" s="23" t="s">
        <v>86</v>
      </c>
      <c r="M266" s="127">
        <v>9.5</v>
      </c>
      <c r="N266" s="25">
        <v>1000</v>
      </c>
      <c r="O266" s="25"/>
      <c r="P266" s="26">
        <v>0.46432659999999998</v>
      </c>
      <c r="Q266" s="28">
        <f>P266*$F$10</f>
        <v>19.966043799999998</v>
      </c>
      <c r="R266" s="28">
        <f>Q266-Q266*0.2</f>
        <v>15.972835039999998</v>
      </c>
    </row>
    <row r="267" spans="1:18" ht="10.5" customHeight="1" x14ac:dyDescent="0.3">
      <c r="A267" s="109" t="s">
        <v>472</v>
      </c>
      <c r="B267" s="128">
        <v>3.5</v>
      </c>
      <c r="C267" s="23" t="s">
        <v>86</v>
      </c>
      <c r="D267" s="129">
        <v>35</v>
      </c>
      <c r="E267" s="25">
        <v>500</v>
      </c>
      <c r="F267" s="126">
        <v>0.98</v>
      </c>
      <c r="G267" s="72">
        <f>F267*$F$10</f>
        <v>42.14</v>
      </c>
      <c r="H267" s="28">
        <f>G267-G267*0.2</f>
        <v>33.712000000000003</v>
      </c>
      <c r="I267" s="20"/>
      <c r="J267" s="79" t="s">
        <v>473</v>
      </c>
      <c r="K267" s="22">
        <v>3.5</v>
      </c>
      <c r="L267" s="23" t="s">
        <v>86</v>
      </c>
      <c r="M267" s="122">
        <v>11</v>
      </c>
      <c r="N267" s="25">
        <v>1000</v>
      </c>
      <c r="O267" s="25"/>
      <c r="P267" s="26">
        <v>0.51758099999999996</v>
      </c>
      <c r="Q267" s="28">
        <f>P267*$F$10</f>
        <v>22.255982999999997</v>
      </c>
      <c r="R267" s="28">
        <f>Q267-Q267*0.2</f>
        <v>17.804786399999998</v>
      </c>
    </row>
    <row r="268" spans="1:18" ht="10.5" customHeight="1" x14ac:dyDescent="0.3">
      <c r="A268" s="21" t="s">
        <v>474</v>
      </c>
      <c r="B268" s="128">
        <v>3.5</v>
      </c>
      <c r="C268" s="23" t="s">
        <v>86</v>
      </c>
      <c r="D268" s="129">
        <v>45</v>
      </c>
      <c r="E268" s="25">
        <v>500</v>
      </c>
      <c r="F268" s="130">
        <v>1.32</v>
      </c>
      <c r="G268" s="28">
        <f>F268*$F$10</f>
        <v>56.760000000000005</v>
      </c>
      <c r="H268" s="28">
        <f>G268-G268*0.2</f>
        <v>45.408000000000001</v>
      </c>
      <c r="I268" s="18"/>
      <c r="J268" s="39" t="s">
        <v>475</v>
      </c>
      <c r="K268" s="40"/>
      <c r="L268" s="41"/>
      <c r="M268" s="42"/>
      <c r="N268" s="43"/>
      <c r="O268" s="43"/>
      <c r="P268" s="44"/>
      <c r="Q268" s="131"/>
      <c r="R268" s="120"/>
    </row>
    <row r="269" spans="1:18" ht="10.5" customHeight="1" x14ac:dyDescent="0.3">
      <c r="A269" s="18"/>
      <c r="B269" s="20"/>
      <c r="C269" s="20"/>
      <c r="D269" s="20"/>
      <c r="E269" s="20"/>
      <c r="F269" s="20"/>
      <c r="G269" s="20"/>
      <c r="H269" s="20"/>
      <c r="I269" s="20"/>
      <c r="J269" s="79" t="s">
        <v>476</v>
      </c>
      <c r="K269" s="22">
        <v>3.5</v>
      </c>
      <c r="L269" s="23" t="s">
        <v>86</v>
      </c>
      <c r="M269" s="132">
        <v>9.5</v>
      </c>
      <c r="N269" s="25">
        <v>1000</v>
      </c>
      <c r="O269" s="25"/>
      <c r="P269" s="26">
        <v>0.47431179999999995</v>
      </c>
      <c r="Q269" s="28">
        <f>P269*$F$10</f>
        <v>20.395407399999996</v>
      </c>
      <c r="R269" s="28">
        <f>Q269-Q269*0.2</f>
        <v>16.316325919999997</v>
      </c>
    </row>
    <row r="270" spans="1:18" ht="10.5" customHeight="1" x14ac:dyDescent="0.3">
      <c r="A270" s="55"/>
      <c r="B270" s="83"/>
      <c r="C270" s="83"/>
      <c r="D270" s="83"/>
      <c r="E270" s="83"/>
      <c r="F270" s="83"/>
      <c r="G270" s="83"/>
      <c r="H270" s="83"/>
      <c r="I270" s="83"/>
      <c r="J270" s="79" t="s">
        <v>477</v>
      </c>
      <c r="K270" s="22">
        <v>3.8</v>
      </c>
      <c r="L270" s="23" t="s">
        <v>86</v>
      </c>
      <c r="M270" s="122">
        <v>11</v>
      </c>
      <c r="N270" s="25">
        <v>1000</v>
      </c>
      <c r="O270" s="25"/>
      <c r="P270" s="26">
        <v>0.54296004999999992</v>
      </c>
      <c r="Q270" s="28">
        <f>P270*$F$10</f>
        <v>23.347282149999998</v>
      </c>
      <c r="R270" s="28">
        <f>Q270-Q270*0.2</f>
        <v>18.677825719999998</v>
      </c>
    </row>
    <row r="271" spans="1:18" ht="10.5" customHeight="1" x14ac:dyDescent="0.3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</row>
    <row r="272" spans="1:18" ht="10.5" customHeight="1" x14ac:dyDescent="0.3">
      <c r="A272" s="107" t="s">
        <v>478</v>
      </c>
      <c r="B272" s="49"/>
      <c r="C272" s="49"/>
      <c r="D272" s="49"/>
      <c r="E272" s="49"/>
      <c r="F272" s="49"/>
      <c r="G272" s="49"/>
      <c r="H272" s="49"/>
      <c r="I272" s="49"/>
      <c r="J272" s="446" t="s">
        <v>78</v>
      </c>
      <c r="K272" s="446" t="s">
        <v>79</v>
      </c>
      <c r="L272" s="446"/>
      <c r="M272" s="446"/>
      <c r="N272" s="447" t="s">
        <v>80</v>
      </c>
      <c r="O272" s="434"/>
      <c r="P272" s="61"/>
      <c r="Q272" s="16" t="s">
        <v>81</v>
      </c>
      <c r="R272" s="17" t="s">
        <v>82</v>
      </c>
    </row>
    <row r="273" spans="1:18" ht="10.5" customHeight="1" thickTop="1" x14ac:dyDescent="0.3">
      <c r="A273" s="84"/>
      <c r="B273" s="20"/>
      <c r="C273" s="20"/>
      <c r="D273" s="20"/>
      <c r="E273" s="20"/>
      <c r="F273" s="20"/>
      <c r="G273" s="20"/>
      <c r="H273" s="20"/>
      <c r="I273" s="20"/>
      <c r="J273" s="446"/>
      <c r="K273" s="446"/>
      <c r="L273" s="446"/>
      <c r="M273" s="446"/>
      <c r="N273" s="447"/>
      <c r="O273" s="369"/>
      <c r="P273" s="68" t="s">
        <v>83</v>
      </c>
      <c r="Q273" s="104" t="s">
        <v>84</v>
      </c>
      <c r="R273" s="15" t="s">
        <v>84</v>
      </c>
    </row>
    <row r="274" spans="1:18" ht="10.5" customHeight="1" x14ac:dyDescent="0.3">
      <c r="A274" s="18"/>
      <c r="B274" s="20"/>
      <c r="C274" s="20"/>
      <c r="D274" s="20"/>
      <c r="E274" s="20"/>
      <c r="F274" s="20"/>
      <c r="G274" s="20"/>
      <c r="H274" s="20"/>
      <c r="I274" s="20"/>
      <c r="J274" s="79" t="s">
        <v>479</v>
      </c>
      <c r="K274" s="22">
        <v>4.2</v>
      </c>
      <c r="L274" s="23" t="s">
        <v>86</v>
      </c>
      <c r="M274" s="24">
        <v>19</v>
      </c>
      <c r="N274" s="94">
        <v>1000</v>
      </c>
      <c r="O274" s="94"/>
      <c r="P274" s="26">
        <v>0.72679999999731959</v>
      </c>
      <c r="Q274" s="133">
        <f t="shared" ref="Q274:Q279" si="39">P274*$F$10</f>
        <v>31.252399999884741</v>
      </c>
      <c r="R274" s="28">
        <f t="shared" ref="R274:R279" si="40">Q274-Q274*0.2</f>
        <v>25.001919999907791</v>
      </c>
    </row>
    <row r="275" spans="1:18" ht="10.5" customHeight="1" x14ac:dyDescent="0.3">
      <c r="A275" s="18"/>
      <c r="B275" s="20"/>
      <c r="C275" s="20"/>
      <c r="D275" s="20"/>
      <c r="E275" s="20"/>
      <c r="F275" s="20"/>
      <c r="G275" s="20"/>
      <c r="H275" s="20"/>
      <c r="I275" s="20"/>
      <c r="J275" s="79" t="s">
        <v>480</v>
      </c>
      <c r="K275" s="22">
        <v>4.2</v>
      </c>
      <c r="L275" s="23" t="s">
        <v>86</v>
      </c>
      <c r="M275" s="24">
        <v>25</v>
      </c>
      <c r="N275" s="94">
        <v>500</v>
      </c>
      <c r="O275" s="94"/>
      <c r="P275" s="26">
        <v>0.91079999970518133</v>
      </c>
      <c r="Q275" s="133">
        <f t="shared" si="39"/>
        <v>39.164399987322795</v>
      </c>
      <c r="R275" s="28">
        <f t="shared" si="40"/>
        <v>31.331519989858236</v>
      </c>
    </row>
    <row r="276" spans="1:18" ht="10.5" customHeight="1" x14ac:dyDescent="0.3">
      <c r="A276" s="53" t="s">
        <v>481</v>
      </c>
      <c r="B276" s="20"/>
      <c r="C276" s="20"/>
      <c r="D276" s="20"/>
      <c r="E276" s="20"/>
      <c r="F276" s="20"/>
      <c r="G276" s="20"/>
      <c r="H276" s="20"/>
      <c r="I276" s="20"/>
      <c r="J276" s="79" t="s">
        <v>482</v>
      </c>
      <c r="K276" s="22">
        <v>4.2</v>
      </c>
      <c r="L276" s="23" t="s">
        <v>86</v>
      </c>
      <c r="M276" s="24">
        <v>32</v>
      </c>
      <c r="N276" s="94">
        <v>500</v>
      </c>
      <c r="O276" s="94"/>
      <c r="P276" s="26">
        <v>1.0855975609756097</v>
      </c>
      <c r="Q276" s="133">
        <f t="shared" si="39"/>
        <v>46.680695121951217</v>
      </c>
      <c r="R276" s="28">
        <f t="shared" si="40"/>
        <v>37.344556097560975</v>
      </c>
    </row>
    <row r="277" spans="1:18" ht="10.5" customHeight="1" thickBot="1" x14ac:dyDescent="0.35">
      <c r="A277" s="446" t="s">
        <v>78</v>
      </c>
      <c r="B277" s="446" t="s">
        <v>79</v>
      </c>
      <c r="C277" s="446"/>
      <c r="D277" s="446"/>
      <c r="E277" s="447" t="s">
        <v>80</v>
      </c>
      <c r="F277" s="61"/>
      <c r="G277" s="16" t="s">
        <v>81</v>
      </c>
      <c r="H277" s="17" t="s">
        <v>82</v>
      </c>
      <c r="I277" s="20"/>
      <c r="J277" s="79" t="s">
        <v>483</v>
      </c>
      <c r="K277" s="22">
        <v>4.2</v>
      </c>
      <c r="L277" s="23" t="s">
        <v>86</v>
      </c>
      <c r="M277" s="24">
        <v>41</v>
      </c>
      <c r="N277" s="94">
        <v>250</v>
      </c>
      <c r="O277" s="94"/>
      <c r="P277" s="26">
        <v>1.3983999960151741</v>
      </c>
      <c r="Q277" s="133">
        <f t="shared" si="39"/>
        <v>60.131199828652484</v>
      </c>
      <c r="R277" s="28">
        <f t="shared" si="40"/>
        <v>48.104959862921987</v>
      </c>
    </row>
    <row r="278" spans="1:18" ht="10.5" customHeight="1" thickTop="1" x14ac:dyDescent="0.3">
      <c r="A278" s="446"/>
      <c r="B278" s="446"/>
      <c r="C278" s="446"/>
      <c r="D278" s="446"/>
      <c r="E278" s="447"/>
      <c r="F278" s="68" t="s">
        <v>83</v>
      </c>
      <c r="G278" s="15" t="s">
        <v>84</v>
      </c>
      <c r="H278" s="15" t="s">
        <v>84</v>
      </c>
      <c r="I278" s="20"/>
      <c r="J278" s="134" t="s">
        <v>484</v>
      </c>
      <c r="K278" s="32">
        <v>4.2</v>
      </c>
      <c r="L278" s="33" t="s">
        <v>86</v>
      </c>
      <c r="M278" s="34">
        <v>51</v>
      </c>
      <c r="N278" s="93">
        <v>250</v>
      </c>
      <c r="O278" s="93"/>
      <c r="P278" s="36">
        <v>1.6645829268292678</v>
      </c>
      <c r="Q278" s="133">
        <f t="shared" si="39"/>
        <v>71.57706585365851</v>
      </c>
      <c r="R278" s="38">
        <f t="shared" si="40"/>
        <v>57.261652682926808</v>
      </c>
    </row>
    <row r="279" spans="1:18" ht="10.5" customHeight="1" x14ac:dyDescent="0.3">
      <c r="A279" s="73" t="s">
        <v>485</v>
      </c>
      <c r="B279" s="74">
        <v>4.2</v>
      </c>
      <c r="C279" s="75" t="s">
        <v>86</v>
      </c>
      <c r="D279" s="76">
        <v>14</v>
      </c>
      <c r="E279" s="87">
        <v>1000</v>
      </c>
      <c r="F279" s="78">
        <v>0.63479999995782133</v>
      </c>
      <c r="G279" s="133">
        <f>F279*$F$10</f>
        <v>27.296399998186317</v>
      </c>
      <c r="H279" s="28">
        <f>G279-G279*0.2</f>
        <v>21.837119998549053</v>
      </c>
      <c r="I279" s="20"/>
      <c r="J279" s="121" t="s">
        <v>486</v>
      </c>
      <c r="K279" s="22">
        <v>4.2</v>
      </c>
      <c r="L279" s="23" t="s">
        <v>86</v>
      </c>
      <c r="M279" s="24">
        <v>65</v>
      </c>
      <c r="N279" s="94">
        <v>250</v>
      </c>
      <c r="O279" s="94"/>
      <c r="P279" s="26">
        <v>2.2435682926829266</v>
      </c>
      <c r="Q279" s="133">
        <f t="shared" si="39"/>
        <v>96.473436585365846</v>
      </c>
      <c r="R279" s="28">
        <f t="shared" si="40"/>
        <v>77.178749268292677</v>
      </c>
    </row>
    <row r="280" spans="1:18" ht="10.5" customHeight="1" x14ac:dyDescent="0.3">
      <c r="A280" s="79" t="s">
        <v>487</v>
      </c>
      <c r="B280" s="22">
        <v>4.2</v>
      </c>
      <c r="C280" s="23" t="s">
        <v>86</v>
      </c>
      <c r="D280" s="24">
        <v>16</v>
      </c>
      <c r="E280" s="94">
        <v>1000</v>
      </c>
      <c r="F280" s="26">
        <v>0.6715999998441442</v>
      </c>
      <c r="G280" s="135">
        <f>F280*$F$10</f>
        <v>28.878799993298202</v>
      </c>
      <c r="H280" s="28">
        <f>G280-G280*0.2</f>
        <v>23.103039994638561</v>
      </c>
      <c r="I280" s="83"/>
      <c r="J280" s="83"/>
      <c r="K280" s="83"/>
      <c r="L280" s="83"/>
      <c r="M280" s="83"/>
      <c r="N280" s="83"/>
      <c r="O280" s="83"/>
      <c r="P280" s="83"/>
      <c r="Q280" s="83"/>
      <c r="R280" s="116"/>
    </row>
    <row r="281" spans="1:18" ht="10.5" customHeight="1" x14ac:dyDescent="0.3">
      <c r="A281" s="39"/>
      <c r="B281" s="40"/>
      <c r="C281" s="41"/>
      <c r="D281" s="42"/>
      <c r="E281" s="97"/>
      <c r="F281" s="44"/>
      <c r="G281" s="131"/>
      <c r="H281" s="46"/>
      <c r="I281" s="20"/>
      <c r="J281" s="20"/>
      <c r="K281" s="20"/>
      <c r="L281" s="20"/>
      <c r="M281" s="20"/>
      <c r="N281" s="20"/>
      <c r="O281" s="20"/>
      <c r="P281" s="20"/>
      <c r="Q281" s="20"/>
      <c r="R281" s="20"/>
    </row>
    <row r="282" spans="1:18" ht="10.5" customHeight="1" x14ac:dyDescent="0.3">
      <c r="A282" s="39"/>
      <c r="B282" s="40"/>
      <c r="C282" s="41"/>
      <c r="D282" s="42"/>
      <c r="E282" s="97"/>
      <c r="F282" s="44"/>
      <c r="G282" s="131"/>
      <c r="H282" s="46"/>
      <c r="I282" s="20"/>
      <c r="J282" s="20"/>
      <c r="K282" s="20"/>
      <c r="L282" s="20"/>
      <c r="M282" s="20"/>
      <c r="N282" s="20"/>
      <c r="O282" s="20"/>
      <c r="P282" s="20"/>
      <c r="Q282" s="20"/>
      <c r="R282" s="20"/>
    </row>
    <row r="283" spans="1:18" ht="10.5" customHeight="1" x14ac:dyDescent="0.3">
      <c r="A283" s="107" t="s">
        <v>488</v>
      </c>
      <c r="B283" s="49"/>
      <c r="C283" s="49"/>
      <c r="D283" s="49"/>
      <c r="E283" s="49"/>
      <c r="F283" s="49"/>
      <c r="G283" s="49"/>
      <c r="H283" s="49"/>
      <c r="I283" s="49"/>
      <c r="J283" s="446" t="s">
        <v>78</v>
      </c>
      <c r="K283" s="446" t="s">
        <v>79</v>
      </c>
      <c r="L283" s="446"/>
      <c r="M283" s="446"/>
      <c r="N283" s="447" t="s">
        <v>80</v>
      </c>
      <c r="O283" s="434"/>
      <c r="P283" s="61"/>
      <c r="Q283" s="16" t="s">
        <v>81</v>
      </c>
      <c r="R283" s="17" t="s">
        <v>82</v>
      </c>
    </row>
    <row r="284" spans="1:18" ht="10.5" customHeight="1" thickTop="1" x14ac:dyDescent="0.3">
      <c r="A284" s="18"/>
      <c r="B284" s="20"/>
      <c r="C284" s="20"/>
      <c r="D284" s="20"/>
      <c r="E284" s="20"/>
      <c r="F284" s="20"/>
      <c r="G284" s="20"/>
      <c r="H284" s="20"/>
      <c r="I284" s="20"/>
      <c r="J284" s="446"/>
      <c r="K284" s="446"/>
      <c r="L284" s="446"/>
      <c r="M284" s="446"/>
      <c r="N284" s="447"/>
      <c r="O284" s="369"/>
      <c r="P284" s="68" t="s">
        <v>83</v>
      </c>
      <c r="Q284" s="15" t="s">
        <v>84</v>
      </c>
      <c r="R284" s="15" t="s">
        <v>84</v>
      </c>
    </row>
    <row r="285" spans="1:18" ht="10.5" customHeight="1" x14ac:dyDescent="0.3">
      <c r="A285" s="18"/>
      <c r="B285" s="20"/>
      <c r="C285" s="20"/>
      <c r="D285" s="20"/>
      <c r="E285" s="20"/>
      <c r="F285" s="20"/>
      <c r="G285" s="20"/>
      <c r="H285" s="20"/>
      <c r="I285" s="20"/>
      <c r="J285" s="79" t="s">
        <v>489</v>
      </c>
      <c r="K285" s="22">
        <v>4.2</v>
      </c>
      <c r="L285" s="23" t="s">
        <v>86</v>
      </c>
      <c r="M285" s="24">
        <v>19</v>
      </c>
      <c r="N285" s="94">
        <v>1000</v>
      </c>
      <c r="O285" s="94"/>
      <c r="P285" s="26">
        <v>0.85559999316623614</v>
      </c>
      <c r="Q285" s="135">
        <f t="shared" ref="Q285:Q290" si="41">P285*$F$10</f>
        <v>36.790799706148157</v>
      </c>
      <c r="R285" s="28">
        <f t="shared" ref="R285:R290" si="42">Q285-Q285*0.2</f>
        <v>29.432639764918527</v>
      </c>
    </row>
    <row r="286" spans="1:18" ht="10.5" customHeight="1" x14ac:dyDescent="0.3">
      <c r="A286" s="136"/>
      <c r="B286" s="20"/>
      <c r="C286" s="20"/>
      <c r="D286" s="20"/>
      <c r="E286" s="20"/>
      <c r="F286" s="20"/>
      <c r="G286" s="20"/>
      <c r="H286" s="20"/>
      <c r="I286" s="20"/>
      <c r="J286" s="79" t="s">
        <v>490</v>
      </c>
      <c r="K286" s="22">
        <v>4.2</v>
      </c>
      <c r="L286" s="23" t="s">
        <v>86</v>
      </c>
      <c r="M286" s="24">
        <v>25</v>
      </c>
      <c r="N286" s="94">
        <v>500</v>
      </c>
      <c r="O286" s="94"/>
      <c r="P286" s="26">
        <v>1.0303999999735731</v>
      </c>
      <c r="Q286" s="135">
        <f t="shared" si="41"/>
        <v>44.307199998863645</v>
      </c>
      <c r="R286" s="28">
        <f t="shared" si="42"/>
        <v>35.445759999090917</v>
      </c>
    </row>
    <row r="287" spans="1:18" ht="10.5" customHeight="1" x14ac:dyDescent="0.3">
      <c r="A287" s="53" t="s">
        <v>481</v>
      </c>
      <c r="B287" s="20"/>
      <c r="C287" s="20"/>
      <c r="D287" s="20"/>
      <c r="E287" s="20"/>
      <c r="F287" s="20"/>
      <c r="G287" s="20"/>
      <c r="H287" s="20"/>
      <c r="I287" s="20"/>
      <c r="J287" s="79" t="s">
        <v>491</v>
      </c>
      <c r="K287" s="22">
        <v>4.2</v>
      </c>
      <c r="L287" s="23" t="s">
        <v>86</v>
      </c>
      <c r="M287" s="24">
        <v>32</v>
      </c>
      <c r="N287" s="94">
        <v>500</v>
      </c>
      <c r="O287" s="94"/>
      <c r="P287" s="26">
        <v>1.3339998989108701</v>
      </c>
      <c r="Q287" s="135">
        <f t="shared" si="41"/>
        <v>57.361995653167412</v>
      </c>
      <c r="R287" s="28">
        <f t="shared" si="42"/>
        <v>45.889596522533928</v>
      </c>
    </row>
    <row r="288" spans="1:18" ht="10.5" customHeight="1" thickBot="1" x14ac:dyDescent="0.35">
      <c r="A288" s="452" t="s">
        <v>78</v>
      </c>
      <c r="B288" s="446" t="s">
        <v>79</v>
      </c>
      <c r="C288" s="446"/>
      <c r="D288" s="446"/>
      <c r="E288" s="447" t="s">
        <v>80</v>
      </c>
      <c r="F288" s="61"/>
      <c r="G288" s="16" t="s">
        <v>81</v>
      </c>
      <c r="H288" s="17" t="s">
        <v>82</v>
      </c>
      <c r="I288" s="20"/>
      <c r="J288" s="79" t="s">
        <v>492</v>
      </c>
      <c r="K288" s="22">
        <v>4.2</v>
      </c>
      <c r="L288" s="23" t="s">
        <v>86</v>
      </c>
      <c r="M288" s="24">
        <v>41</v>
      </c>
      <c r="N288" s="94">
        <v>250</v>
      </c>
      <c r="O288" s="94"/>
      <c r="P288" s="26">
        <v>1.6743999988644294</v>
      </c>
      <c r="Q288" s="135">
        <f t="shared" si="41"/>
        <v>71.999199951170468</v>
      </c>
      <c r="R288" s="28">
        <f t="shared" si="42"/>
        <v>57.599359960936376</v>
      </c>
    </row>
    <row r="289" spans="1:18" ht="10.5" customHeight="1" thickTop="1" x14ac:dyDescent="0.3">
      <c r="A289" s="452"/>
      <c r="B289" s="446"/>
      <c r="C289" s="446"/>
      <c r="D289" s="446"/>
      <c r="E289" s="447"/>
      <c r="F289" s="68" t="s">
        <v>83</v>
      </c>
      <c r="G289" s="15" t="s">
        <v>84</v>
      </c>
      <c r="H289" s="15" t="s">
        <v>84</v>
      </c>
      <c r="I289" s="20"/>
      <c r="J289" s="21" t="s">
        <v>493</v>
      </c>
      <c r="K289" s="22">
        <v>4.2</v>
      </c>
      <c r="L289" s="23" t="s">
        <v>86</v>
      </c>
      <c r="M289" s="24">
        <v>51</v>
      </c>
      <c r="N289" s="94">
        <v>250</v>
      </c>
      <c r="O289" s="94"/>
      <c r="P289" s="26">
        <v>2.0975999815420576</v>
      </c>
      <c r="Q289" s="135">
        <f t="shared" si="41"/>
        <v>90.196799206308484</v>
      </c>
      <c r="R289" s="28">
        <f t="shared" si="42"/>
        <v>72.157439365046784</v>
      </c>
    </row>
    <row r="290" spans="1:18" ht="10.5" customHeight="1" x14ac:dyDescent="0.3">
      <c r="A290" s="21" t="s">
        <v>494</v>
      </c>
      <c r="B290" s="74">
        <v>4.2</v>
      </c>
      <c r="C290" s="75" t="s">
        <v>86</v>
      </c>
      <c r="D290" s="76">
        <v>14</v>
      </c>
      <c r="E290" s="87">
        <v>1000</v>
      </c>
      <c r="F290" s="78">
        <v>0.74519998724386971</v>
      </c>
      <c r="G290" s="135">
        <f>F290*$F$10</f>
        <v>32.043599451486401</v>
      </c>
      <c r="H290" s="28">
        <f>G290-G290*0.2</f>
        <v>25.63487956118912</v>
      </c>
      <c r="I290" s="20"/>
      <c r="J290" s="21" t="s">
        <v>495</v>
      </c>
      <c r="K290" s="22">
        <v>4.2</v>
      </c>
      <c r="L290" s="23" t="s">
        <v>86</v>
      </c>
      <c r="M290" s="24">
        <v>65</v>
      </c>
      <c r="N290" s="94">
        <v>250</v>
      </c>
      <c r="O290" s="94"/>
      <c r="P290" s="26">
        <v>2.5391999801586005</v>
      </c>
      <c r="Q290" s="133">
        <f t="shared" si="41"/>
        <v>109.18559914681983</v>
      </c>
      <c r="R290" s="28">
        <f t="shared" si="42"/>
        <v>87.348479317455855</v>
      </c>
    </row>
    <row r="291" spans="1:18" ht="10.5" customHeight="1" x14ac:dyDescent="0.3">
      <c r="A291" s="79" t="s">
        <v>496</v>
      </c>
      <c r="B291" s="22">
        <v>4.2</v>
      </c>
      <c r="C291" s="23" t="s">
        <v>86</v>
      </c>
      <c r="D291" s="24">
        <v>16</v>
      </c>
      <c r="E291" s="94">
        <v>1000</v>
      </c>
      <c r="F291" s="26">
        <v>0.8003999977238011</v>
      </c>
      <c r="G291" s="135">
        <f>F291*$F$10</f>
        <v>34.41719990212345</v>
      </c>
      <c r="H291" s="28">
        <f>G291-G291*0.2</f>
        <v>27.53375992169876</v>
      </c>
      <c r="I291" s="83"/>
      <c r="J291" s="83"/>
      <c r="K291" s="83"/>
      <c r="L291" s="83"/>
      <c r="M291" s="83"/>
      <c r="N291" s="83"/>
      <c r="O291" s="83"/>
      <c r="P291" s="83"/>
      <c r="Q291" s="83"/>
      <c r="R291" s="116"/>
    </row>
    <row r="292" spans="1:18" ht="10.5" customHeight="1" x14ac:dyDescent="0.3">
      <c r="A292" s="39"/>
      <c r="B292" s="40"/>
      <c r="C292" s="41"/>
      <c r="D292" s="42"/>
      <c r="E292" s="97"/>
      <c r="F292" s="44"/>
      <c r="G292" s="131"/>
      <c r="H292" s="46"/>
      <c r="I292" s="20"/>
      <c r="J292" s="20"/>
      <c r="K292" s="20"/>
      <c r="L292" s="20"/>
      <c r="M292" s="20"/>
      <c r="N292" s="20"/>
      <c r="O292" s="20"/>
      <c r="P292" s="20"/>
      <c r="Q292" s="20"/>
      <c r="R292" s="20"/>
    </row>
    <row r="293" spans="1:18" ht="10.5" customHeight="1" x14ac:dyDescent="0.3">
      <c r="A293" s="107" t="s">
        <v>497</v>
      </c>
      <c r="B293" s="49"/>
      <c r="C293" s="49"/>
      <c r="D293" s="49"/>
      <c r="E293" s="49"/>
      <c r="F293" s="49"/>
      <c r="G293" s="49"/>
      <c r="H293" s="49"/>
      <c r="I293" s="49"/>
      <c r="J293" s="446" t="s">
        <v>78</v>
      </c>
      <c r="K293" s="446" t="s">
        <v>79</v>
      </c>
      <c r="L293" s="446"/>
      <c r="M293" s="446"/>
      <c r="N293" s="447" t="s">
        <v>80</v>
      </c>
      <c r="O293" s="434"/>
      <c r="P293" s="61"/>
      <c r="Q293" s="16" t="s">
        <v>81</v>
      </c>
      <c r="R293" s="17" t="s">
        <v>82</v>
      </c>
    </row>
    <row r="294" spans="1:18" ht="10.5" customHeight="1" thickTop="1" x14ac:dyDescent="0.3">
      <c r="A294" s="99" t="s">
        <v>498</v>
      </c>
      <c r="B294" s="20"/>
      <c r="C294" s="20"/>
      <c r="D294" s="20"/>
      <c r="E294" s="20"/>
      <c r="F294" s="20"/>
      <c r="G294" s="20"/>
      <c r="H294" s="20"/>
      <c r="I294" s="20"/>
      <c r="J294" s="446"/>
      <c r="K294" s="446"/>
      <c r="L294" s="446"/>
      <c r="M294" s="446"/>
      <c r="N294" s="447"/>
      <c r="O294" s="369"/>
      <c r="P294" s="68" t="s">
        <v>83</v>
      </c>
      <c r="Q294" s="15" t="s">
        <v>84</v>
      </c>
      <c r="R294" s="15" t="s">
        <v>84</v>
      </c>
    </row>
    <row r="295" spans="1:18" ht="10.5" customHeight="1" x14ac:dyDescent="0.3">
      <c r="A295" s="18"/>
      <c r="B295" s="20"/>
      <c r="C295" s="20"/>
      <c r="D295" s="20"/>
      <c r="E295" s="20"/>
      <c r="F295" s="20"/>
      <c r="G295" s="20"/>
      <c r="H295" s="20"/>
      <c r="I295" s="20"/>
      <c r="J295" s="79" t="str">
        <f>0&amp;10250006</f>
        <v>010250006</v>
      </c>
      <c r="K295" s="32">
        <v>3.5</v>
      </c>
      <c r="L295" s="33" t="s">
        <v>86</v>
      </c>
      <c r="M295" s="34">
        <v>41</v>
      </c>
      <c r="N295" s="35">
        <v>500</v>
      </c>
      <c r="O295" s="436"/>
      <c r="P295" s="137">
        <v>0.76</v>
      </c>
      <c r="Q295" s="135">
        <f t="shared" ref="Q295:Q306" si="43">P295*$F$10</f>
        <v>32.68</v>
      </c>
      <c r="R295" s="28">
        <f t="shared" ref="R295:R306" si="44">Q295-Q295*0.2</f>
        <v>26.143999999999998</v>
      </c>
    </row>
    <row r="296" spans="1:18" ht="10.5" customHeight="1" x14ac:dyDescent="0.3">
      <c r="A296" s="18"/>
      <c r="B296" s="20"/>
      <c r="C296" s="20"/>
      <c r="D296" s="20"/>
      <c r="E296" s="20"/>
      <c r="F296" s="20"/>
      <c r="G296" s="20"/>
      <c r="H296" s="20"/>
      <c r="I296" s="20"/>
      <c r="J296" s="79" t="str">
        <f>0&amp;10250007</f>
        <v>010250007</v>
      </c>
      <c r="K296" s="32">
        <v>3.5</v>
      </c>
      <c r="L296" s="33" t="s">
        <v>86</v>
      </c>
      <c r="M296" s="34">
        <v>45</v>
      </c>
      <c r="N296" s="25">
        <v>500</v>
      </c>
      <c r="O296" s="25"/>
      <c r="P296" s="26">
        <v>0.83</v>
      </c>
      <c r="Q296" s="135">
        <f t="shared" si="43"/>
        <v>35.69</v>
      </c>
      <c r="R296" s="28">
        <f t="shared" si="44"/>
        <v>28.552</v>
      </c>
    </row>
    <row r="297" spans="1:18" ht="10.5" customHeight="1" x14ac:dyDescent="0.3">
      <c r="A297" s="138" t="s">
        <v>457</v>
      </c>
      <c r="B297" s="20"/>
      <c r="C297" s="20"/>
      <c r="D297" s="20"/>
      <c r="E297" s="20"/>
      <c r="F297" s="20"/>
      <c r="G297" s="20"/>
      <c r="H297" s="20"/>
      <c r="I297" s="20"/>
      <c r="J297" s="79" t="str">
        <f>0&amp;10250008</f>
        <v>010250008</v>
      </c>
      <c r="K297" s="22">
        <v>3.5</v>
      </c>
      <c r="L297" s="23" t="s">
        <v>86</v>
      </c>
      <c r="M297" s="24">
        <v>51</v>
      </c>
      <c r="N297" s="25">
        <v>250</v>
      </c>
      <c r="O297" s="25"/>
      <c r="P297" s="26">
        <v>0.95</v>
      </c>
      <c r="Q297" s="135">
        <f t="shared" si="43"/>
        <v>40.85</v>
      </c>
      <c r="R297" s="28">
        <f t="shared" si="44"/>
        <v>32.68</v>
      </c>
    </row>
    <row r="298" spans="1:18" ht="10.5" customHeight="1" x14ac:dyDescent="0.3">
      <c r="A298" s="118" t="s">
        <v>499</v>
      </c>
      <c r="B298" s="20"/>
      <c r="C298" s="20"/>
      <c r="D298" s="20"/>
      <c r="E298" s="20"/>
      <c r="F298" s="20"/>
      <c r="G298" s="20"/>
      <c r="H298" s="20"/>
      <c r="I298" s="20"/>
      <c r="J298" s="79" t="str">
        <f>0&amp;10250009</f>
        <v>010250009</v>
      </c>
      <c r="K298" s="74">
        <v>3.5</v>
      </c>
      <c r="L298" s="75" t="s">
        <v>86</v>
      </c>
      <c r="M298" s="76">
        <v>55</v>
      </c>
      <c r="N298" s="77">
        <v>250</v>
      </c>
      <c r="O298" s="437"/>
      <c r="P298" s="126">
        <v>1.01</v>
      </c>
      <c r="Q298" s="135">
        <f t="shared" si="43"/>
        <v>43.43</v>
      </c>
      <c r="R298" s="28">
        <f t="shared" si="44"/>
        <v>34.744</v>
      </c>
    </row>
    <row r="299" spans="1:18" ht="10.5" customHeight="1" x14ac:dyDescent="0.3">
      <c r="A299" s="118" t="s">
        <v>500</v>
      </c>
      <c r="B299" s="20"/>
      <c r="C299" s="20"/>
      <c r="D299" s="20"/>
      <c r="E299" s="20"/>
      <c r="F299" s="20"/>
      <c r="G299" s="20"/>
      <c r="H299" s="20"/>
      <c r="I299" s="20"/>
      <c r="J299" s="79" t="str">
        <f>0&amp;10250010</f>
        <v>010250010</v>
      </c>
      <c r="K299" s="22">
        <v>3.8</v>
      </c>
      <c r="L299" s="23" t="s">
        <v>86</v>
      </c>
      <c r="M299" s="24">
        <v>64</v>
      </c>
      <c r="N299" s="25">
        <v>250</v>
      </c>
      <c r="O299" s="438"/>
      <c r="P299" s="130">
        <v>1.24</v>
      </c>
      <c r="Q299" s="135">
        <f t="shared" si="43"/>
        <v>53.32</v>
      </c>
      <c r="R299" s="28">
        <f t="shared" si="44"/>
        <v>42.655999999999999</v>
      </c>
    </row>
    <row r="300" spans="1:18" ht="10.5" customHeight="1" thickBot="1" x14ac:dyDescent="0.35">
      <c r="A300" s="452" t="s">
        <v>78</v>
      </c>
      <c r="B300" s="446" t="s">
        <v>79</v>
      </c>
      <c r="C300" s="446"/>
      <c r="D300" s="446"/>
      <c r="E300" s="447" t="s">
        <v>80</v>
      </c>
      <c r="F300" s="61"/>
      <c r="G300" s="16" t="s">
        <v>81</v>
      </c>
      <c r="H300" s="17" t="s">
        <v>82</v>
      </c>
      <c r="I300" s="20"/>
      <c r="J300" s="79" t="str">
        <f>0&amp;10250011</f>
        <v>010250011</v>
      </c>
      <c r="K300" s="22">
        <v>4.2</v>
      </c>
      <c r="L300" s="23" t="s">
        <v>86</v>
      </c>
      <c r="M300" s="24">
        <v>70</v>
      </c>
      <c r="N300" s="25">
        <v>200</v>
      </c>
      <c r="O300" s="438"/>
      <c r="P300" s="130">
        <v>1.48</v>
      </c>
      <c r="Q300" s="135">
        <f t="shared" si="43"/>
        <v>63.64</v>
      </c>
      <c r="R300" s="28">
        <f t="shared" si="44"/>
        <v>50.911999999999999</v>
      </c>
    </row>
    <row r="301" spans="1:18" ht="10.5" customHeight="1" thickTop="1" x14ac:dyDescent="0.3">
      <c r="A301" s="452"/>
      <c r="B301" s="446"/>
      <c r="C301" s="446"/>
      <c r="D301" s="446"/>
      <c r="E301" s="447"/>
      <c r="F301" s="68" t="s">
        <v>83</v>
      </c>
      <c r="G301" s="15" t="s">
        <v>84</v>
      </c>
      <c r="H301" s="15" t="s">
        <v>84</v>
      </c>
      <c r="I301" s="20"/>
      <c r="J301" s="79" t="str">
        <f>0&amp;10250012</f>
        <v>010250012</v>
      </c>
      <c r="K301" s="22">
        <v>4.2</v>
      </c>
      <c r="L301" s="23" t="s">
        <v>86</v>
      </c>
      <c r="M301" s="24">
        <v>76</v>
      </c>
      <c r="N301" s="25">
        <v>200</v>
      </c>
      <c r="O301" s="438"/>
      <c r="P301" s="130">
        <v>1.61</v>
      </c>
      <c r="Q301" s="135">
        <f t="shared" si="43"/>
        <v>69.23</v>
      </c>
      <c r="R301" s="28">
        <f t="shared" si="44"/>
        <v>55.384</v>
      </c>
    </row>
    <row r="302" spans="1:18" ht="10.5" customHeight="1" x14ac:dyDescent="0.3">
      <c r="A302" s="73" t="str">
        <f>0&amp;10250001</f>
        <v>010250001</v>
      </c>
      <c r="B302" s="74">
        <v>3.5</v>
      </c>
      <c r="C302" s="75" t="s">
        <v>86</v>
      </c>
      <c r="D302" s="76">
        <v>16</v>
      </c>
      <c r="E302" s="77">
        <v>1000</v>
      </c>
      <c r="F302" s="126">
        <v>0.35</v>
      </c>
      <c r="G302" s="135">
        <f>F302*$F$10</f>
        <v>15.049999999999999</v>
      </c>
      <c r="H302" s="28">
        <f>G302-G302*0.2</f>
        <v>12.04</v>
      </c>
      <c r="I302" s="20"/>
      <c r="J302" s="79" t="str">
        <f>0&amp;10250013</f>
        <v>010250013</v>
      </c>
      <c r="K302" s="22">
        <v>4.8</v>
      </c>
      <c r="L302" s="23" t="s">
        <v>86</v>
      </c>
      <c r="M302" s="24">
        <v>90</v>
      </c>
      <c r="N302" s="25">
        <v>100</v>
      </c>
      <c r="O302" s="438"/>
      <c r="P302" s="130">
        <v>1.92</v>
      </c>
      <c r="Q302" s="135">
        <f t="shared" si="43"/>
        <v>82.56</v>
      </c>
      <c r="R302" s="28">
        <f t="shared" si="44"/>
        <v>66.048000000000002</v>
      </c>
    </row>
    <row r="303" spans="1:18" ht="10.5" customHeight="1" x14ac:dyDescent="0.3">
      <c r="A303" s="79" t="str">
        <f>0&amp;10250002</f>
        <v>010250002</v>
      </c>
      <c r="B303" s="22">
        <v>3.5</v>
      </c>
      <c r="C303" s="23" t="s">
        <v>86</v>
      </c>
      <c r="D303" s="24">
        <v>19</v>
      </c>
      <c r="E303" s="25">
        <v>1000</v>
      </c>
      <c r="F303" s="130">
        <v>0.4</v>
      </c>
      <c r="G303" s="135">
        <f>F303*$F$10</f>
        <v>17.2</v>
      </c>
      <c r="H303" s="28">
        <f>G303-G303*0.2</f>
        <v>13.76</v>
      </c>
      <c r="I303" s="20"/>
      <c r="J303" s="79" t="str">
        <f>0&amp;10250014</f>
        <v>010250014</v>
      </c>
      <c r="K303" s="22">
        <v>4.8</v>
      </c>
      <c r="L303" s="23" t="s">
        <v>86</v>
      </c>
      <c r="M303" s="24">
        <v>95</v>
      </c>
      <c r="N303" s="25">
        <v>100</v>
      </c>
      <c r="O303" s="438"/>
      <c r="P303" s="130">
        <v>2.69</v>
      </c>
      <c r="Q303" s="135">
        <f t="shared" si="43"/>
        <v>115.67</v>
      </c>
      <c r="R303" s="28">
        <f t="shared" si="44"/>
        <v>92.536000000000001</v>
      </c>
    </row>
    <row r="304" spans="1:18" ht="10.5" customHeight="1" x14ac:dyDescent="0.3">
      <c r="A304" s="79" t="str">
        <f>0&amp;10250003</f>
        <v>010250003</v>
      </c>
      <c r="B304" s="22">
        <v>3.5</v>
      </c>
      <c r="C304" s="23" t="s">
        <v>86</v>
      </c>
      <c r="D304" s="24">
        <v>25</v>
      </c>
      <c r="E304" s="25">
        <v>1000</v>
      </c>
      <c r="F304" s="130">
        <v>0.51</v>
      </c>
      <c r="G304" s="135">
        <f>F304*$F$10</f>
        <v>21.93</v>
      </c>
      <c r="H304" s="28">
        <f>G304-G304*0.2</f>
        <v>17.544</v>
      </c>
      <c r="I304" s="20"/>
      <c r="J304" s="79" t="str">
        <f>0&amp;10250015</f>
        <v>010250015</v>
      </c>
      <c r="K304" s="22">
        <v>4.8</v>
      </c>
      <c r="L304" s="23" t="s">
        <v>359</v>
      </c>
      <c r="M304" s="24">
        <v>100</v>
      </c>
      <c r="N304" s="25">
        <v>100</v>
      </c>
      <c r="O304" s="438"/>
      <c r="P304" s="130">
        <v>2.88</v>
      </c>
      <c r="Q304" s="135">
        <f t="shared" si="43"/>
        <v>123.83999999999999</v>
      </c>
      <c r="R304" s="28">
        <f t="shared" si="44"/>
        <v>99.071999999999989</v>
      </c>
    </row>
    <row r="305" spans="1:18" ht="10.5" customHeight="1" x14ac:dyDescent="0.3">
      <c r="A305" s="79" t="str">
        <f>0&amp;10250004</f>
        <v>010250004</v>
      </c>
      <c r="B305" s="22">
        <v>3.5</v>
      </c>
      <c r="C305" s="23" t="s">
        <v>86</v>
      </c>
      <c r="D305" s="24">
        <v>32</v>
      </c>
      <c r="E305" s="25">
        <v>500</v>
      </c>
      <c r="F305" s="130">
        <v>0.62</v>
      </c>
      <c r="G305" s="135">
        <f>F305*$F$10</f>
        <v>26.66</v>
      </c>
      <c r="H305" s="28">
        <f>G305-G305*0.2</f>
        <v>21.327999999999999</v>
      </c>
      <c r="I305" s="20"/>
      <c r="J305" s="79" t="str">
        <f>0&amp;10250016</f>
        <v>010250016</v>
      </c>
      <c r="K305" s="22">
        <v>4.8</v>
      </c>
      <c r="L305" s="23" t="s">
        <v>86</v>
      </c>
      <c r="M305" s="24">
        <v>127</v>
      </c>
      <c r="N305" s="25">
        <v>100</v>
      </c>
      <c r="O305" s="438"/>
      <c r="P305" s="130">
        <v>3.41</v>
      </c>
      <c r="Q305" s="135">
        <f t="shared" si="43"/>
        <v>146.63</v>
      </c>
      <c r="R305" s="28">
        <f t="shared" si="44"/>
        <v>117.304</v>
      </c>
    </row>
    <row r="306" spans="1:18" ht="10.5" customHeight="1" x14ac:dyDescent="0.3">
      <c r="A306" s="79" t="str">
        <f>0&amp;10250005</f>
        <v>010250005</v>
      </c>
      <c r="B306" s="22">
        <v>3.5</v>
      </c>
      <c r="C306" s="23" t="s">
        <v>86</v>
      </c>
      <c r="D306" s="24">
        <v>35</v>
      </c>
      <c r="E306" s="25">
        <v>500</v>
      </c>
      <c r="F306" s="130">
        <v>0.67</v>
      </c>
      <c r="G306" s="135">
        <f>F306*$F$10</f>
        <v>28.810000000000002</v>
      </c>
      <c r="H306" s="28">
        <f>G306-G306*0.2</f>
        <v>23.048000000000002</v>
      </c>
      <c r="I306" s="83"/>
      <c r="J306" s="21" t="str">
        <f>0&amp;10250017</f>
        <v>010250017</v>
      </c>
      <c r="K306" s="51">
        <v>4.8</v>
      </c>
      <c r="L306" s="23" t="s">
        <v>86</v>
      </c>
      <c r="M306" s="24">
        <v>152</v>
      </c>
      <c r="N306" s="25">
        <v>100</v>
      </c>
      <c r="O306" s="438"/>
      <c r="P306" s="130">
        <v>4.3099999999999996</v>
      </c>
      <c r="Q306" s="135">
        <f t="shared" si="43"/>
        <v>185.32999999999998</v>
      </c>
      <c r="R306" s="28">
        <f t="shared" si="44"/>
        <v>148.26399999999998</v>
      </c>
    </row>
    <row r="307" spans="1:18" ht="10.5" customHeight="1" x14ac:dyDescent="0.3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</row>
    <row r="308" spans="1:18" ht="10.5" customHeight="1" x14ac:dyDescent="0.3">
      <c r="A308" s="107" t="s">
        <v>501</v>
      </c>
      <c r="B308" s="49"/>
      <c r="C308" s="49"/>
      <c r="D308" s="49"/>
      <c r="E308" s="49"/>
      <c r="F308" s="49"/>
      <c r="G308" s="49"/>
      <c r="H308" s="49"/>
      <c r="I308" s="49"/>
      <c r="J308" s="446" t="s">
        <v>78</v>
      </c>
      <c r="K308" s="446" t="s">
        <v>79</v>
      </c>
      <c r="L308" s="446"/>
      <c r="M308" s="446"/>
      <c r="N308" s="447" t="s">
        <v>80</v>
      </c>
      <c r="O308" s="434"/>
      <c r="P308" s="61"/>
      <c r="Q308" s="16" t="s">
        <v>81</v>
      </c>
      <c r="R308" s="17" t="s">
        <v>82</v>
      </c>
    </row>
    <row r="309" spans="1:18" ht="10.5" customHeight="1" thickTop="1" x14ac:dyDescent="0.3">
      <c r="A309" s="99" t="s">
        <v>502</v>
      </c>
      <c r="B309" s="20"/>
      <c r="C309" s="20"/>
      <c r="D309" s="20"/>
      <c r="E309" s="20"/>
      <c r="F309" s="20"/>
      <c r="G309" s="20"/>
      <c r="H309" s="20"/>
      <c r="I309" s="20"/>
      <c r="J309" s="446"/>
      <c r="K309" s="446"/>
      <c r="L309" s="446"/>
      <c r="M309" s="446"/>
      <c r="N309" s="447"/>
      <c r="O309" s="369"/>
      <c r="P309" s="68" t="s">
        <v>83</v>
      </c>
      <c r="Q309" s="15" t="s">
        <v>84</v>
      </c>
      <c r="R309" s="15" t="s">
        <v>84</v>
      </c>
    </row>
    <row r="310" spans="1:18" ht="10.5" customHeight="1" x14ac:dyDescent="0.3">
      <c r="A310" s="18"/>
      <c r="B310" s="20"/>
      <c r="C310" s="20"/>
      <c r="D310" s="20"/>
      <c r="E310" s="20"/>
      <c r="F310" s="20"/>
      <c r="G310" s="20"/>
      <c r="H310" s="20"/>
      <c r="I310" s="20"/>
      <c r="J310" s="79" t="str">
        <f>0&amp;10260006</f>
        <v>010260006</v>
      </c>
      <c r="K310" s="32">
        <v>3.5</v>
      </c>
      <c r="L310" s="33" t="s">
        <v>86</v>
      </c>
      <c r="M310" s="34">
        <v>41</v>
      </c>
      <c r="N310" s="35">
        <v>500</v>
      </c>
      <c r="O310" s="436"/>
      <c r="P310" s="137">
        <v>0.76</v>
      </c>
      <c r="Q310" s="72">
        <f t="shared" ref="Q310:Q321" si="45">P310*$F$10</f>
        <v>32.68</v>
      </c>
      <c r="R310" s="28">
        <f t="shared" ref="R310:R321" si="46">Q310-Q310*0.2</f>
        <v>26.143999999999998</v>
      </c>
    </row>
    <row r="311" spans="1:18" ht="10.5" customHeight="1" x14ac:dyDescent="0.3">
      <c r="A311" s="18"/>
      <c r="B311" s="20"/>
      <c r="C311" s="20"/>
      <c r="D311" s="20"/>
      <c r="E311" s="20"/>
      <c r="F311" s="20"/>
      <c r="G311" s="20"/>
      <c r="H311" s="20"/>
      <c r="I311" s="20"/>
      <c r="J311" s="79" t="str">
        <f>0&amp;10260007</f>
        <v>010260007</v>
      </c>
      <c r="K311" s="32">
        <v>3.5</v>
      </c>
      <c r="L311" s="33" t="s">
        <v>86</v>
      </c>
      <c r="M311" s="34">
        <v>45</v>
      </c>
      <c r="N311" s="25">
        <v>500</v>
      </c>
      <c r="O311" s="25"/>
      <c r="P311" s="26">
        <v>0.83</v>
      </c>
      <c r="Q311" s="72">
        <f t="shared" si="45"/>
        <v>35.69</v>
      </c>
      <c r="R311" s="28">
        <f t="shared" si="46"/>
        <v>28.552</v>
      </c>
    </row>
    <row r="312" spans="1:18" ht="10.5" customHeight="1" x14ac:dyDescent="0.3">
      <c r="A312" s="18"/>
      <c r="B312" s="20"/>
      <c r="C312" s="20"/>
      <c r="D312" s="20"/>
      <c r="E312" s="20"/>
      <c r="F312" s="20"/>
      <c r="G312" s="20"/>
      <c r="H312" s="20"/>
      <c r="I312" s="20"/>
      <c r="J312" s="79" t="str">
        <f>0&amp;10260008</f>
        <v>010260008</v>
      </c>
      <c r="K312" s="22">
        <v>3.5</v>
      </c>
      <c r="L312" s="23" t="s">
        <v>86</v>
      </c>
      <c r="M312" s="24">
        <v>51</v>
      </c>
      <c r="N312" s="25">
        <v>250</v>
      </c>
      <c r="O312" s="25"/>
      <c r="P312" s="26">
        <v>0.95</v>
      </c>
      <c r="Q312" s="72">
        <f t="shared" si="45"/>
        <v>40.85</v>
      </c>
      <c r="R312" s="28">
        <f t="shared" si="46"/>
        <v>32.68</v>
      </c>
    </row>
    <row r="313" spans="1:18" ht="10.5" customHeight="1" x14ac:dyDescent="0.3">
      <c r="A313" s="29" t="s">
        <v>499</v>
      </c>
      <c r="B313" s="20"/>
      <c r="C313" s="20"/>
      <c r="D313" s="20"/>
      <c r="E313" s="20"/>
      <c r="F313" s="20"/>
      <c r="G313" s="20"/>
      <c r="H313" s="20"/>
      <c r="I313" s="20"/>
      <c r="J313" s="79" t="str">
        <f>0&amp;10260009</f>
        <v>010260009</v>
      </c>
      <c r="K313" s="74">
        <v>3.5</v>
      </c>
      <c r="L313" s="75" t="s">
        <v>86</v>
      </c>
      <c r="M313" s="76">
        <v>55</v>
      </c>
      <c r="N313" s="77">
        <v>250</v>
      </c>
      <c r="O313" s="437"/>
      <c r="P313" s="126">
        <v>1.01</v>
      </c>
      <c r="Q313" s="72">
        <f t="shared" si="45"/>
        <v>43.43</v>
      </c>
      <c r="R313" s="28">
        <f t="shared" si="46"/>
        <v>34.744</v>
      </c>
    </row>
    <row r="314" spans="1:18" ht="10.5" customHeight="1" x14ac:dyDescent="0.3">
      <c r="A314" s="29" t="s">
        <v>503</v>
      </c>
      <c r="B314" s="20"/>
      <c r="C314" s="20"/>
      <c r="D314" s="20"/>
      <c r="E314" s="20"/>
      <c r="F314" s="20"/>
      <c r="G314" s="20"/>
      <c r="H314" s="20"/>
      <c r="I314" s="20"/>
      <c r="J314" s="79" t="str">
        <f>0&amp;10260010</f>
        <v>010260010</v>
      </c>
      <c r="K314" s="22">
        <v>3.8</v>
      </c>
      <c r="L314" s="23" t="s">
        <v>86</v>
      </c>
      <c r="M314" s="24">
        <v>64</v>
      </c>
      <c r="N314" s="25">
        <v>250</v>
      </c>
      <c r="O314" s="438"/>
      <c r="P314" s="130">
        <v>1.24</v>
      </c>
      <c r="Q314" s="72">
        <f t="shared" si="45"/>
        <v>53.32</v>
      </c>
      <c r="R314" s="28">
        <f t="shared" si="46"/>
        <v>42.655999999999999</v>
      </c>
    </row>
    <row r="315" spans="1:18" ht="10.5" customHeight="1" thickBot="1" x14ac:dyDescent="0.35">
      <c r="A315" s="452" t="s">
        <v>78</v>
      </c>
      <c r="B315" s="452" t="s">
        <v>79</v>
      </c>
      <c r="C315" s="452"/>
      <c r="D315" s="452"/>
      <c r="E315" s="453" t="s">
        <v>80</v>
      </c>
      <c r="F315" s="61"/>
      <c r="G315" s="16" t="s">
        <v>81</v>
      </c>
      <c r="H315" s="17" t="s">
        <v>82</v>
      </c>
      <c r="I315" s="20"/>
      <c r="J315" s="79" t="str">
        <f>0&amp;10260011</f>
        <v>010260011</v>
      </c>
      <c r="K315" s="22">
        <v>4.2</v>
      </c>
      <c r="L315" s="23" t="s">
        <v>86</v>
      </c>
      <c r="M315" s="24">
        <v>70</v>
      </c>
      <c r="N315" s="25">
        <v>200</v>
      </c>
      <c r="O315" s="438"/>
      <c r="P315" s="130">
        <v>1.54</v>
      </c>
      <c r="Q315" s="72">
        <f t="shared" si="45"/>
        <v>66.22</v>
      </c>
      <c r="R315" s="28">
        <f t="shared" si="46"/>
        <v>52.975999999999999</v>
      </c>
    </row>
    <row r="316" spans="1:18" ht="10.5" customHeight="1" thickTop="1" x14ac:dyDescent="0.3">
      <c r="A316" s="452"/>
      <c r="B316" s="452"/>
      <c r="C316" s="452"/>
      <c r="D316" s="452"/>
      <c r="E316" s="453"/>
      <c r="F316" s="103" t="s">
        <v>83</v>
      </c>
      <c r="G316" s="104" t="s">
        <v>84</v>
      </c>
      <c r="H316" s="104" t="s">
        <v>84</v>
      </c>
      <c r="I316" s="20"/>
      <c r="J316" s="79" t="str">
        <f>0&amp;10260012</f>
        <v>010260012</v>
      </c>
      <c r="K316" s="22">
        <v>4.2</v>
      </c>
      <c r="L316" s="23" t="s">
        <v>86</v>
      </c>
      <c r="M316" s="24">
        <v>76</v>
      </c>
      <c r="N316" s="25">
        <v>200</v>
      </c>
      <c r="O316" s="438"/>
      <c r="P316" s="130">
        <v>1.61</v>
      </c>
      <c r="Q316" s="72">
        <f t="shared" si="45"/>
        <v>69.23</v>
      </c>
      <c r="R316" s="28">
        <f t="shared" si="46"/>
        <v>55.384</v>
      </c>
    </row>
    <row r="317" spans="1:18" ht="10.5" customHeight="1" x14ac:dyDescent="0.3">
      <c r="A317" s="79" t="str">
        <f>0&amp;10260001</f>
        <v>010260001</v>
      </c>
      <c r="B317" s="22">
        <v>3.5</v>
      </c>
      <c r="C317" s="23" t="s">
        <v>86</v>
      </c>
      <c r="D317" s="24">
        <v>16</v>
      </c>
      <c r="E317" s="25">
        <v>1000</v>
      </c>
      <c r="F317" s="126">
        <v>0.35</v>
      </c>
      <c r="G317" s="133">
        <f>F317*$F$10</f>
        <v>15.049999999999999</v>
      </c>
      <c r="H317" s="28">
        <f>G317-G317*0.2</f>
        <v>12.04</v>
      </c>
      <c r="I317" s="20"/>
      <c r="J317" s="79" t="str">
        <f>0&amp;10260013</f>
        <v>010260013</v>
      </c>
      <c r="K317" s="22">
        <v>4.8</v>
      </c>
      <c r="L317" s="23" t="s">
        <v>86</v>
      </c>
      <c r="M317" s="24">
        <v>90</v>
      </c>
      <c r="N317" s="25">
        <v>100</v>
      </c>
      <c r="O317" s="438"/>
      <c r="P317" s="130">
        <v>1.92</v>
      </c>
      <c r="Q317" s="72">
        <f t="shared" si="45"/>
        <v>82.56</v>
      </c>
      <c r="R317" s="28">
        <f t="shared" si="46"/>
        <v>66.048000000000002</v>
      </c>
    </row>
    <row r="318" spans="1:18" ht="10.5" customHeight="1" x14ac:dyDescent="0.3">
      <c r="A318" s="79" t="str">
        <f>0&amp;10260002</f>
        <v>010260002</v>
      </c>
      <c r="B318" s="22">
        <v>3.5</v>
      </c>
      <c r="C318" s="23" t="s">
        <v>86</v>
      </c>
      <c r="D318" s="24">
        <v>19</v>
      </c>
      <c r="E318" s="25">
        <v>1000</v>
      </c>
      <c r="F318" s="130">
        <v>0.4</v>
      </c>
      <c r="G318" s="72">
        <f>F318*$F$10</f>
        <v>17.2</v>
      </c>
      <c r="H318" s="28">
        <f>G318-G318*0.2</f>
        <v>13.76</v>
      </c>
      <c r="I318" s="20"/>
      <c r="J318" s="79" t="str">
        <f>0&amp;10260014</f>
        <v>010260014</v>
      </c>
      <c r="K318" s="22">
        <v>4.8</v>
      </c>
      <c r="L318" s="23" t="s">
        <v>86</v>
      </c>
      <c r="M318" s="24">
        <v>95</v>
      </c>
      <c r="N318" s="25">
        <v>100</v>
      </c>
      <c r="O318" s="438"/>
      <c r="P318" s="130">
        <v>2.69</v>
      </c>
      <c r="Q318" s="72">
        <f t="shared" si="45"/>
        <v>115.67</v>
      </c>
      <c r="R318" s="28">
        <f t="shared" si="46"/>
        <v>92.536000000000001</v>
      </c>
    </row>
    <row r="319" spans="1:18" ht="10.5" customHeight="1" x14ac:dyDescent="0.3">
      <c r="A319" s="79" t="str">
        <f>0&amp;10260003</f>
        <v>010260003</v>
      </c>
      <c r="B319" s="22">
        <v>3.5</v>
      </c>
      <c r="C319" s="23" t="s">
        <v>86</v>
      </c>
      <c r="D319" s="24">
        <v>25</v>
      </c>
      <c r="E319" s="25">
        <v>1000</v>
      </c>
      <c r="F319" s="130">
        <v>0.51</v>
      </c>
      <c r="G319" s="72">
        <f>F319*$F$10</f>
        <v>21.93</v>
      </c>
      <c r="H319" s="28">
        <f>G319-G319*0.2</f>
        <v>17.544</v>
      </c>
      <c r="I319" s="20"/>
      <c r="J319" s="79" t="str">
        <f>0&amp;10260015</f>
        <v>010260015</v>
      </c>
      <c r="K319" s="22">
        <v>4.8</v>
      </c>
      <c r="L319" s="23" t="s">
        <v>359</v>
      </c>
      <c r="M319" s="24">
        <v>100</v>
      </c>
      <c r="N319" s="25">
        <v>100</v>
      </c>
      <c r="O319" s="438"/>
      <c r="P319" s="130">
        <v>2.88</v>
      </c>
      <c r="Q319" s="72">
        <f t="shared" si="45"/>
        <v>123.83999999999999</v>
      </c>
      <c r="R319" s="28">
        <f t="shared" si="46"/>
        <v>99.071999999999989</v>
      </c>
    </row>
    <row r="320" spans="1:18" ht="10.5" customHeight="1" x14ac:dyDescent="0.3">
      <c r="A320" s="79" t="str">
        <f>0&amp;10260004</f>
        <v>010260004</v>
      </c>
      <c r="B320" s="22">
        <v>3.5</v>
      </c>
      <c r="C320" s="23" t="s">
        <v>86</v>
      </c>
      <c r="D320" s="24">
        <v>32</v>
      </c>
      <c r="E320" s="25">
        <v>500</v>
      </c>
      <c r="F320" s="130">
        <v>0.62</v>
      </c>
      <c r="G320" s="72">
        <f>F320*$F$10</f>
        <v>26.66</v>
      </c>
      <c r="H320" s="28">
        <f>G320-G320*0.2</f>
        <v>21.327999999999999</v>
      </c>
      <c r="I320" s="20"/>
      <c r="J320" s="79" t="str">
        <f>0&amp;10260016</f>
        <v>010260016</v>
      </c>
      <c r="K320" s="22">
        <v>4.8</v>
      </c>
      <c r="L320" s="23" t="s">
        <v>86</v>
      </c>
      <c r="M320" s="24">
        <v>127</v>
      </c>
      <c r="N320" s="25">
        <v>100</v>
      </c>
      <c r="O320" s="438"/>
      <c r="P320" s="130">
        <v>3.42</v>
      </c>
      <c r="Q320" s="72">
        <f t="shared" si="45"/>
        <v>147.06</v>
      </c>
      <c r="R320" s="28">
        <f t="shared" si="46"/>
        <v>117.648</v>
      </c>
    </row>
    <row r="321" spans="1:18" ht="10.5" customHeight="1" x14ac:dyDescent="0.3">
      <c r="A321" s="79" t="str">
        <f>0&amp;10260005</f>
        <v>010260005</v>
      </c>
      <c r="B321" s="22">
        <v>3.5</v>
      </c>
      <c r="C321" s="23" t="s">
        <v>86</v>
      </c>
      <c r="D321" s="24">
        <v>35</v>
      </c>
      <c r="E321" s="25">
        <v>500</v>
      </c>
      <c r="F321" s="130">
        <v>0.67</v>
      </c>
      <c r="G321" s="72">
        <f>F321*$F$10</f>
        <v>28.810000000000002</v>
      </c>
      <c r="H321" s="28">
        <f>G321-G321*0.2</f>
        <v>23.048000000000002</v>
      </c>
      <c r="I321" s="83"/>
      <c r="J321" s="79" t="str">
        <f>0&amp;10260017</f>
        <v>010260017</v>
      </c>
      <c r="K321" s="22">
        <v>4.8</v>
      </c>
      <c r="L321" s="23" t="s">
        <v>86</v>
      </c>
      <c r="M321" s="24">
        <v>152</v>
      </c>
      <c r="N321" s="25">
        <v>100</v>
      </c>
      <c r="O321" s="438"/>
      <c r="P321" s="130">
        <v>4.47</v>
      </c>
      <c r="Q321" s="72">
        <f t="shared" si="45"/>
        <v>192.20999999999998</v>
      </c>
      <c r="R321" s="28">
        <f t="shared" si="46"/>
        <v>153.76799999999997</v>
      </c>
    </row>
    <row r="322" spans="1:18" ht="10.5" customHeight="1" x14ac:dyDescent="0.3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</row>
    <row r="323" spans="1:18" ht="10.5" customHeight="1" x14ac:dyDescent="0.3">
      <c r="A323" s="47" t="s">
        <v>504</v>
      </c>
      <c r="B323" s="48" t="s">
        <v>505</v>
      </c>
      <c r="C323" s="49"/>
      <c r="D323" s="49"/>
      <c r="E323" s="49"/>
      <c r="F323" s="49"/>
      <c r="G323" s="49"/>
      <c r="H323" s="49"/>
      <c r="I323" s="49"/>
      <c r="J323" s="452" t="s">
        <v>78</v>
      </c>
      <c r="K323" s="452" t="s">
        <v>79</v>
      </c>
      <c r="L323" s="452"/>
      <c r="M323" s="452"/>
      <c r="N323" s="453" t="s">
        <v>80</v>
      </c>
      <c r="O323" s="434"/>
      <c r="P323" s="61"/>
      <c r="Q323" s="16" t="s">
        <v>81</v>
      </c>
      <c r="R323" s="17" t="s">
        <v>82</v>
      </c>
    </row>
    <row r="324" spans="1:18" ht="10.5" customHeight="1" thickTop="1" x14ac:dyDescent="0.3">
      <c r="A324" s="18"/>
      <c r="B324" s="20"/>
      <c r="C324" s="20"/>
      <c r="D324" s="20"/>
      <c r="E324" s="20"/>
      <c r="F324" s="20"/>
      <c r="G324" s="20"/>
      <c r="H324" s="20"/>
      <c r="I324" s="20"/>
      <c r="J324" s="452"/>
      <c r="K324" s="452"/>
      <c r="L324" s="452"/>
      <c r="M324" s="452"/>
      <c r="N324" s="453"/>
      <c r="O324" s="171"/>
      <c r="P324" s="103" t="s">
        <v>83</v>
      </c>
      <c r="Q324" s="104" t="s">
        <v>84</v>
      </c>
      <c r="R324" s="104" t="s">
        <v>84</v>
      </c>
    </row>
    <row r="325" spans="1:18" ht="10.5" customHeight="1" x14ac:dyDescent="0.3">
      <c r="A325" s="18"/>
      <c r="B325" s="20"/>
      <c r="C325" s="20"/>
      <c r="D325" s="20"/>
      <c r="E325" s="20"/>
      <c r="F325" s="20"/>
      <c r="G325" s="20"/>
      <c r="H325" s="20"/>
      <c r="I325" s="20"/>
      <c r="J325" s="79" t="str">
        <f>0&amp;1030&amp;K325*10&amp;M325</f>
        <v>010303916</v>
      </c>
      <c r="K325" s="22">
        <v>3.9</v>
      </c>
      <c r="L325" s="23" t="s">
        <v>86</v>
      </c>
      <c r="M325" s="24">
        <v>16</v>
      </c>
      <c r="N325" s="94">
        <v>1000</v>
      </c>
      <c r="O325" s="94"/>
      <c r="P325" s="26">
        <v>0.98</v>
      </c>
      <c r="Q325" s="28">
        <f>P325*$F$10</f>
        <v>42.14</v>
      </c>
      <c r="R325" s="28">
        <f>Q325-Q325*0.2</f>
        <v>33.712000000000003</v>
      </c>
    </row>
    <row r="326" spans="1:18" ht="10.5" customHeight="1" x14ac:dyDescent="0.3">
      <c r="A326" s="18"/>
      <c r="B326" s="20"/>
      <c r="C326" s="20"/>
      <c r="D326" s="20"/>
      <c r="E326" s="20"/>
      <c r="F326" s="20"/>
      <c r="G326" s="20"/>
      <c r="H326" s="20"/>
      <c r="I326" s="20"/>
      <c r="J326" s="79" t="str">
        <f>0&amp;1030&amp;K326*10&amp;M326</f>
        <v>010303919</v>
      </c>
      <c r="K326" s="22">
        <v>3.9</v>
      </c>
      <c r="L326" s="23" t="s">
        <v>86</v>
      </c>
      <c r="M326" s="24">
        <v>19</v>
      </c>
      <c r="N326" s="94">
        <v>1000</v>
      </c>
      <c r="O326" s="94"/>
      <c r="P326" s="26">
        <v>1.01</v>
      </c>
      <c r="Q326" s="28">
        <f>P326*$F$10</f>
        <v>43.43</v>
      </c>
      <c r="R326" s="28">
        <f>Q326-Q326*0.2</f>
        <v>34.744</v>
      </c>
    </row>
    <row r="327" spans="1:18" ht="10.5" customHeight="1" x14ac:dyDescent="0.3">
      <c r="A327" s="118" t="s">
        <v>506</v>
      </c>
      <c r="B327" s="20"/>
      <c r="C327" s="20"/>
      <c r="D327" s="20"/>
      <c r="E327" s="20"/>
      <c r="F327" s="20"/>
      <c r="G327" s="20"/>
      <c r="H327" s="20"/>
      <c r="I327" s="20"/>
      <c r="J327" s="79" t="str">
        <f>0&amp;1030&amp;K327*10&amp;M327</f>
        <v>010303925</v>
      </c>
      <c r="K327" s="22">
        <v>3.9</v>
      </c>
      <c r="L327" s="23" t="s">
        <v>86</v>
      </c>
      <c r="M327" s="24">
        <v>25</v>
      </c>
      <c r="N327" s="94">
        <v>1000</v>
      </c>
      <c r="O327" s="94"/>
      <c r="P327" s="26">
        <v>1.29</v>
      </c>
      <c r="Q327" s="28">
        <f>P327*$F$10</f>
        <v>55.47</v>
      </c>
      <c r="R327" s="28">
        <f>Q327-Q327*0.2</f>
        <v>44.375999999999998</v>
      </c>
    </row>
    <row r="328" spans="1:18" ht="10.5" customHeight="1" x14ac:dyDescent="0.3">
      <c r="A328" s="139" t="s">
        <v>507</v>
      </c>
      <c r="B328" s="83"/>
      <c r="C328" s="83"/>
      <c r="D328" s="83"/>
      <c r="E328" s="83"/>
      <c r="F328" s="83"/>
      <c r="G328" s="83"/>
      <c r="H328" s="83"/>
      <c r="I328" s="83"/>
      <c r="J328" s="79" t="str">
        <f>0&amp;1030&amp;K328*10&amp;M328</f>
        <v>010303932</v>
      </c>
      <c r="K328" s="22">
        <v>3.9</v>
      </c>
      <c r="L328" s="23" t="s">
        <v>86</v>
      </c>
      <c r="M328" s="24">
        <v>32</v>
      </c>
      <c r="N328" s="94">
        <v>1000</v>
      </c>
      <c r="O328" s="94"/>
      <c r="P328" s="26">
        <v>1.62</v>
      </c>
      <c r="Q328" s="28">
        <f>P328*$F$10</f>
        <v>69.660000000000011</v>
      </c>
      <c r="R328" s="28">
        <f>Q328-Q328*0.2</f>
        <v>55.728000000000009</v>
      </c>
    </row>
    <row r="329" spans="1:18" ht="10.5" customHeight="1" x14ac:dyDescent="0.3">
      <c r="A329" s="39"/>
      <c r="B329" s="20"/>
      <c r="C329" s="20"/>
      <c r="D329" s="20"/>
      <c r="E329" s="20"/>
      <c r="F329" s="20"/>
      <c r="G329" s="20"/>
      <c r="H329" s="20"/>
      <c r="I329" s="20"/>
      <c r="J329" s="39"/>
      <c r="K329" s="40"/>
      <c r="L329" s="41"/>
      <c r="M329" s="42"/>
      <c r="N329" s="97"/>
      <c r="O329" s="97"/>
      <c r="P329" s="44"/>
      <c r="Q329" s="46"/>
      <c r="R329" s="46"/>
    </row>
    <row r="330" spans="1:18" ht="10.5" customHeight="1" x14ac:dyDescent="0.3">
      <c r="A330" s="47" t="s">
        <v>508</v>
      </c>
      <c r="B330" s="140"/>
      <c r="C330" s="140"/>
      <c r="D330" s="140"/>
      <c r="E330" s="140"/>
      <c r="F330" s="140"/>
      <c r="G330" s="140"/>
      <c r="H330" s="140"/>
      <c r="I330" s="140"/>
      <c r="J330" s="446" t="s">
        <v>78</v>
      </c>
      <c r="K330" s="452" t="s">
        <v>79</v>
      </c>
      <c r="L330" s="452"/>
      <c r="M330" s="452"/>
      <c r="N330" s="453" t="s">
        <v>80</v>
      </c>
      <c r="O330" s="434"/>
      <c r="P330" s="61"/>
      <c r="Q330" s="16" t="s">
        <v>81</v>
      </c>
      <c r="R330" s="17" t="s">
        <v>82</v>
      </c>
    </row>
    <row r="331" spans="1:18" ht="10.5" customHeight="1" thickTop="1" x14ac:dyDescent="0.3">
      <c r="A331" s="141" t="s">
        <v>509</v>
      </c>
      <c r="B331" s="20"/>
      <c r="C331" s="20"/>
      <c r="D331" s="20"/>
      <c r="E331" s="20"/>
      <c r="F331" s="20"/>
      <c r="G331" s="20"/>
      <c r="H331" s="20"/>
      <c r="I331" s="20"/>
      <c r="J331" s="446"/>
      <c r="K331" s="452"/>
      <c r="L331" s="452"/>
      <c r="M331" s="452"/>
      <c r="N331" s="453"/>
      <c r="O331" s="171"/>
      <c r="P331" s="68" t="s">
        <v>83</v>
      </c>
      <c r="Q331" s="15" t="s">
        <v>84</v>
      </c>
      <c r="R331" s="15" t="s">
        <v>84</v>
      </c>
    </row>
    <row r="332" spans="1:18" ht="10.5" customHeight="1" x14ac:dyDescent="0.3">
      <c r="A332" s="18"/>
      <c r="B332" s="20"/>
      <c r="C332" s="20"/>
      <c r="D332" s="20"/>
      <c r="E332" s="20"/>
      <c r="F332" s="20"/>
      <c r="G332" s="20"/>
      <c r="H332" s="20"/>
      <c r="I332" s="20"/>
      <c r="J332" s="21" t="str">
        <f t="shared" ref="J332:J339" si="47">0&amp;1033&amp;K332*10&amp;M332</f>
        <v>010333935</v>
      </c>
      <c r="K332" s="142">
        <v>3.9</v>
      </c>
      <c r="L332" s="23" t="s">
        <v>86</v>
      </c>
      <c r="M332" s="24">
        <v>35</v>
      </c>
      <c r="N332" s="94">
        <v>500</v>
      </c>
      <c r="O332" s="94"/>
      <c r="P332" s="26">
        <v>1.4</v>
      </c>
      <c r="Q332" s="143">
        <f t="shared" ref="Q332:Q339" si="48">P332*$F$10</f>
        <v>60.199999999999996</v>
      </c>
      <c r="R332" s="28">
        <f t="shared" ref="R332:R339" si="49">Q332-Q332*0.2</f>
        <v>48.16</v>
      </c>
    </row>
    <row r="333" spans="1:18" ht="10.5" customHeight="1" x14ac:dyDescent="0.3">
      <c r="A333" s="18"/>
      <c r="B333" s="20"/>
      <c r="C333" s="20"/>
      <c r="D333" s="20"/>
      <c r="E333" s="20"/>
      <c r="F333" s="20"/>
      <c r="G333" s="20"/>
      <c r="H333" s="20"/>
      <c r="I333" s="20"/>
      <c r="J333" s="21" t="str">
        <f t="shared" si="47"/>
        <v>010333940</v>
      </c>
      <c r="K333" s="142">
        <v>3.9</v>
      </c>
      <c r="L333" s="23" t="s">
        <v>86</v>
      </c>
      <c r="M333" s="24">
        <v>40</v>
      </c>
      <c r="N333" s="66">
        <v>500</v>
      </c>
      <c r="O333" s="66"/>
      <c r="P333" s="26">
        <v>1.57</v>
      </c>
      <c r="Q333" s="143">
        <f t="shared" si="48"/>
        <v>67.510000000000005</v>
      </c>
      <c r="R333" s="28">
        <f t="shared" si="49"/>
        <v>54.008000000000003</v>
      </c>
    </row>
    <row r="334" spans="1:18" ht="10.5" customHeight="1" x14ac:dyDescent="0.3">
      <c r="A334" s="29" t="s">
        <v>510</v>
      </c>
      <c r="B334" s="20"/>
      <c r="C334" s="20"/>
      <c r="D334" s="20"/>
      <c r="E334" s="20"/>
      <c r="F334" s="20"/>
      <c r="G334" s="20"/>
      <c r="H334" s="20"/>
      <c r="I334" s="20"/>
      <c r="J334" s="21" t="str">
        <f t="shared" si="47"/>
        <v>010334025</v>
      </c>
      <c r="K334" s="142">
        <v>4</v>
      </c>
      <c r="L334" s="23" t="s">
        <v>86</v>
      </c>
      <c r="M334" s="24">
        <v>25</v>
      </c>
      <c r="N334" s="66">
        <v>1000</v>
      </c>
      <c r="O334" s="66"/>
      <c r="P334" s="26">
        <v>0.87847804878048785</v>
      </c>
      <c r="Q334" s="143">
        <f t="shared" si="48"/>
        <v>37.774556097560975</v>
      </c>
      <c r="R334" s="28">
        <f t="shared" si="49"/>
        <v>30.219644878048779</v>
      </c>
    </row>
    <row r="335" spans="1:18" ht="10.5" customHeight="1" x14ac:dyDescent="0.3">
      <c r="A335" s="29" t="s">
        <v>511</v>
      </c>
      <c r="B335" s="20"/>
      <c r="C335" s="20"/>
      <c r="D335" s="20"/>
      <c r="E335" s="20"/>
      <c r="F335" s="20"/>
      <c r="G335" s="20"/>
      <c r="H335" s="20"/>
      <c r="I335" s="20"/>
      <c r="J335" s="21" t="str">
        <f t="shared" si="47"/>
        <v>010334030</v>
      </c>
      <c r="K335" s="142">
        <v>4</v>
      </c>
      <c r="L335" s="23" t="s">
        <v>86</v>
      </c>
      <c r="M335" s="24">
        <v>30</v>
      </c>
      <c r="N335" s="66">
        <v>1000</v>
      </c>
      <c r="O335" s="66"/>
      <c r="P335" s="26">
        <v>1.0955975609756097</v>
      </c>
      <c r="Q335" s="143">
        <f t="shared" si="48"/>
        <v>47.110695121951217</v>
      </c>
      <c r="R335" s="28">
        <f t="shared" si="49"/>
        <v>37.688556097560976</v>
      </c>
    </row>
    <row r="336" spans="1:18" ht="10.5" customHeight="1" thickBot="1" x14ac:dyDescent="0.35">
      <c r="A336" s="446" t="s">
        <v>78</v>
      </c>
      <c r="B336" s="446" t="s">
        <v>79</v>
      </c>
      <c r="C336" s="446"/>
      <c r="D336" s="446"/>
      <c r="E336" s="447" t="s">
        <v>80</v>
      </c>
      <c r="F336" s="61"/>
      <c r="G336" s="16" t="s">
        <v>81</v>
      </c>
      <c r="H336" s="17" t="s">
        <v>82</v>
      </c>
      <c r="I336" s="20"/>
      <c r="J336" s="21" t="str">
        <f t="shared" si="47"/>
        <v>010334035</v>
      </c>
      <c r="K336" s="142">
        <v>4</v>
      </c>
      <c r="L336" s="23" t="s">
        <v>86</v>
      </c>
      <c r="M336" s="24">
        <v>35</v>
      </c>
      <c r="N336" s="94" t="s">
        <v>170</v>
      </c>
      <c r="O336" s="94"/>
      <c r="P336" s="26">
        <v>1.2403439024390244</v>
      </c>
      <c r="Q336" s="143">
        <f t="shared" si="48"/>
        <v>53.334787804878047</v>
      </c>
      <c r="R336" s="28">
        <f t="shared" si="49"/>
        <v>42.667830243902436</v>
      </c>
    </row>
    <row r="337" spans="1:18" ht="10.5" customHeight="1" thickTop="1" x14ac:dyDescent="0.3">
      <c r="A337" s="446"/>
      <c r="B337" s="446"/>
      <c r="C337" s="446"/>
      <c r="D337" s="446"/>
      <c r="E337" s="447"/>
      <c r="F337" s="68" t="s">
        <v>83</v>
      </c>
      <c r="G337" s="15" t="s">
        <v>84</v>
      </c>
      <c r="H337" s="15" t="s">
        <v>84</v>
      </c>
      <c r="I337" s="20"/>
      <c r="J337" s="21" t="str">
        <f t="shared" si="47"/>
        <v>010334040</v>
      </c>
      <c r="K337" s="142">
        <v>4</v>
      </c>
      <c r="L337" s="23" t="s">
        <v>86</v>
      </c>
      <c r="M337" s="24">
        <v>40</v>
      </c>
      <c r="N337" s="94" t="s">
        <v>170</v>
      </c>
      <c r="O337" s="94"/>
      <c r="P337" s="26">
        <v>1.3227170731707316</v>
      </c>
      <c r="Q337" s="143">
        <f t="shared" si="48"/>
        <v>56.876834146341459</v>
      </c>
      <c r="R337" s="28">
        <f t="shared" si="49"/>
        <v>45.501467317073164</v>
      </c>
    </row>
    <row r="338" spans="1:18" ht="10.5" customHeight="1" x14ac:dyDescent="0.3">
      <c r="A338" s="30" t="str">
        <f>0&amp;1033&amp;B338*10&amp;D338</f>
        <v>010333925</v>
      </c>
      <c r="B338" s="144">
        <v>3.9</v>
      </c>
      <c r="C338" s="75" t="s">
        <v>86</v>
      </c>
      <c r="D338" s="76">
        <v>25</v>
      </c>
      <c r="E338" s="87">
        <v>1000</v>
      </c>
      <c r="F338" s="78">
        <v>1.0799548246858091</v>
      </c>
      <c r="G338" s="143">
        <f>F338*$F$10</f>
        <v>46.438057461489791</v>
      </c>
      <c r="H338" s="72">
        <f>G338-G338*0.2</f>
        <v>37.150445969191836</v>
      </c>
      <c r="I338" s="20"/>
      <c r="J338" s="21" t="str">
        <f t="shared" si="47"/>
        <v>010334045</v>
      </c>
      <c r="K338" s="142">
        <v>4</v>
      </c>
      <c r="L338" s="23" t="s">
        <v>86</v>
      </c>
      <c r="M338" s="24">
        <v>45</v>
      </c>
      <c r="N338" s="94" t="s">
        <v>170</v>
      </c>
      <c r="O338" s="94"/>
      <c r="P338" s="26">
        <v>1.6122097560975608</v>
      </c>
      <c r="Q338" s="143">
        <f t="shared" si="48"/>
        <v>69.325019512195112</v>
      </c>
      <c r="R338" s="28">
        <f t="shared" si="49"/>
        <v>55.460015609756091</v>
      </c>
    </row>
    <row r="339" spans="1:18" ht="10.5" customHeight="1" x14ac:dyDescent="0.3">
      <c r="A339" s="21" t="str">
        <f>0&amp;1033&amp;B339*10&amp;D339</f>
        <v>010333930</v>
      </c>
      <c r="B339" s="142">
        <v>3.9</v>
      </c>
      <c r="C339" s="23" t="s">
        <v>86</v>
      </c>
      <c r="D339" s="24">
        <v>30</v>
      </c>
      <c r="E339" s="94">
        <v>500</v>
      </c>
      <c r="F339" s="26">
        <v>1.249905069653888</v>
      </c>
      <c r="G339" s="143">
        <f>F339*$F$10</f>
        <v>53.745917995117182</v>
      </c>
      <c r="H339" s="28">
        <f>G339-G339*0.2</f>
        <v>42.996734396093743</v>
      </c>
      <c r="I339" s="20"/>
      <c r="J339" s="21" t="str">
        <f t="shared" si="47"/>
        <v>010334055</v>
      </c>
      <c r="K339" s="142">
        <v>4</v>
      </c>
      <c r="L339" s="23" t="s">
        <v>86</v>
      </c>
      <c r="M339" s="24">
        <v>55</v>
      </c>
      <c r="N339" s="94" t="s">
        <v>170</v>
      </c>
      <c r="O339" s="94"/>
      <c r="P339" s="26">
        <v>1.8038949999999998</v>
      </c>
      <c r="Q339" s="143">
        <f t="shared" si="48"/>
        <v>77.567484999999991</v>
      </c>
      <c r="R339" s="28">
        <f t="shared" si="49"/>
        <v>62.05398799999999</v>
      </c>
    </row>
    <row r="340" spans="1:18" ht="10.5" customHeight="1" x14ac:dyDescent="0.3">
      <c r="A340" s="53"/>
      <c r="B340" s="145"/>
      <c r="C340" s="41"/>
      <c r="D340" s="42"/>
      <c r="E340" s="97"/>
      <c r="F340" s="44"/>
      <c r="G340" s="71"/>
      <c r="H340" s="46"/>
      <c r="I340" s="20"/>
      <c r="J340" s="39"/>
      <c r="K340" s="145"/>
      <c r="L340" s="41"/>
      <c r="M340" s="42"/>
      <c r="N340" s="97"/>
      <c r="O340" s="97"/>
      <c r="P340" s="44"/>
      <c r="Q340" s="71"/>
      <c r="R340" s="120"/>
    </row>
    <row r="341" spans="1:18" ht="10.5" customHeight="1" thickBot="1" x14ac:dyDescent="0.35">
      <c r="A341" s="134"/>
      <c r="B341" s="146"/>
      <c r="C341" s="33"/>
      <c r="D341" s="147"/>
      <c r="E341" s="148"/>
      <c r="F341" s="149"/>
      <c r="G341" s="150"/>
      <c r="H341" s="140"/>
      <c r="I341" s="49"/>
      <c r="J341" s="446" t="s">
        <v>78</v>
      </c>
      <c r="K341" s="446" t="s">
        <v>79</v>
      </c>
      <c r="L341" s="446"/>
      <c r="M341" s="446"/>
      <c r="N341" s="447" t="s">
        <v>80</v>
      </c>
      <c r="O341" s="434"/>
      <c r="P341" s="61"/>
      <c r="Q341" s="16" t="s">
        <v>81</v>
      </c>
      <c r="R341" s="17" t="s">
        <v>82</v>
      </c>
    </row>
    <row r="342" spans="1:18" ht="10.5" customHeight="1" thickTop="1" x14ac:dyDescent="0.3">
      <c r="A342" s="53"/>
      <c r="B342" s="145"/>
      <c r="C342" s="41"/>
      <c r="D342" s="42"/>
      <c r="E342" s="97"/>
      <c r="F342" s="44"/>
      <c r="G342" s="71"/>
      <c r="H342" s="46"/>
      <c r="I342" s="20"/>
      <c r="J342" s="446"/>
      <c r="K342" s="446"/>
      <c r="L342" s="446"/>
      <c r="M342" s="446"/>
      <c r="N342" s="447"/>
      <c r="O342" s="369"/>
      <c r="P342" s="68" t="s">
        <v>83</v>
      </c>
      <c r="Q342" s="15" t="s">
        <v>84</v>
      </c>
      <c r="R342" s="15" t="s">
        <v>84</v>
      </c>
    </row>
    <row r="343" spans="1:18" ht="10.5" customHeight="1" x14ac:dyDescent="0.3">
      <c r="A343" s="18"/>
      <c r="B343" s="20"/>
      <c r="C343" s="20"/>
      <c r="D343" s="20"/>
      <c r="E343" s="20"/>
      <c r="F343" s="20"/>
      <c r="G343" s="20"/>
      <c r="H343" s="20"/>
      <c r="I343" s="20"/>
      <c r="J343" s="21" t="str">
        <f t="shared" ref="J343:J349" si="50">0&amp;1033&amp;K343*10&amp;M343</f>
        <v>010333925</v>
      </c>
      <c r="K343" s="22">
        <v>3.9</v>
      </c>
      <c r="L343" s="23" t="s">
        <v>86</v>
      </c>
      <c r="M343" s="24">
        <v>25</v>
      </c>
      <c r="N343" s="94">
        <v>1000</v>
      </c>
      <c r="O343" s="94"/>
      <c r="P343" s="26">
        <v>0.88</v>
      </c>
      <c r="Q343" s="52">
        <f t="shared" ref="Q343:Q349" si="51">P343*$F$10</f>
        <v>37.840000000000003</v>
      </c>
      <c r="R343" s="28">
        <f t="shared" ref="R343:R349" si="52">Q343-Q343*0.2</f>
        <v>30.272000000000002</v>
      </c>
    </row>
    <row r="344" spans="1:18" ht="10.5" customHeight="1" x14ac:dyDescent="0.3">
      <c r="A344" s="53" t="s">
        <v>512</v>
      </c>
      <c r="B344" s="20"/>
      <c r="C344" s="20"/>
      <c r="D344" s="20"/>
      <c r="E344" s="20"/>
      <c r="F344" s="20"/>
      <c r="G344" s="20"/>
      <c r="H344" s="20"/>
      <c r="I344" s="20"/>
      <c r="J344" s="21" t="str">
        <f t="shared" si="50"/>
        <v>010333930</v>
      </c>
      <c r="K344" s="22">
        <v>3.9</v>
      </c>
      <c r="L344" s="23" t="s">
        <v>86</v>
      </c>
      <c r="M344" s="24">
        <v>30</v>
      </c>
      <c r="N344" s="94">
        <v>500</v>
      </c>
      <c r="O344" s="94"/>
      <c r="P344" s="26">
        <v>0.96</v>
      </c>
      <c r="Q344" s="52">
        <f t="shared" si="51"/>
        <v>41.28</v>
      </c>
      <c r="R344" s="28">
        <f t="shared" si="52"/>
        <v>33.024000000000001</v>
      </c>
    </row>
    <row r="345" spans="1:18" ht="10.5" customHeight="1" x14ac:dyDescent="0.3">
      <c r="A345" s="53" t="s">
        <v>513</v>
      </c>
      <c r="B345" s="20"/>
      <c r="C345" s="20"/>
      <c r="D345" s="20"/>
      <c r="E345" s="20"/>
      <c r="F345" s="20"/>
      <c r="G345" s="20"/>
      <c r="H345" s="20"/>
      <c r="I345" s="20"/>
      <c r="J345" s="21" t="str">
        <f t="shared" si="50"/>
        <v>010333935</v>
      </c>
      <c r="K345" s="22">
        <v>3.9</v>
      </c>
      <c r="L345" s="23" t="s">
        <v>86</v>
      </c>
      <c r="M345" s="24">
        <v>35</v>
      </c>
      <c r="N345" s="94">
        <v>500</v>
      </c>
      <c r="O345" s="94"/>
      <c r="P345" s="26">
        <v>1.08</v>
      </c>
      <c r="Q345" s="52">
        <f t="shared" si="51"/>
        <v>46.440000000000005</v>
      </c>
      <c r="R345" s="28">
        <f t="shared" si="52"/>
        <v>37.152000000000001</v>
      </c>
    </row>
    <row r="346" spans="1:18" ht="10.5" customHeight="1" thickBot="1" x14ac:dyDescent="0.35">
      <c r="A346" s="446" t="s">
        <v>78</v>
      </c>
      <c r="B346" s="446" t="s">
        <v>79</v>
      </c>
      <c r="C346" s="446"/>
      <c r="D346" s="446"/>
      <c r="E346" s="447" t="s">
        <v>80</v>
      </c>
      <c r="F346" s="61"/>
      <c r="G346" s="16" t="s">
        <v>81</v>
      </c>
      <c r="H346" s="17" t="s">
        <v>82</v>
      </c>
      <c r="I346" s="20"/>
      <c r="J346" s="21" t="str">
        <f t="shared" si="50"/>
        <v>010333940</v>
      </c>
      <c r="K346" s="22">
        <v>3.9</v>
      </c>
      <c r="L346" s="23" t="s">
        <v>86</v>
      </c>
      <c r="M346" s="24">
        <v>40</v>
      </c>
      <c r="N346" s="94">
        <v>500</v>
      </c>
      <c r="O346" s="94"/>
      <c r="P346" s="26">
        <v>1.21</v>
      </c>
      <c r="Q346" s="52">
        <f t="shared" si="51"/>
        <v>52.03</v>
      </c>
      <c r="R346" s="28">
        <f t="shared" si="52"/>
        <v>41.624000000000002</v>
      </c>
    </row>
    <row r="347" spans="1:18" ht="10.5" customHeight="1" thickTop="1" thickBot="1" x14ac:dyDescent="0.35">
      <c r="A347" s="446"/>
      <c r="B347" s="446"/>
      <c r="C347" s="446"/>
      <c r="D347" s="446"/>
      <c r="E347" s="447"/>
      <c r="F347" s="68" t="s">
        <v>83</v>
      </c>
      <c r="G347" s="15" t="s">
        <v>84</v>
      </c>
      <c r="H347" s="15" t="s">
        <v>84</v>
      </c>
      <c r="I347" s="20"/>
      <c r="J347" s="21" t="str">
        <f t="shared" si="50"/>
        <v>010334325</v>
      </c>
      <c r="K347" s="142">
        <v>4.3</v>
      </c>
      <c r="L347" s="23" t="s">
        <v>86</v>
      </c>
      <c r="M347" s="24">
        <v>25</v>
      </c>
      <c r="N347" s="94">
        <v>1000</v>
      </c>
      <c r="O347" s="94"/>
      <c r="P347" s="26">
        <v>0.99</v>
      </c>
      <c r="Q347" s="52">
        <f t="shared" si="51"/>
        <v>42.57</v>
      </c>
      <c r="R347" s="28">
        <f t="shared" si="52"/>
        <v>34.055999999999997</v>
      </c>
    </row>
    <row r="348" spans="1:18" ht="10.5" customHeight="1" x14ac:dyDescent="0.3">
      <c r="A348" s="21" t="str">
        <f>0&amp;1033&amp;B348*10&amp;D348</f>
        <v>010333916</v>
      </c>
      <c r="B348" s="22">
        <v>3.9</v>
      </c>
      <c r="C348" s="23" t="s">
        <v>86</v>
      </c>
      <c r="D348" s="24">
        <v>16</v>
      </c>
      <c r="E348" s="94">
        <v>1000</v>
      </c>
      <c r="F348" s="151">
        <v>0.87</v>
      </c>
      <c r="G348" s="52">
        <f>F348*$F$10</f>
        <v>37.409999999999997</v>
      </c>
      <c r="H348" s="28">
        <f>G348-G348*0.2</f>
        <v>29.927999999999997</v>
      </c>
      <c r="I348" s="20"/>
      <c r="J348" s="21" t="str">
        <f t="shared" si="50"/>
        <v>010334330</v>
      </c>
      <c r="K348" s="142">
        <v>4.3</v>
      </c>
      <c r="L348" s="23" t="s">
        <v>86</v>
      </c>
      <c r="M348" s="24">
        <v>30</v>
      </c>
      <c r="N348" s="94">
        <v>1000</v>
      </c>
      <c r="O348" s="94"/>
      <c r="P348" s="26">
        <v>1.06</v>
      </c>
      <c r="Q348" s="52">
        <f t="shared" si="51"/>
        <v>45.580000000000005</v>
      </c>
      <c r="R348" s="28">
        <f t="shared" si="52"/>
        <v>36.464000000000006</v>
      </c>
    </row>
    <row r="349" spans="1:18" ht="10.5" customHeight="1" x14ac:dyDescent="0.3">
      <c r="A349" s="21" t="str">
        <f>0&amp;1033&amp;B349*10&amp;D349</f>
        <v>010333919</v>
      </c>
      <c r="B349" s="22">
        <v>3.9</v>
      </c>
      <c r="C349" s="23" t="s">
        <v>86</v>
      </c>
      <c r="D349" s="24">
        <v>19</v>
      </c>
      <c r="E349" s="94">
        <v>1000</v>
      </c>
      <c r="F349" s="26">
        <v>0.71</v>
      </c>
      <c r="G349" s="52">
        <f>F349*$F$10</f>
        <v>30.529999999999998</v>
      </c>
      <c r="H349" s="28">
        <f>G349-G349*0.2</f>
        <v>24.423999999999999</v>
      </c>
      <c r="I349" s="20"/>
      <c r="J349" s="21" t="str">
        <f t="shared" si="50"/>
        <v>010334338</v>
      </c>
      <c r="K349" s="142">
        <v>4.3</v>
      </c>
      <c r="L349" s="23" t="s">
        <v>86</v>
      </c>
      <c r="M349" s="24">
        <v>38</v>
      </c>
      <c r="N349" s="94">
        <v>1000</v>
      </c>
      <c r="O349" s="94"/>
      <c r="P349" s="26">
        <v>1.6</v>
      </c>
      <c r="Q349" s="52">
        <f t="shared" si="51"/>
        <v>68.8</v>
      </c>
      <c r="R349" s="28">
        <f t="shared" si="52"/>
        <v>55.04</v>
      </c>
    </row>
    <row r="350" spans="1:18" ht="10.5" customHeight="1" x14ac:dyDescent="0.3">
      <c r="A350" s="21" t="str">
        <f>0&amp;1033&amp;B350*10&amp;D350</f>
        <v>010333922</v>
      </c>
      <c r="B350" s="22">
        <v>3.9</v>
      </c>
      <c r="C350" s="23" t="s">
        <v>86</v>
      </c>
      <c r="D350" s="24">
        <v>22</v>
      </c>
      <c r="E350" s="94">
        <v>1000</v>
      </c>
      <c r="F350" s="26">
        <v>0.8</v>
      </c>
      <c r="G350" s="52">
        <f>F350*$F$10</f>
        <v>34.4</v>
      </c>
      <c r="H350" s="28">
        <f>G350-G350*0.2</f>
        <v>27.52</v>
      </c>
      <c r="I350" s="83"/>
      <c r="J350" s="83"/>
      <c r="K350" s="83"/>
      <c r="L350" s="83"/>
      <c r="M350" s="83"/>
      <c r="N350" s="83"/>
      <c r="O350" s="83"/>
      <c r="P350" s="83"/>
      <c r="Q350" s="83"/>
      <c r="R350" s="116"/>
    </row>
    <row r="351" spans="1:18" ht="10.5" customHeight="1" x14ac:dyDescent="0.3">
      <c r="A351" s="39"/>
      <c r="B351" s="40"/>
      <c r="C351" s="41"/>
      <c r="D351" s="42"/>
      <c r="E351" s="97"/>
      <c r="F351" s="44"/>
      <c r="G351" s="71"/>
      <c r="H351" s="46"/>
      <c r="I351" s="20"/>
      <c r="J351" s="20"/>
      <c r="K351" s="20"/>
      <c r="L351" s="20"/>
      <c r="M351" s="20"/>
      <c r="N351" s="20"/>
      <c r="O351" s="20"/>
      <c r="P351" s="20"/>
      <c r="Q351" s="20"/>
      <c r="R351" s="20"/>
    </row>
    <row r="352" spans="1:18" ht="10.5" customHeight="1" x14ac:dyDescent="0.3">
      <c r="A352" s="39"/>
      <c r="B352" s="40"/>
      <c r="C352" s="41"/>
      <c r="D352" s="42"/>
      <c r="E352" s="97"/>
      <c r="F352" s="44"/>
      <c r="G352" s="71"/>
      <c r="H352" s="46"/>
      <c r="I352" s="20"/>
      <c r="J352" s="20"/>
      <c r="K352" s="20"/>
      <c r="L352" s="20"/>
      <c r="M352" s="20"/>
      <c r="N352" s="20"/>
      <c r="O352" s="20"/>
      <c r="P352" s="20"/>
      <c r="Q352" s="20"/>
      <c r="R352" s="20"/>
    </row>
    <row r="353" spans="1:18" ht="10.5" customHeight="1" x14ac:dyDescent="0.3">
      <c r="A353" s="39"/>
      <c r="B353" s="40"/>
      <c r="C353" s="41"/>
      <c r="D353" s="42"/>
      <c r="E353" s="97"/>
      <c r="F353" s="44"/>
      <c r="G353" s="71"/>
      <c r="H353" s="46"/>
      <c r="I353" s="20"/>
      <c r="J353" s="20"/>
      <c r="K353" s="20"/>
      <c r="L353" s="20"/>
      <c r="M353" s="20"/>
      <c r="N353" s="20"/>
      <c r="O353" s="20"/>
      <c r="P353" s="20"/>
      <c r="Q353" s="20"/>
      <c r="R353" s="20"/>
    </row>
    <row r="354" spans="1:18" ht="10.5" customHeight="1" x14ac:dyDescent="0.3">
      <c r="A354" s="39"/>
      <c r="B354" s="40"/>
      <c r="C354" s="41"/>
      <c r="D354" s="42"/>
      <c r="E354" s="97"/>
      <c r="F354" s="44"/>
      <c r="G354" s="71"/>
      <c r="H354" s="46"/>
      <c r="I354" s="20"/>
      <c r="J354" s="20"/>
      <c r="K354" s="20"/>
      <c r="L354" s="20"/>
      <c r="M354" s="20"/>
      <c r="N354" s="20"/>
      <c r="O354" s="20"/>
      <c r="P354" s="20"/>
      <c r="Q354" s="20"/>
      <c r="R354" s="20"/>
    </row>
    <row r="355" spans="1:18" ht="10.5" customHeight="1" x14ac:dyDescent="0.3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</row>
    <row r="356" spans="1:18" ht="10.5" customHeight="1" x14ac:dyDescent="0.3">
      <c r="A356" s="47" t="s">
        <v>514</v>
      </c>
      <c r="B356" s="48" t="s">
        <v>515</v>
      </c>
      <c r="C356" s="49"/>
      <c r="D356" s="49"/>
      <c r="E356" s="49"/>
      <c r="F356" s="49"/>
      <c r="G356" s="49"/>
      <c r="H356" s="49"/>
      <c r="I356" s="49"/>
      <c r="J356" s="446" t="s">
        <v>78</v>
      </c>
      <c r="K356" s="446" t="s">
        <v>79</v>
      </c>
      <c r="L356" s="446"/>
      <c r="M356" s="446"/>
      <c r="N356" s="447" t="s">
        <v>80</v>
      </c>
      <c r="O356" s="434"/>
      <c r="P356" s="61"/>
      <c r="Q356" s="16" t="s">
        <v>81</v>
      </c>
      <c r="R356" s="17" t="s">
        <v>82</v>
      </c>
    </row>
    <row r="357" spans="1:18" ht="10.5" customHeight="1" thickTop="1" x14ac:dyDescent="0.3">
      <c r="A357" s="18"/>
      <c r="B357" s="20"/>
      <c r="C357" s="20"/>
      <c r="D357" s="20"/>
      <c r="E357" s="20"/>
      <c r="F357" s="20"/>
      <c r="G357" s="20"/>
      <c r="H357" s="20"/>
      <c r="I357" s="20"/>
      <c r="J357" s="446"/>
      <c r="K357" s="446"/>
      <c r="L357" s="446"/>
      <c r="M357" s="446"/>
      <c r="N357" s="447"/>
      <c r="O357" s="369"/>
      <c r="P357" s="68" t="s">
        <v>83</v>
      </c>
      <c r="Q357" s="15" t="s">
        <v>84</v>
      </c>
      <c r="R357" s="15" t="s">
        <v>84</v>
      </c>
    </row>
    <row r="358" spans="1:18" ht="10.5" customHeight="1" x14ac:dyDescent="0.3">
      <c r="A358" s="18"/>
      <c r="B358" s="20"/>
      <c r="C358" s="20"/>
      <c r="D358" s="20"/>
      <c r="E358" s="20"/>
      <c r="F358" s="20"/>
      <c r="G358" s="20"/>
      <c r="H358" s="20"/>
      <c r="I358" s="20"/>
      <c r="J358" s="88" t="s">
        <v>516</v>
      </c>
      <c r="K358" s="74">
        <v>4.8</v>
      </c>
      <c r="L358" s="75" t="s">
        <v>86</v>
      </c>
      <c r="M358" s="76">
        <v>19</v>
      </c>
      <c r="N358" s="87">
        <v>250</v>
      </c>
      <c r="O358" s="87"/>
      <c r="P358" s="78">
        <v>3.1297599999999997</v>
      </c>
      <c r="Q358" s="143">
        <f>P358*$F$10</f>
        <v>134.57968</v>
      </c>
      <c r="R358" s="72">
        <f>Q358-Q358*0.2</f>
        <v>107.66374399999999</v>
      </c>
    </row>
    <row r="359" spans="1:18" ht="10.5" customHeight="1" x14ac:dyDescent="0.3">
      <c r="A359" s="18"/>
      <c r="B359" s="20"/>
      <c r="C359" s="20"/>
      <c r="D359" s="20"/>
      <c r="E359" s="20"/>
      <c r="F359" s="20"/>
      <c r="G359" s="20"/>
      <c r="H359" s="20"/>
      <c r="I359" s="20"/>
      <c r="J359" s="88" t="s">
        <v>517</v>
      </c>
      <c r="K359" s="22">
        <v>4.8</v>
      </c>
      <c r="L359" s="23" t="s">
        <v>86</v>
      </c>
      <c r="M359" s="24">
        <v>35</v>
      </c>
      <c r="N359" s="94">
        <v>250</v>
      </c>
      <c r="O359" s="87"/>
      <c r="P359" s="78">
        <v>2.6799853034535834</v>
      </c>
      <c r="Q359" s="152">
        <f>P359*$F$10</f>
        <v>115.23936804850409</v>
      </c>
      <c r="R359" s="28">
        <f>Q359-Q359*0.2</f>
        <v>92.191494438803275</v>
      </c>
    </row>
    <row r="360" spans="1:18" ht="10.5" customHeight="1" x14ac:dyDescent="0.3">
      <c r="A360" s="118" t="s">
        <v>518</v>
      </c>
      <c r="B360" s="20"/>
      <c r="C360" s="20"/>
      <c r="D360" s="20"/>
      <c r="E360" s="20"/>
      <c r="F360" s="20"/>
      <c r="G360" s="20"/>
      <c r="H360" s="20"/>
      <c r="I360" s="20"/>
      <c r="J360" s="88" t="s">
        <v>519</v>
      </c>
      <c r="K360" s="22">
        <v>5.5</v>
      </c>
      <c r="L360" s="23" t="s">
        <v>86</v>
      </c>
      <c r="M360" s="24">
        <v>25</v>
      </c>
      <c r="N360" s="94">
        <v>250</v>
      </c>
      <c r="O360" s="87"/>
      <c r="P360" s="78">
        <v>3.2099875646783955</v>
      </c>
      <c r="Q360" s="152">
        <f>P360*$F$10</f>
        <v>138.02946528117101</v>
      </c>
      <c r="R360" s="28">
        <f>Q360-Q360*0.2</f>
        <v>110.42357222493681</v>
      </c>
    </row>
    <row r="361" spans="1:18" ht="10.5" customHeight="1" x14ac:dyDescent="0.3">
      <c r="A361" s="139" t="s">
        <v>520</v>
      </c>
      <c r="B361" s="83"/>
      <c r="C361" s="83"/>
      <c r="D361" s="83"/>
      <c r="E361" s="83"/>
      <c r="F361" s="83"/>
      <c r="G361" s="83"/>
      <c r="H361" s="83"/>
      <c r="I361" s="83"/>
      <c r="J361" s="88" t="s">
        <v>521</v>
      </c>
      <c r="K361" s="22">
        <v>5.5</v>
      </c>
      <c r="L361" s="23" t="s">
        <v>86</v>
      </c>
      <c r="M361" s="24">
        <v>38</v>
      </c>
      <c r="N361" s="94">
        <v>250</v>
      </c>
      <c r="O361" s="87"/>
      <c r="P361" s="78">
        <v>3.3599877125489099</v>
      </c>
      <c r="Q361" s="52">
        <f>P361*$F$10</f>
        <v>144.47947163960313</v>
      </c>
      <c r="R361" s="28">
        <f>Q361-Q361*0.2</f>
        <v>115.5835773116825</v>
      </c>
    </row>
    <row r="362" spans="1:18" ht="10.5" customHeight="1" x14ac:dyDescent="0.3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</row>
    <row r="363" spans="1:18" ht="10.5" customHeight="1" x14ac:dyDescent="0.3">
      <c r="A363" s="107" t="s">
        <v>522</v>
      </c>
      <c r="B363" s="49"/>
      <c r="C363" s="49"/>
      <c r="D363" s="49"/>
      <c r="E363" s="49"/>
      <c r="F363" s="49"/>
      <c r="G363" s="49"/>
      <c r="H363" s="49"/>
      <c r="I363" s="49"/>
      <c r="J363" s="446" t="s">
        <v>78</v>
      </c>
      <c r="K363" s="446" t="s">
        <v>79</v>
      </c>
      <c r="L363" s="446"/>
      <c r="M363" s="446"/>
      <c r="N363" s="447" t="s">
        <v>80</v>
      </c>
      <c r="O363" s="434"/>
      <c r="P363" s="61"/>
      <c r="Q363" s="16" t="s">
        <v>81</v>
      </c>
      <c r="R363" s="17" t="s">
        <v>82</v>
      </c>
    </row>
    <row r="364" spans="1:18" ht="10.5" customHeight="1" thickTop="1" x14ac:dyDescent="0.3">
      <c r="A364" s="141" t="s">
        <v>523</v>
      </c>
      <c r="B364" s="20"/>
      <c r="C364" s="20"/>
      <c r="D364" s="20"/>
      <c r="E364" s="20"/>
      <c r="F364" s="20"/>
      <c r="G364" s="20"/>
      <c r="H364" s="20"/>
      <c r="I364" s="20"/>
      <c r="J364" s="446"/>
      <c r="K364" s="446"/>
      <c r="L364" s="446"/>
      <c r="M364" s="446"/>
      <c r="N364" s="447"/>
      <c r="O364" s="369"/>
      <c r="P364" s="68" t="s">
        <v>83</v>
      </c>
      <c r="Q364" s="15" t="s">
        <v>84</v>
      </c>
      <c r="R364" s="15" t="s">
        <v>84</v>
      </c>
    </row>
    <row r="365" spans="1:18" ht="10.5" customHeight="1" x14ac:dyDescent="0.3">
      <c r="A365" s="141"/>
      <c r="B365" s="20"/>
      <c r="C365" s="20"/>
      <c r="D365" s="20"/>
      <c r="E365" s="20"/>
      <c r="F365" s="20"/>
      <c r="G365" s="20"/>
      <c r="H365" s="20"/>
      <c r="I365" s="20"/>
      <c r="J365" s="29" t="str">
        <f>0&amp;1039&amp;K365*10&amp;M365</f>
        <v>010394819</v>
      </c>
      <c r="K365" s="153">
        <v>4.8</v>
      </c>
      <c r="L365" s="41" t="s">
        <v>86</v>
      </c>
      <c r="M365" s="154">
        <v>19</v>
      </c>
      <c r="N365" s="106">
        <v>250</v>
      </c>
      <c r="O365" s="106"/>
      <c r="P365" s="155">
        <v>3.05</v>
      </c>
      <c r="Q365" s="152">
        <f>P365*$F$10</f>
        <v>131.15</v>
      </c>
      <c r="R365" s="72">
        <f>Q365-Q365*0.2</f>
        <v>104.92</v>
      </c>
    </row>
    <row r="366" spans="1:18" ht="10.5" customHeight="1" x14ac:dyDescent="0.3">
      <c r="A366" s="18"/>
      <c r="B366" s="20"/>
      <c r="C366" s="20"/>
      <c r="D366" s="20"/>
      <c r="E366" s="20"/>
      <c r="F366" s="20"/>
      <c r="G366" s="20"/>
      <c r="H366" s="20"/>
      <c r="I366" s="20"/>
      <c r="J366" s="21" t="str">
        <f>0&amp;1039&amp;K366*10&amp;M366</f>
        <v>010395525</v>
      </c>
      <c r="K366" s="22">
        <v>5.5</v>
      </c>
      <c r="L366" s="23" t="s">
        <v>86</v>
      </c>
      <c r="M366" s="24">
        <v>25</v>
      </c>
      <c r="N366" s="94">
        <v>250</v>
      </c>
      <c r="O366" s="94"/>
      <c r="P366" s="26">
        <v>3.78</v>
      </c>
      <c r="Q366" s="152">
        <f>P366*$F$10</f>
        <v>162.54</v>
      </c>
      <c r="R366" s="28">
        <f>Q366-Q366*0.2</f>
        <v>130.03199999999998</v>
      </c>
    </row>
    <row r="367" spans="1:18" ht="10.5" customHeight="1" x14ac:dyDescent="0.3">
      <c r="A367" s="18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101"/>
    </row>
    <row r="368" spans="1:18" ht="10.5" customHeight="1" x14ac:dyDescent="0.3">
      <c r="A368" s="118" t="s">
        <v>499</v>
      </c>
      <c r="B368" s="20"/>
      <c r="C368" s="20"/>
      <c r="D368" s="156" t="s">
        <v>524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101"/>
    </row>
    <row r="369" spans="1:18" ht="10.5" customHeight="1" x14ac:dyDescent="0.3">
      <c r="A369" s="157" t="s">
        <v>525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101"/>
    </row>
    <row r="370" spans="1:18" ht="10.5" customHeight="1" x14ac:dyDescent="0.3">
      <c r="A370" s="18" t="s">
        <v>526</v>
      </c>
      <c r="B370" s="158"/>
      <c r="C370" s="156" t="s">
        <v>527</v>
      </c>
      <c r="D370" s="156"/>
      <c r="E370" s="39"/>
      <c r="F370" s="20"/>
      <c r="G370" s="20"/>
      <c r="H370" s="20" t="s">
        <v>528</v>
      </c>
      <c r="I370" s="20"/>
      <c r="J370" s="20"/>
      <c r="K370" s="159" t="s">
        <v>529</v>
      </c>
      <c r="L370" s="20"/>
      <c r="M370" s="39"/>
      <c r="N370" s="20"/>
      <c r="O370" s="20"/>
      <c r="P370" s="20"/>
      <c r="Q370" s="20" t="s">
        <v>530</v>
      </c>
      <c r="R370" s="101"/>
    </row>
    <row r="371" spans="1:18" ht="10.5" customHeight="1" x14ac:dyDescent="0.3">
      <c r="A371" s="53" t="s">
        <v>531</v>
      </c>
      <c r="B371" s="20"/>
      <c r="C371" s="20" t="s">
        <v>532</v>
      </c>
      <c r="D371" s="20"/>
      <c r="E371" s="39"/>
      <c r="F371" s="20"/>
      <c r="G371" s="20"/>
      <c r="H371" s="20" t="s">
        <v>533</v>
      </c>
      <c r="I371" s="95"/>
      <c r="J371" s="20"/>
      <c r="K371" s="159" t="s">
        <v>534</v>
      </c>
      <c r="L371" s="20"/>
      <c r="M371" s="95"/>
      <c r="N371" s="20"/>
      <c r="O371" s="20"/>
      <c r="P371" s="20"/>
      <c r="Q371" s="20" t="s">
        <v>535</v>
      </c>
      <c r="R371" s="101"/>
    </row>
    <row r="372" spans="1:18" ht="10.5" customHeight="1" x14ac:dyDescent="0.3">
      <c r="A372" s="73" t="s">
        <v>531</v>
      </c>
      <c r="B372" s="160"/>
      <c r="C372" s="83" t="s">
        <v>536</v>
      </c>
      <c r="D372" s="161"/>
      <c r="E372" s="162"/>
      <c r="F372" s="83"/>
      <c r="G372" s="83"/>
      <c r="H372" s="83" t="s">
        <v>537</v>
      </c>
      <c r="I372" s="162"/>
      <c r="J372" s="83"/>
      <c r="K372" s="163" t="s">
        <v>538</v>
      </c>
      <c r="L372" s="83"/>
      <c r="M372" s="83"/>
      <c r="N372" s="83"/>
      <c r="O372" s="83"/>
      <c r="P372" s="83"/>
      <c r="Q372" s="83" t="s">
        <v>539</v>
      </c>
      <c r="R372" s="116"/>
    </row>
    <row r="373" spans="1:18" ht="10.5" customHeight="1" x14ac:dyDescent="0.3">
      <c r="A373" s="20"/>
      <c r="B373" s="158"/>
      <c r="C373" s="41"/>
      <c r="D373" s="156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</row>
    <row r="374" spans="1:18" ht="10.5" customHeight="1" x14ac:dyDescent="0.3">
      <c r="A374" s="47" t="s">
        <v>540</v>
      </c>
      <c r="B374" s="48" t="s">
        <v>541</v>
      </c>
      <c r="C374" s="33"/>
      <c r="D374" s="164"/>
      <c r="E374" s="49"/>
      <c r="F374" s="49"/>
      <c r="G374" s="49"/>
      <c r="H374" s="49"/>
      <c r="I374" s="49"/>
      <c r="J374" s="446" t="s">
        <v>78</v>
      </c>
      <c r="K374" s="446" t="s">
        <v>79</v>
      </c>
      <c r="L374" s="446"/>
      <c r="M374" s="446"/>
      <c r="N374" s="447" t="s">
        <v>80</v>
      </c>
      <c r="O374" s="434"/>
      <c r="P374" s="61"/>
      <c r="Q374" s="16" t="s">
        <v>81</v>
      </c>
      <c r="R374" s="17" t="s">
        <v>82</v>
      </c>
    </row>
    <row r="375" spans="1:18" ht="10.5" customHeight="1" thickTop="1" x14ac:dyDescent="0.3">
      <c r="A375" s="18"/>
      <c r="B375" s="20"/>
      <c r="C375" s="20"/>
      <c r="D375" s="20"/>
      <c r="E375" s="20"/>
      <c r="F375" s="20"/>
      <c r="G375" s="20"/>
      <c r="H375" s="20"/>
      <c r="I375" s="20"/>
      <c r="J375" s="446"/>
      <c r="K375" s="446"/>
      <c r="L375" s="446"/>
      <c r="M375" s="446"/>
      <c r="N375" s="447"/>
      <c r="O375" s="369"/>
      <c r="P375" s="68" t="s">
        <v>83</v>
      </c>
      <c r="Q375" s="15" t="s">
        <v>84</v>
      </c>
      <c r="R375" s="15" t="s">
        <v>84</v>
      </c>
    </row>
    <row r="376" spans="1:18" ht="10.5" customHeight="1" x14ac:dyDescent="0.3">
      <c r="A376" s="18"/>
      <c r="B376" s="20"/>
      <c r="C376" s="20"/>
      <c r="D376" s="20"/>
      <c r="E376" s="20"/>
      <c r="F376" s="20"/>
      <c r="G376" s="20"/>
      <c r="H376" s="20"/>
      <c r="I376" s="20"/>
      <c r="J376" s="79" t="str">
        <f>0&amp;1040&amp;K376*10&amp;M376</f>
        <v>010404835</v>
      </c>
      <c r="K376" s="22">
        <v>4.8</v>
      </c>
      <c r="L376" s="23" t="s">
        <v>86</v>
      </c>
      <c r="M376" s="24">
        <v>35</v>
      </c>
      <c r="N376" s="94">
        <v>250</v>
      </c>
      <c r="O376" s="94"/>
      <c r="P376" s="26">
        <v>2.64</v>
      </c>
      <c r="Q376" s="152">
        <f>P376*$F$10</f>
        <v>113.52000000000001</v>
      </c>
      <c r="R376" s="28">
        <f>Q376-Q376*0.2</f>
        <v>90.816000000000003</v>
      </c>
    </row>
    <row r="377" spans="1:18" ht="10.5" customHeight="1" x14ac:dyDescent="0.3">
      <c r="A377" s="18"/>
      <c r="B377" s="20"/>
      <c r="C377" s="20"/>
      <c r="D377" s="20"/>
      <c r="E377" s="20"/>
      <c r="F377" s="20"/>
      <c r="G377" s="20"/>
      <c r="H377" s="20"/>
      <c r="I377" s="20"/>
      <c r="J377" s="79" t="str">
        <f>0&amp;1040&amp;K377*10&amp;M377</f>
        <v>010404855</v>
      </c>
      <c r="K377" s="22">
        <v>4.8</v>
      </c>
      <c r="L377" s="23" t="s">
        <v>359</v>
      </c>
      <c r="M377" s="24">
        <v>55</v>
      </c>
      <c r="N377" s="94" t="s">
        <v>101</v>
      </c>
      <c r="O377" s="94"/>
      <c r="P377" s="26">
        <v>3.82</v>
      </c>
      <c r="Q377" s="152">
        <f>P377*$F$10</f>
        <v>164.26</v>
      </c>
      <c r="R377" s="28">
        <f>Q377-Q377*0.2</f>
        <v>131.40799999999999</v>
      </c>
    </row>
    <row r="378" spans="1:18" ht="10.5" customHeight="1" x14ac:dyDescent="0.3">
      <c r="A378" s="118" t="s">
        <v>499</v>
      </c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101"/>
    </row>
    <row r="379" spans="1:18" ht="10.5" customHeight="1" x14ac:dyDescent="0.3">
      <c r="A379" s="139" t="s">
        <v>520</v>
      </c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116"/>
    </row>
    <row r="380" spans="1:18" ht="10.5" customHeight="1" x14ac:dyDescent="0.3">
      <c r="A380" s="165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</row>
    <row r="381" spans="1:18" ht="10.5" customHeight="1" x14ac:dyDescent="0.3">
      <c r="A381" s="47" t="s">
        <v>542</v>
      </c>
      <c r="B381" s="49"/>
      <c r="C381" s="49"/>
      <c r="D381" s="49"/>
      <c r="E381" s="49"/>
      <c r="F381" s="49"/>
      <c r="G381" s="49"/>
      <c r="H381" s="49"/>
      <c r="I381" s="49"/>
      <c r="J381" s="452" t="s">
        <v>78</v>
      </c>
      <c r="K381" s="446" t="s">
        <v>79</v>
      </c>
      <c r="L381" s="446"/>
      <c r="M381" s="446"/>
      <c r="N381" s="447" t="s">
        <v>80</v>
      </c>
      <c r="O381" s="434"/>
      <c r="P381" s="61"/>
      <c r="Q381" s="16" t="s">
        <v>81</v>
      </c>
      <c r="R381" s="17" t="s">
        <v>82</v>
      </c>
    </row>
    <row r="382" spans="1:18" ht="10.5" customHeight="1" thickTop="1" x14ac:dyDescent="0.3">
      <c r="A382" s="99" t="s">
        <v>543</v>
      </c>
      <c r="B382" s="20"/>
      <c r="C382" s="20"/>
      <c r="D382" s="20"/>
      <c r="E382" s="20"/>
      <c r="F382" s="20"/>
      <c r="G382" s="20"/>
      <c r="H382" s="20"/>
      <c r="I382" s="20"/>
      <c r="J382" s="452"/>
      <c r="K382" s="446"/>
      <c r="L382" s="446"/>
      <c r="M382" s="446"/>
      <c r="N382" s="447"/>
      <c r="O382" s="369"/>
      <c r="P382" s="68" t="s">
        <v>83</v>
      </c>
      <c r="Q382" s="15" t="s">
        <v>84</v>
      </c>
      <c r="R382" s="15" t="s">
        <v>84</v>
      </c>
    </row>
    <row r="383" spans="1:18" ht="10.5" customHeight="1" x14ac:dyDescent="0.3">
      <c r="A383" s="99"/>
      <c r="B383" s="20"/>
      <c r="C383" s="20"/>
      <c r="D383" s="20"/>
      <c r="E383" s="20"/>
      <c r="F383" s="20"/>
      <c r="G383" s="20"/>
      <c r="H383" s="20"/>
      <c r="I383" s="20"/>
      <c r="J383" s="21" t="s">
        <v>544</v>
      </c>
      <c r="K383" s="22">
        <v>4.8</v>
      </c>
      <c r="L383" s="23" t="s">
        <v>86</v>
      </c>
      <c r="M383" s="24">
        <v>35</v>
      </c>
      <c r="N383" s="94">
        <v>250</v>
      </c>
      <c r="O383" s="94"/>
      <c r="P383" s="26">
        <v>3.62</v>
      </c>
      <c r="Q383" s="111">
        <f>P383*$F$10</f>
        <v>155.66</v>
      </c>
      <c r="R383" s="28">
        <f>Q383-Q383*0.2</f>
        <v>124.52799999999999</v>
      </c>
    </row>
    <row r="384" spans="1:18" ht="10.5" customHeight="1" x14ac:dyDescent="0.3">
      <c r="A384" s="18"/>
      <c r="B384" s="20"/>
      <c r="C384" s="20"/>
      <c r="D384" s="20"/>
      <c r="E384" s="20"/>
      <c r="F384" s="20"/>
      <c r="G384" s="20"/>
      <c r="H384" s="20"/>
      <c r="I384" s="20"/>
      <c r="J384" s="79" t="s">
        <v>545</v>
      </c>
      <c r="K384" s="22">
        <v>4.8</v>
      </c>
      <c r="L384" s="23" t="s">
        <v>86</v>
      </c>
      <c r="M384" s="24">
        <v>55</v>
      </c>
      <c r="N384" s="94">
        <v>250</v>
      </c>
      <c r="O384" s="94"/>
      <c r="P384" s="26">
        <v>4.08</v>
      </c>
      <c r="Q384" s="111">
        <f>P384*$F$10</f>
        <v>175.44</v>
      </c>
      <c r="R384" s="28">
        <f>Q384-Q384*0.2</f>
        <v>140.352</v>
      </c>
    </row>
    <row r="385" spans="1:18" ht="10.5" customHeight="1" x14ac:dyDescent="0.3">
      <c r="A385" s="18"/>
      <c r="B385" s="20"/>
      <c r="C385" s="20"/>
      <c r="D385" s="20"/>
      <c r="E385" s="20"/>
      <c r="F385" s="20"/>
      <c r="G385" s="20"/>
      <c r="H385" s="20"/>
      <c r="I385" s="20"/>
      <c r="J385" s="79" t="s">
        <v>546</v>
      </c>
      <c r="K385" s="22">
        <v>4.8</v>
      </c>
      <c r="L385" s="23" t="s">
        <v>86</v>
      </c>
      <c r="M385" s="24">
        <v>70</v>
      </c>
      <c r="N385" s="94">
        <v>250</v>
      </c>
      <c r="O385" s="94"/>
      <c r="P385" s="26">
        <v>5.38</v>
      </c>
      <c r="Q385" s="111">
        <f>P385*$F$10</f>
        <v>231.34</v>
      </c>
      <c r="R385" s="28">
        <f>Q385-Q385*0.2</f>
        <v>185.072</v>
      </c>
    </row>
    <row r="386" spans="1:18" ht="10.5" customHeight="1" x14ac:dyDescent="0.3">
      <c r="A386" s="118" t="s">
        <v>524</v>
      </c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101"/>
    </row>
    <row r="387" spans="1:18" ht="10.5" customHeight="1" x14ac:dyDescent="0.3">
      <c r="A387" s="157" t="s">
        <v>525</v>
      </c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101"/>
    </row>
    <row r="388" spans="1:18" ht="10.5" customHeight="1" x14ac:dyDescent="0.3">
      <c r="A388" s="18" t="s">
        <v>526</v>
      </c>
      <c r="B388" s="20"/>
      <c r="C388" s="20"/>
      <c r="D388" s="20"/>
      <c r="E388" s="20" t="s">
        <v>532</v>
      </c>
      <c r="F388" s="20"/>
      <c r="G388" s="20"/>
      <c r="H388" s="20"/>
      <c r="I388" s="39"/>
      <c r="J388" s="20" t="s">
        <v>529</v>
      </c>
      <c r="K388" s="20"/>
      <c r="L388" s="20"/>
      <c r="M388" s="39"/>
      <c r="N388" s="20" t="s">
        <v>530</v>
      </c>
      <c r="O388" s="20"/>
      <c r="P388" s="20"/>
      <c r="Q388" s="20"/>
      <c r="R388" s="101"/>
    </row>
    <row r="389" spans="1:18" ht="10.5" customHeight="1" x14ac:dyDescent="0.3">
      <c r="A389" s="53" t="s">
        <v>531</v>
      </c>
      <c r="B389" s="20"/>
      <c r="C389" s="20"/>
      <c r="D389" s="95"/>
      <c r="E389" s="95" t="s">
        <v>528</v>
      </c>
      <c r="F389" s="20"/>
      <c r="G389" s="20"/>
      <c r="H389" s="159"/>
      <c r="I389" s="39"/>
      <c r="J389" s="159" t="s">
        <v>547</v>
      </c>
      <c r="K389" s="20"/>
      <c r="L389" s="20"/>
      <c r="M389" s="95"/>
      <c r="N389" s="20" t="s">
        <v>535</v>
      </c>
      <c r="O389" s="20"/>
      <c r="P389" s="20"/>
      <c r="Q389" s="20"/>
      <c r="R389" s="101"/>
    </row>
    <row r="390" spans="1:18" ht="10.5" customHeight="1" x14ac:dyDescent="0.3">
      <c r="A390" s="53" t="s">
        <v>548</v>
      </c>
      <c r="B390" s="20"/>
      <c r="C390" s="20"/>
      <c r="D390" s="159"/>
      <c r="E390" s="159" t="s">
        <v>533</v>
      </c>
      <c r="F390" s="20"/>
      <c r="G390" s="20"/>
      <c r="H390" s="159"/>
      <c r="I390" s="95"/>
      <c r="J390" s="159" t="s">
        <v>534</v>
      </c>
      <c r="K390" s="20"/>
      <c r="L390" s="20"/>
      <c r="M390" s="95"/>
      <c r="N390" s="20" t="s">
        <v>539</v>
      </c>
      <c r="O390" s="20"/>
      <c r="P390" s="20"/>
      <c r="Q390" s="20"/>
      <c r="R390" s="101"/>
    </row>
    <row r="391" spans="1:18" ht="10.5" customHeight="1" x14ac:dyDescent="0.3">
      <c r="A391" s="73" t="s">
        <v>527</v>
      </c>
      <c r="B391" s="83"/>
      <c r="C391" s="83"/>
      <c r="D391" s="83"/>
      <c r="E391" s="83" t="s">
        <v>537</v>
      </c>
      <c r="F391" s="83"/>
      <c r="G391" s="83"/>
      <c r="H391" s="83"/>
      <c r="I391" s="162"/>
      <c r="J391" s="83" t="s">
        <v>538</v>
      </c>
      <c r="K391" s="83"/>
      <c r="L391" s="83"/>
      <c r="M391" s="162"/>
      <c r="N391" s="83" t="s">
        <v>549</v>
      </c>
      <c r="O391" s="83"/>
      <c r="P391" s="83"/>
      <c r="Q391" s="83"/>
      <c r="R391" s="116"/>
    </row>
    <row r="392" spans="1:18" ht="10.5" customHeight="1" x14ac:dyDescent="0.3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</row>
    <row r="393" spans="1:18" ht="10.5" customHeight="1" x14ac:dyDescent="0.3">
      <c r="A393" s="166" t="s">
        <v>550</v>
      </c>
      <c r="B393" s="49"/>
      <c r="C393" s="49"/>
      <c r="D393" s="49"/>
      <c r="E393" s="49"/>
      <c r="F393" s="49"/>
      <c r="G393" s="49"/>
      <c r="H393" s="49"/>
      <c r="I393" s="49"/>
      <c r="J393" s="446" t="s">
        <v>78</v>
      </c>
      <c r="K393" s="446" t="s">
        <v>79</v>
      </c>
      <c r="L393" s="446"/>
      <c r="M393" s="446"/>
      <c r="N393" s="447" t="s">
        <v>80</v>
      </c>
      <c r="O393" s="434"/>
      <c r="P393" s="61"/>
      <c r="Q393" s="16" t="s">
        <v>81</v>
      </c>
      <c r="R393" s="17" t="s">
        <v>82</v>
      </c>
    </row>
    <row r="394" spans="1:18" ht="10.5" customHeight="1" thickTop="1" x14ac:dyDescent="0.3">
      <c r="A394" s="99" t="s">
        <v>551</v>
      </c>
      <c r="B394" s="20"/>
      <c r="C394" s="20"/>
      <c r="D394" s="20"/>
      <c r="E394" s="20"/>
      <c r="F394" s="20"/>
      <c r="G394" s="20"/>
      <c r="H394" s="20"/>
      <c r="I394" s="20"/>
      <c r="J394" s="446"/>
      <c r="K394" s="446"/>
      <c r="L394" s="446"/>
      <c r="M394" s="446"/>
      <c r="N394" s="447"/>
      <c r="O394" s="369"/>
      <c r="P394" s="68" t="s">
        <v>83</v>
      </c>
      <c r="Q394" s="15" t="s">
        <v>84</v>
      </c>
      <c r="R394" s="15" t="s">
        <v>84</v>
      </c>
    </row>
    <row r="395" spans="1:18" ht="10.5" customHeight="1" x14ac:dyDescent="0.3">
      <c r="A395" s="18"/>
      <c r="B395" s="158"/>
      <c r="C395" s="41"/>
      <c r="D395" s="156"/>
      <c r="E395" s="20"/>
      <c r="F395" s="20"/>
      <c r="G395" s="20"/>
      <c r="H395" s="20"/>
      <c r="I395" s="20"/>
      <c r="J395" s="79" t="s">
        <v>552</v>
      </c>
      <c r="K395" s="74">
        <v>5.5</v>
      </c>
      <c r="L395" s="75" t="s">
        <v>86</v>
      </c>
      <c r="M395" s="76">
        <v>32</v>
      </c>
      <c r="N395" s="87">
        <v>250</v>
      </c>
      <c r="O395" s="87"/>
      <c r="P395" s="78">
        <v>4.1500000000000004</v>
      </c>
      <c r="Q395" s="113">
        <f>P395*$F$10</f>
        <v>178.45000000000002</v>
      </c>
      <c r="R395" s="72">
        <f>Q395-Q395*0.2</f>
        <v>142.76000000000002</v>
      </c>
    </row>
    <row r="396" spans="1:18" ht="10.5" customHeight="1" x14ac:dyDescent="0.3">
      <c r="A396" s="18"/>
      <c r="B396" s="158"/>
      <c r="C396" s="41"/>
      <c r="D396" s="156"/>
      <c r="E396" s="20"/>
      <c r="F396" s="20"/>
      <c r="G396" s="20"/>
      <c r="H396" s="20"/>
      <c r="I396" s="20"/>
      <c r="J396" s="79" t="s">
        <v>553</v>
      </c>
      <c r="K396" s="22">
        <v>5.5</v>
      </c>
      <c r="L396" s="23" t="s">
        <v>86</v>
      </c>
      <c r="M396" s="24">
        <v>38</v>
      </c>
      <c r="N396" s="94">
        <v>250</v>
      </c>
      <c r="O396" s="94"/>
      <c r="P396" s="26">
        <v>4.71</v>
      </c>
      <c r="Q396" s="152">
        <f>P396*$F$10</f>
        <v>202.53</v>
      </c>
      <c r="R396" s="28">
        <f>Q396-Q396*0.2</f>
        <v>162.024</v>
      </c>
    </row>
    <row r="397" spans="1:18" ht="10.5" customHeight="1" x14ac:dyDescent="0.3">
      <c r="A397" s="18"/>
      <c r="B397" s="158"/>
      <c r="C397" s="41"/>
      <c r="D397" s="156"/>
      <c r="E397" s="20"/>
      <c r="F397" s="20"/>
      <c r="G397" s="20"/>
      <c r="H397" s="20"/>
      <c r="I397" s="20"/>
      <c r="J397" s="79" t="s">
        <v>554</v>
      </c>
      <c r="K397" s="22">
        <v>5.5</v>
      </c>
      <c r="L397" s="23" t="s">
        <v>86</v>
      </c>
      <c r="M397" s="24">
        <v>50</v>
      </c>
      <c r="N397" s="94">
        <v>250</v>
      </c>
      <c r="O397" s="94"/>
      <c r="P397" s="26">
        <v>5.6683033666479012</v>
      </c>
      <c r="Q397" s="152">
        <f>P397*$F$10</f>
        <v>243.73704476585976</v>
      </c>
      <c r="R397" s="28">
        <f>Q397-Q397*0.2</f>
        <v>194.98963581268782</v>
      </c>
    </row>
    <row r="398" spans="1:18" ht="10.5" customHeight="1" x14ac:dyDescent="0.3">
      <c r="A398" s="118" t="s">
        <v>499</v>
      </c>
      <c r="B398" s="20"/>
      <c r="C398" s="20"/>
      <c r="D398" s="20"/>
      <c r="E398" s="20"/>
      <c r="F398" s="20"/>
      <c r="G398" s="20"/>
      <c r="H398" s="20"/>
      <c r="I398" s="20"/>
      <c r="J398" s="79" t="s">
        <v>555</v>
      </c>
      <c r="K398" s="22">
        <v>5.5</v>
      </c>
      <c r="L398" s="23" t="s">
        <v>86</v>
      </c>
      <c r="M398" s="24">
        <v>70</v>
      </c>
      <c r="N398" s="94" t="s">
        <v>101</v>
      </c>
      <c r="O398" s="94"/>
      <c r="P398" s="26">
        <v>7.1417033472615339</v>
      </c>
      <c r="Q398" s="152">
        <f>P398*$F$10</f>
        <v>307.09324393224597</v>
      </c>
      <c r="R398" s="28">
        <f>Q398-Q398*0.2</f>
        <v>245.67459514579679</v>
      </c>
    </row>
    <row r="399" spans="1:18" ht="10.5" customHeight="1" x14ac:dyDescent="0.3">
      <c r="A399" s="139" t="s">
        <v>556</v>
      </c>
      <c r="B399" s="83"/>
      <c r="C399" s="83"/>
      <c r="D399" s="83"/>
      <c r="E399" s="161"/>
      <c r="F399" s="83"/>
      <c r="G399" s="83"/>
      <c r="H399" s="83"/>
      <c r="I399" s="83"/>
      <c r="J399" s="79" t="s">
        <v>557</v>
      </c>
      <c r="K399" s="167">
        <v>5.5</v>
      </c>
      <c r="L399" s="75" t="s">
        <v>359</v>
      </c>
      <c r="M399" s="168">
        <v>90</v>
      </c>
      <c r="N399" s="94" t="s">
        <v>126</v>
      </c>
      <c r="O399" s="94"/>
      <c r="P399" s="26">
        <v>10.087829167306296</v>
      </c>
      <c r="Q399" s="52">
        <f>P399*$F$10</f>
        <v>433.77665419417076</v>
      </c>
      <c r="R399" s="28">
        <f>Q399-Q399*0.2</f>
        <v>347.02132335533662</v>
      </c>
    </row>
    <row r="400" spans="1:18" ht="10.5" customHeight="1" x14ac:dyDescent="0.3">
      <c r="A400" s="156"/>
      <c r="B400" s="20"/>
      <c r="C400" s="20"/>
      <c r="D400" s="20"/>
      <c r="E400" s="156"/>
      <c r="F400" s="20"/>
      <c r="G400" s="20"/>
      <c r="H400" s="20"/>
      <c r="I400" s="20"/>
      <c r="J400" s="39"/>
      <c r="K400" s="40"/>
      <c r="L400" s="41"/>
      <c r="M400" s="42"/>
      <c r="N400" s="97"/>
      <c r="O400" s="97"/>
      <c r="P400" s="44"/>
      <c r="Q400" s="71"/>
      <c r="R400" s="46"/>
    </row>
    <row r="401" spans="1:18" ht="10.5" customHeight="1" x14ac:dyDescent="0.3">
      <c r="A401" s="47" t="s">
        <v>558</v>
      </c>
      <c r="B401" s="49"/>
      <c r="C401" s="49"/>
      <c r="D401" s="49"/>
      <c r="E401" s="49"/>
      <c r="F401" s="49"/>
      <c r="G401" s="49"/>
      <c r="H401" s="49"/>
      <c r="I401" s="49"/>
      <c r="J401" s="446" t="s">
        <v>78</v>
      </c>
      <c r="K401" s="446" t="s">
        <v>79</v>
      </c>
      <c r="L401" s="446"/>
      <c r="M401" s="446"/>
      <c r="N401" s="447" t="s">
        <v>80</v>
      </c>
      <c r="O401" s="434"/>
      <c r="P401" s="61"/>
      <c r="Q401" s="16" t="s">
        <v>81</v>
      </c>
      <c r="R401" s="17" t="s">
        <v>82</v>
      </c>
    </row>
    <row r="402" spans="1:18" ht="10.5" customHeight="1" thickTop="1" thickBot="1" x14ac:dyDescent="0.35">
      <c r="A402" s="141" t="s">
        <v>559</v>
      </c>
      <c r="B402" s="20"/>
      <c r="C402" s="20"/>
      <c r="D402" s="20"/>
      <c r="E402" s="20"/>
      <c r="F402" s="20"/>
      <c r="G402" s="20"/>
      <c r="H402" s="20"/>
      <c r="I402" s="20"/>
      <c r="J402" s="446"/>
      <c r="K402" s="446"/>
      <c r="L402" s="446"/>
      <c r="M402" s="446"/>
      <c r="N402" s="447"/>
      <c r="O402" s="369"/>
      <c r="P402" s="68" t="s">
        <v>83</v>
      </c>
      <c r="Q402" s="15" t="s">
        <v>84</v>
      </c>
      <c r="R402" s="15" t="s">
        <v>84</v>
      </c>
    </row>
    <row r="403" spans="1:18" ht="10.5" customHeight="1" x14ac:dyDescent="0.3">
      <c r="A403" s="99"/>
      <c r="B403" s="20"/>
      <c r="C403" s="20"/>
      <c r="D403" s="20"/>
      <c r="E403" s="20"/>
      <c r="F403" s="20"/>
      <c r="G403" s="20"/>
      <c r="H403" s="20"/>
      <c r="I403" s="20"/>
      <c r="J403" s="73" t="s">
        <v>560</v>
      </c>
      <c r="K403" s="74">
        <v>5.5</v>
      </c>
      <c r="L403" s="75" t="s">
        <v>86</v>
      </c>
      <c r="M403" s="76">
        <v>70</v>
      </c>
      <c r="N403" s="169" t="s">
        <v>126</v>
      </c>
      <c r="O403" s="169"/>
      <c r="P403" s="151">
        <v>12.128934206428452</v>
      </c>
      <c r="Q403" s="60">
        <f t="shared" ref="Q403:Q410" si="53">P403*$F$10</f>
        <v>521.54417087642344</v>
      </c>
      <c r="R403" s="72">
        <f t="shared" ref="R403:R410" si="54">Q403-Q403*0.2</f>
        <v>417.23533670113875</v>
      </c>
    </row>
    <row r="404" spans="1:18" ht="10.5" customHeight="1" x14ac:dyDescent="0.3">
      <c r="A404" s="18"/>
      <c r="B404" s="20"/>
      <c r="C404" s="20"/>
      <c r="D404" s="20"/>
      <c r="E404" s="20"/>
      <c r="F404" s="20"/>
      <c r="G404" s="20"/>
      <c r="H404" s="20"/>
      <c r="I404" s="20"/>
      <c r="J404" s="79" t="s">
        <v>561</v>
      </c>
      <c r="K404" s="22">
        <v>5.5</v>
      </c>
      <c r="L404" s="23" t="s">
        <v>86</v>
      </c>
      <c r="M404" s="24">
        <v>90</v>
      </c>
      <c r="N404" s="170" t="s">
        <v>126</v>
      </c>
      <c r="O404" s="170"/>
      <c r="P404" s="26">
        <v>14.878929701433428</v>
      </c>
      <c r="Q404" s="52">
        <f t="shared" si="53"/>
        <v>639.79397716163737</v>
      </c>
      <c r="R404" s="28">
        <f t="shared" si="54"/>
        <v>511.83518172930991</v>
      </c>
    </row>
    <row r="405" spans="1:18" ht="10.5" customHeight="1" x14ac:dyDescent="0.3">
      <c r="A405" s="18"/>
      <c r="B405" s="20"/>
      <c r="C405" s="20"/>
      <c r="D405" s="20"/>
      <c r="E405" s="20"/>
      <c r="F405" s="20"/>
      <c r="G405" s="20"/>
      <c r="H405" s="20"/>
      <c r="I405" s="20"/>
      <c r="J405" s="79" t="s">
        <v>562</v>
      </c>
      <c r="K405" s="22">
        <v>5.5</v>
      </c>
      <c r="L405" s="23" t="s">
        <v>86</v>
      </c>
      <c r="M405" s="24">
        <v>110</v>
      </c>
      <c r="N405" s="170" t="s">
        <v>157</v>
      </c>
      <c r="O405" s="170"/>
      <c r="P405" s="26">
        <v>15.579950438535404</v>
      </c>
      <c r="Q405" s="52">
        <f t="shared" si="53"/>
        <v>669.93786885702241</v>
      </c>
      <c r="R405" s="28">
        <f t="shared" si="54"/>
        <v>535.95029508561788</v>
      </c>
    </row>
    <row r="406" spans="1:18" ht="10.5" customHeight="1" x14ac:dyDescent="0.3">
      <c r="A406" s="53" t="s">
        <v>499</v>
      </c>
      <c r="B406" s="20"/>
      <c r="C406" s="20"/>
      <c r="D406" s="20"/>
      <c r="E406" s="20"/>
      <c r="F406" s="20"/>
      <c r="G406" s="20"/>
      <c r="H406" s="20"/>
      <c r="I406" s="20"/>
      <c r="J406" s="79" t="s">
        <v>563</v>
      </c>
      <c r="K406" s="22">
        <v>5.5</v>
      </c>
      <c r="L406" s="23" t="s">
        <v>86</v>
      </c>
      <c r="M406" s="24">
        <v>125</v>
      </c>
      <c r="N406" s="170" t="s">
        <v>157</v>
      </c>
      <c r="O406" s="170"/>
      <c r="P406" s="26">
        <v>17.829967764448433</v>
      </c>
      <c r="Q406" s="52">
        <f t="shared" si="53"/>
        <v>766.68861387128266</v>
      </c>
      <c r="R406" s="28">
        <f t="shared" si="54"/>
        <v>613.35089109702608</v>
      </c>
    </row>
    <row r="407" spans="1:18" ht="10.5" customHeight="1" x14ac:dyDescent="0.3">
      <c r="A407" s="53" t="s">
        <v>564</v>
      </c>
      <c r="B407" s="20"/>
      <c r="C407" s="20"/>
      <c r="D407" s="20"/>
      <c r="E407" s="20"/>
      <c r="F407" s="20"/>
      <c r="G407" s="20"/>
      <c r="H407" s="20"/>
      <c r="I407" s="20"/>
      <c r="J407" s="79" t="s">
        <v>565</v>
      </c>
      <c r="K407" s="22">
        <v>5.5</v>
      </c>
      <c r="L407" s="23" t="s">
        <v>86</v>
      </c>
      <c r="M407" s="24">
        <v>150</v>
      </c>
      <c r="N407" s="170" t="s">
        <v>192</v>
      </c>
      <c r="O407" s="170"/>
      <c r="P407" s="26">
        <v>22.029943468605197</v>
      </c>
      <c r="Q407" s="52">
        <f t="shared" si="53"/>
        <v>947.2875691500235</v>
      </c>
      <c r="R407" s="28">
        <f t="shared" si="54"/>
        <v>757.8300553200188</v>
      </c>
    </row>
    <row r="408" spans="1:18" ht="10.5" customHeight="1" x14ac:dyDescent="0.3">
      <c r="A408" s="459"/>
      <c r="B408" s="460"/>
      <c r="C408" s="460"/>
      <c r="D408" s="460"/>
      <c r="E408" s="461"/>
      <c r="F408" s="172"/>
      <c r="G408" s="173"/>
      <c r="H408" s="174"/>
      <c r="I408" s="20"/>
      <c r="J408" s="79" t="s">
        <v>566</v>
      </c>
      <c r="K408" s="22">
        <v>5.5</v>
      </c>
      <c r="L408" s="23" t="s">
        <v>86</v>
      </c>
      <c r="M408" s="24">
        <v>175</v>
      </c>
      <c r="N408" s="170" t="s">
        <v>192</v>
      </c>
      <c r="O408" s="170"/>
      <c r="P408" s="26">
        <v>29.92999997103659</v>
      </c>
      <c r="Q408" s="52">
        <f t="shared" si="53"/>
        <v>1286.9899987545734</v>
      </c>
      <c r="R408" s="28">
        <f t="shared" si="54"/>
        <v>1029.5919990036587</v>
      </c>
    </row>
    <row r="409" spans="1:18" ht="10.5" customHeight="1" x14ac:dyDescent="0.3">
      <c r="A409" s="459"/>
      <c r="B409" s="460"/>
      <c r="C409" s="460"/>
      <c r="D409" s="460"/>
      <c r="E409" s="461"/>
      <c r="F409" s="175"/>
      <c r="G409" s="172"/>
      <c r="H409" s="172"/>
      <c r="I409" s="20"/>
      <c r="J409" s="79" t="s">
        <v>567</v>
      </c>
      <c r="K409" s="22">
        <v>5.5</v>
      </c>
      <c r="L409" s="23" t="s">
        <v>86</v>
      </c>
      <c r="M409" s="24">
        <v>200</v>
      </c>
      <c r="N409" s="170" t="s">
        <v>50</v>
      </c>
      <c r="O409" s="170"/>
      <c r="P409" s="26">
        <v>35.545496410747461</v>
      </c>
      <c r="Q409" s="52">
        <f t="shared" si="53"/>
        <v>1528.4563456621408</v>
      </c>
      <c r="R409" s="28">
        <f t="shared" si="54"/>
        <v>1222.7650765297126</v>
      </c>
    </row>
    <row r="410" spans="1:18" ht="10.5" customHeight="1" x14ac:dyDescent="0.3">
      <c r="A410" s="55"/>
      <c r="B410" s="83"/>
      <c r="C410" s="83"/>
      <c r="D410" s="83"/>
      <c r="E410" s="83"/>
      <c r="F410" s="83"/>
      <c r="G410" s="83"/>
      <c r="H410" s="83"/>
      <c r="I410" s="83"/>
      <c r="J410" s="79" t="s">
        <v>568</v>
      </c>
      <c r="K410" s="22">
        <v>5.5</v>
      </c>
      <c r="L410" s="23" t="s">
        <v>86</v>
      </c>
      <c r="M410" s="24">
        <v>230</v>
      </c>
      <c r="N410" s="170" t="s">
        <v>50</v>
      </c>
      <c r="O410" s="170"/>
      <c r="P410" s="26">
        <v>53.400945367996009</v>
      </c>
      <c r="Q410" s="52">
        <f t="shared" si="53"/>
        <v>2296.2406508238282</v>
      </c>
      <c r="R410" s="28">
        <f t="shared" si="54"/>
        <v>1836.9925206590626</v>
      </c>
    </row>
    <row r="411" spans="1:18" ht="10.5" customHeight="1" x14ac:dyDescent="0.3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</row>
    <row r="412" spans="1:18" ht="10.5" customHeight="1" x14ac:dyDescent="0.3">
      <c r="A412" s="47" t="s">
        <v>569</v>
      </c>
      <c r="B412" s="48" t="s">
        <v>570</v>
      </c>
      <c r="C412" s="49"/>
      <c r="D412" s="49"/>
      <c r="E412" s="49"/>
      <c r="F412" s="49"/>
      <c r="G412" s="49"/>
      <c r="H412" s="49"/>
      <c r="I412" s="49"/>
      <c r="J412" s="446" t="s">
        <v>78</v>
      </c>
      <c r="K412" s="446" t="s">
        <v>79</v>
      </c>
      <c r="L412" s="446"/>
      <c r="M412" s="446"/>
      <c r="N412" s="447" t="s">
        <v>80</v>
      </c>
      <c r="O412" s="434"/>
      <c r="P412" s="61"/>
      <c r="Q412" s="16" t="s">
        <v>81</v>
      </c>
      <c r="R412" s="17" t="s">
        <v>82</v>
      </c>
    </row>
    <row r="413" spans="1:18" ht="10.5" customHeight="1" thickTop="1" x14ac:dyDescent="0.3">
      <c r="A413" s="18"/>
      <c r="B413" s="20"/>
      <c r="C413" s="20"/>
      <c r="D413" s="20"/>
      <c r="E413" s="20"/>
      <c r="F413" s="20"/>
      <c r="G413" s="20"/>
      <c r="H413" s="20"/>
      <c r="I413" s="20"/>
      <c r="J413" s="446"/>
      <c r="K413" s="446"/>
      <c r="L413" s="446"/>
      <c r="M413" s="446"/>
      <c r="N413" s="447"/>
      <c r="O413" s="369"/>
      <c r="P413" s="68" t="s">
        <v>83</v>
      </c>
      <c r="Q413" s="15" t="s">
        <v>84</v>
      </c>
      <c r="R413" s="15" t="s">
        <v>84</v>
      </c>
    </row>
    <row r="414" spans="1:18" ht="10.5" customHeight="1" x14ac:dyDescent="0.3">
      <c r="A414" s="18"/>
      <c r="B414" s="20"/>
      <c r="C414" s="20"/>
      <c r="D414" s="20"/>
      <c r="E414" s="20"/>
      <c r="F414" s="20"/>
      <c r="G414" s="20"/>
      <c r="H414" s="20"/>
      <c r="I414" s="20"/>
      <c r="J414" s="79" t="s">
        <v>571</v>
      </c>
      <c r="K414" s="22">
        <v>5.5</v>
      </c>
      <c r="L414" s="23" t="s">
        <v>86</v>
      </c>
      <c r="M414" s="24">
        <v>19</v>
      </c>
      <c r="N414" s="94">
        <v>500</v>
      </c>
      <c r="O414" s="94"/>
      <c r="P414" s="26">
        <v>2.09</v>
      </c>
      <c r="Q414" s="111">
        <f t="shared" ref="Q414:Q433" si="55">P414*$F$10</f>
        <v>89.86999999999999</v>
      </c>
      <c r="R414" s="28">
        <f t="shared" ref="R414:R433" si="56">Q414-Q414*0.2</f>
        <v>71.895999999999987</v>
      </c>
    </row>
    <row r="415" spans="1:18" ht="10.5" customHeight="1" x14ac:dyDescent="0.3">
      <c r="A415" s="18"/>
      <c r="B415" s="20"/>
      <c r="C415" s="20"/>
      <c r="D415" s="20"/>
      <c r="E415" s="20"/>
      <c r="F415" s="20"/>
      <c r="G415" s="20"/>
      <c r="H415" s="20"/>
      <c r="I415" s="20"/>
      <c r="J415" s="79" t="s">
        <v>572</v>
      </c>
      <c r="K415" s="22">
        <v>5.5</v>
      </c>
      <c r="L415" s="23" t="s">
        <v>86</v>
      </c>
      <c r="M415" s="24">
        <v>25</v>
      </c>
      <c r="N415" s="94">
        <v>250</v>
      </c>
      <c r="O415" s="94"/>
      <c r="P415" s="26">
        <v>2.4300000000000002</v>
      </c>
      <c r="Q415" s="111">
        <f t="shared" si="55"/>
        <v>104.49000000000001</v>
      </c>
      <c r="R415" s="28">
        <f t="shared" si="56"/>
        <v>83.592000000000013</v>
      </c>
    </row>
    <row r="416" spans="1:18" ht="10.5" customHeight="1" x14ac:dyDescent="0.3">
      <c r="A416" s="118" t="s">
        <v>499</v>
      </c>
      <c r="B416" s="20"/>
      <c r="C416" s="20"/>
      <c r="D416" s="20"/>
      <c r="E416" s="20"/>
      <c r="F416" s="20"/>
      <c r="G416" s="20"/>
      <c r="H416" s="20"/>
      <c r="I416" s="20"/>
      <c r="J416" s="79" t="s">
        <v>573</v>
      </c>
      <c r="K416" s="22">
        <v>5.5</v>
      </c>
      <c r="L416" s="23" t="s">
        <v>86</v>
      </c>
      <c r="M416" s="24">
        <v>32</v>
      </c>
      <c r="N416" s="94">
        <v>250</v>
      </c>
      <c r="O416" s="94"/>
      <c r="P416" s="26">
        <v>2.91</v>
      </c>
      <c r="Q416" s="111">
        <f t="shared" si="55"/>
        <v>125.13000000000001</v>
      </c>
      <c r="R416" s="28">
        <f t="shared" si="56"/>
        <v>100.10400000000001</v>
      </c>
    </row>
    <row r="417" spans="1:18" ht="10.5" customHeight="1" x14ac:dyDescent="0.3">
      <c r="A417" s="118" t="s">
        <v>574</v>
      </c>
      <c r="B417" s="20"/>
      <c r="C417" s="20"/>
      <c r="D417" s="20"/>
      <c r="E417" s="20"/>
      <c r="F417" s="20"/>
      <c r="G417" s="20"/>
      <c r="H417" s="20"/>
      <c r="I417" s="20"/>
      <c r="J417" s="79" t="s">
        <v>575</v>
      </c>
      <c r="K417" s="22">
        <v>5.5</v>
      </c>
      <c r="L417" s="23" t="s">
        <v>86</v>
      </c>
      <c r="M417" s="24">
        <v>38</v>
      </c>
      <c r="N417" s="94">
        <v>250</v>
      </c>
      <c r="O417" s="94"/>
      <c r="P417" s="26">
        <v>3.25</v>
      </c>
      <c r="Q417" s="111">
        <f t="shared" si="55"/>
        <v>139.75</v>
      </c>
      <c r="R417" s="28">
        <f t="shared" si="56"/>
        <v>111.8</v>
      </c>
    </row>
    <row r="418" spans="1:18" ht="10.5" customHeight="1" thickBot="1" x14ac:dyDescent="0.35">
      <c r="A418" s="446" t="s">
        <v>78</v>
      </c>
      <c r="B418" s="446" t="s">
        <v>79</v>
      </c>
      <c r="C418" s="446"/>
      <c r="D418" s="446"/>
      <c r="E418" s="447" t="s">
        <v>80</v>
      </c>
      <c r="F418" s="61"/>
      <c r="G418" s="16" t="s">
        <v>81</v>
      </c>
      <c r="H418" s="17" t="s">
        <v>82</v>
      </c>
      <c r="I418" s="20"/>
      <c r="J418" s="79" t="s">
        <v>576</v>
      </c>
      <c r="K418" s="22">
        <v>5.5</v>
      </c>
      <c r="L418" s="23" t="s">
        <v>86</v>
      </c>
      <c r="M418" s="24">
        <v>45</v>
      </c>
      <c r="N418" s="94">
        <v>250</v>
      </c>
      <c r="O418" s="94"/>
      <c r="P418" s="26">
        <v>3.74</v>
      </c>
      <c r="Q418" s="111">
        <f t="shared" si="55"/>
        <v>160.82000000000002</v>
      </c>
      <c r="R418" s="28">
        <f t="shared" si="56"/>
        <v>128.65600000000001</v>
      </c>
    </row>
    <row r="419" spans="1:18" ht="10.5" customHeight="1" thickTop="1" x14ac:dyDescent="0.3">
      <c r="A419" s="446"/>
      <c r="B419" s="446"/>
      <c r="C419" s="446"/>
      <c r="D419" s="446"/>
      <c r="E419" s="447"/>
      <c r="F419" s="68" t="s">
        <v>83</v>
      </c>
      <c r="G419" s="15" t="s">
        <v>84</v>
      </c>
      <c r="H419" s="15" t="s">
        <v>84</v>
      </c>
      <c r="I419" s="20"/>
      <c r="J419" s="79" t="s">
        <v>577</v>
      </c>
      <c r="K419" s="22">
        <v>5.5</v>
      </c>
      <c r="L419" s="23" t="s">
        <v>86</v>
      </c>
      <c r="M419" s="24">
        <v>50</v>
      </c>
      <c r="N419" s="94">
        <v>200</v>
      </c>
      <c r="O419" s="94"/>
      <c r="P419" s="26">
        <v>4.09</v>
      </c>
      <c r="Q419" s="111">
        <f t="shared" si="55"/>
        <v>175.87</v>
      </c>
      <c r="R419" s="28">
        <f t="shared" si="56"/>
        <v>140.696</v>
      </c>
    </row>
    <row r="420" spans="1:18" ht="10.5" customHeight="1" x14ac:dyDescent="0.3">
      <c r="A420" s="121" t="s">
        <v>578</v>
      </c>
      <c r="B420" s="22">
        <v>4.2</v>
      </c>
      <c r="C420" s="23" t="s">
        <v>86</v>
      </c>
      <c r="D420" s="24">
        <v>13</v>
      </c>
      <c r="E420" s="94">
        <v>1000</v>
      </c>
      <c r="F420" s="26">
        <v>1.31</v>
      </c>
      <c r="G420" s="111">
        <f t="shared" ref="G420:G434" si="57">F420*$F$10</f>
        <v>56.330000000000005</v>
      </c>
      <c r="H420" s="28">
        <f t="shared" ref="H420:H434" si="58">G420-G420*0.2</f>
        <v>45.064000000000007</v>
      </c>
      <c r="I420" s="20"/>
      <c r="J420" s="79" t="s">
        <v>579</v>
      </c>
      <c r="K420" s="22">
        <v>5.5</v>
      </c>
      <c r="L420" s="23" t="s">
        <v>86</v>
      </c>
      <c r="M420" s="24">
        <v>60</v>
      </c>
      <c r="N420" s="94">
        <v>200</v>
      </c>
      <c r="O420" s="94"/>
      <c r="P420" s="26">
        <v>4.8600000000000003</v>
      </c>
      <c r="Q420" s="111">
        <f t="shared" si="55"/>
        <v>208.98000000000002</v>
      </c>
      <c r="R420" s="28">
        <f t="shared" si="56"/>
        <v>167.18400000000003</v>
      </c>
    </row>
    <row r="421" spans="1:18" ht="10.5" customHeight="1" x14ac:dyDescent="0.3">
      <c r="A421" s="79" t="s">
        <v>580</v>
      </c>
      <c r="B421" s="22">
        <v>4.2</v>
      </c>
      <c r="C421" s="23" t="s">
        <v>86</v>
      </c>
      <c r="D421" s="24">
        <v>16</v>
      </c>
      <c r="E421" s="94">
        <v>1000</v>
      </c>
      <c r="F421" s="26">
        <v>1.37</v>
      </c>
      <c r="G421" s="111">
        <f t="shared" si="57"/>
        <v>58.910000000000004</v>
      </c>
      <c r="H421" s="28">
        <f t="shared" si="58"/>
        <v>47.128</v>
      </c>
      <c r="I421" s="20"/>
      <c r="J421" s="79" t="s">
        <v>581</v>
      </c>
      <c r="K421" s="22">
        <v>5.5</v>
      </c>
      <c r="L421" s="23" t="s">
        <v>86</v>
      </c>
      <c r="M421" s="24">
        <v>75</v>
      </c>
      <c r="N421" s="94">
        <v>200</v>
      </c>
      <c r="O421" s="94"/>
      <c r="P421" s="26">
        <v>5.68</v>
      </c>
      <c r="Q421" s="111">
        <f t="shared" si="55"/>
        <v>244.23999999999998</v>
      </c>
      <c r="R421" s="28">
        <f t="shared" si="56"/>
        <v>195.392</v>
      </c>
    </row>
    <row r="422" spans="1:18" ht="10.5" customHeight="1" x14ac:dyDescent="0.3">
      <c r="A422" s="79" t="s">
        <v>582</v>
      </c>
      <c r="B422" s="22">
        <v>4.2</v>
      </c>
      <c r="C422" s="23" t="s">
        <v>86</v>
      </c>
      <c r="D422" s="24">
        <v>19</v>
      </c>
      <c r="E422" s="94">
        <v>1000</v>
      </c>
      <c r="F422" s="26">
        <v>1.42</v>
      </c>
      <c r="G422" s="111">
        <f t="shared" si="57"/>
        <v>61.059999999999995</v>
      </c>
      <c r="H422" s="28">
        <f t="shared" si="58"/>
        <v>48.847999999999999</v>
      </c>
      <c r="I422" s="20"/>
      <c r="J422" s="79" t="s">
        <v>583</v>
      </c>
      <c r="K422" s="22">
        <v>6.3</v>
      </c>
      <c r="L422" s="23" t="s">
        <v>86</v>
      </c>
      <c r="M422" s="24">
        <v>19</v>
      </c>
      <c r="N422" s="94">
        <v>250</v>
      </c>
      <c r="O422" s="94"/>
      <c r="P422" s="26">
        <v>3.3</v>
      </c>
      <c r="Q422" s="111">
        <f t="shared" si="55"/>
        <v>141.9</v>
      </c>
      <c r="R422" s="28">
        <f t="shared" si="56"/>
        <v>113.52000000000001</v>
      </c>
    </row>
    <row r="423" spans="1:18" ht="10.5" customHeight="1" x14ac:dyDescent="0.3">
      <c r="A423" s="79" t="s">
        <v>584</v>
      </c>
      <c r="B423" s="22">
        <v>4.2</v>
      </c>
      <c r="C423" s="23" t="s">
        <v>86</v>
      </c>
      <c r="D423" s="24">
        <v>25</v>
      </c>
      <c r="E423" s="94">
        <v>1000</v>
      </c>
      <c r="F423" s="26">
        <v>1.54</v>
      </c>
      <c r="G423" s="111">
        <f t="shared" si="57"/>
        <v>66.22</v>
      </c>
      <c r="H423" s="28">
        <f t="shared" si="58"/>
        <v>52.975999999999999</v>
      </c>
      <c r="I423" s="20"/>
      <c r="J423" s="79" t="s">
        <v>585</v>
      </c>
      <c r="K423" s="22">
        <v>6.3</v>
      </c>
      <c r="L423" s="23" t="s">
        <v>86</v>
      </c>
      <c r="M423" s="24">
        <v>25</v>
      </c>
      <c r="N423" s="94">
        <v>250</v>
      </c>
      <c r="O423" s="94"/>
      <c r="P423" s="26">
        <v>3.68</v>
      </c>
      <c r="Q423" s="111">
        <f t="shared" si="55"/>
        <v>158.24</v>
      </c>
      <c r="R423" s="28">
        <f t="shared" si="56"/>
        <v>126.59200000000001</v>
      </c>
    </row>
    <row r="424" spans="1:18" ht="10.5" customHeight="1" x14ac:dyDescent="0.3">
      <c r="A424" s="79" t="s">
        <v>586</v>
      </c>
      <c r="B424" s="22">
        <v>4.2</v>
      </c>
      <c r="C424" s="23" t="s">
        <v>86</v>
      </c>
      <c r="D424" s="24">
        <v>32</v>
      </c>
      <c r="E424" s="94">
        <v>1000</v>
      </c>
      <c r="F424" s="26">
        <v>1.77</v>
      </c>
      <c r="G424" s="111">
        <f t="shared" si="57"/>
        <v>76.11</v>
      </c>
      <c r="H424" s="28">
        <f t="shared" si="58"/>
        <v>60.887999999999998</v>
      </c>
      <c r="I424" s="20"/>
      <c r="J424" s="79" t="s">
        <v>587</v>
      </c>
      <c r="K424" s="22">
        <v>6.3</v>
      </c>
      <c r="L424" s="23" t="s">
        <v>86</v>
      </c>
      <c r="M424" s="24">
        <v>32</v>
      </c>
      <c r="N424" s="94">
        <v>250</v>
      </c>
      <c r="O424" s="94"/>
      <c r="P424" s="26">
        <v>4.4400000000000004</v>
      </c>
      <c r="Q424" s="111">
        <f t="shared" si="55"/>
        <v>190.92000000000002</v>
      </c>
      <c r="R424" s="28">
        <f t="shared" si="56"/>
        <v>152.73600000000002</v>
      </c>
    </row>
    <row r="425" spans="1:18" ht="10.5" customHeight="1" x14ac:dyDescent="0.3">
      <c r="A425" s="79" t="s">
        <v>588</v>
      </c>
      <c r="B425" s="22">
        <v>4.8</v>
      </c>
      <c r="C425" s="23" t="s">
        <v>86</v>
      </c>
      <c r="D425" s="24">
        <v>13</v>
      </c>
      <c r="E425" s="94">
        <v>1000</v>
      </c>
      <c r="F425" s="26">
        <v>1.75</v>
      </c>
      <c r="G425" s="111">
        <f t="shared" si="57"/>
        <v>75.25</v>
      </c>
      <c r="H425" s="28">
        <f t="shared" si="58"/>
        <v>60.2</v>
      </c>
      <c r="I425" s="20"/>
      <c r="J425" s="134" t="s">
        <v>589</v>
      </c>
      <c r="K425" s="32">
        <v>6.3</v>
      </c>
      <c r="L425" s="33" t="s">
        <v>86</v>
      </c>
      <c r="M425" s="34">
        <v>38</v>
      </c>
      <c r="N425" s="93">
        <v>200</v>
      </c>
      <c r="O425" s="93"/>
      <c r="P425" s="26">
        <v>5.09</v>
      </c>
      <c r="Q425" s="111">
        <f t="shared" si="55"/>
        <v>218.87</v>
      </c>
      <c r="R425" s="28">
        <f t="shared" si="56"/>
        <v>175.096</v>
      </c>
    </row>
    <row r="426" spans="1:18" ht="10.5" customHeight="1" x14ac:dyDescent="0.3">
      <c r="A426" s="79" t="s">
        <v>590</v>
      </c>
      <c r="B426" s="22">
        <v>4.8</v>
      </c>
      <c r="C426" s="23" t="s">
        <v>86</v>
      </c>
      <c r="D426" s="24">
        <v>16</v>
      </c>
      <c r="E426" s="94">
        <v>500</v>
      </c>
      <c r="F426" s="26">
        <v>1.83</v>
      </c>
      <c r="G426" s="111">
        <f t="shared" si="57"/>
        <v>78.69</v>
      </c>
      <c r="H426" s="28">
        <f t="shared" si="58"/>
        <v>62.951999999999998</v>
      </c>
      <c r="I426" s="20"/>
      <c r="J426" s="79" t="s">
        <v>591</v>
      </c>
      <c r="K426" s="22">
        <v>6.3</v>
      </c>
      <c r="L426" s="23" t="s">
        <v>86</v>
      </c>
      <c r="M426" s="24">
        <v>50</v>
      </c>
      <c r="N426" s="94">
        <v>100</v>
      </c>
      <c r="O426" s="94"/>
      <c r="P426" s="26">
        <v>6.05</v>
      </c>
      <c r="Q426" s="111">
        <f t="shared" si="55"/>
        <v>260.14999999999998</v>
      </c>
      <c r="R426" s="28">
        <f t="shared" si="56"/>
        <v>208.11999999999998</v>
      </c>
    </row>
    <row r="427" spans="1:18" ht="10.5" customHeight="1" x14ac:dyDescent="0.3">
      <c r="A427" s="79" t="s">
        <v>592</v>
      </c>
      <c r="B427" s="22">
        <v>4.8</v>
      </c>
      <c r="C427" s="23" t="s">
        <v>86</v>
      </c>
      <c r="D427" s="24">
        <v>19</v>
      </c>
      <c r="E427" s="94">
        <v>500</v>
      </c>
      <c r="F427" s="26">
        <v>1.91</v>
      </c>
      <c r="G427" s="111">
        <f t="shared" si="57"/>
        <v>82.13</v>
      </c>
      <c r="H427" s="28">
        <f t="shared" si="58"/>
        <v>65.703999999999994</v>
      </c>
      <c r="I427" s="20"/>
      <c r="J427" s="79" t="s">
        <v>593</v>
      </c>
      <c r="K427" s="22">
        <v>6.3</v>
      </c>
      <c r="L427" s="23" t="s">
        <v>86</v>
      </c>
      <c r="M427" s="24">
        <v>60</v>
      </c>
      <c r="N427" s="94">
        <v>250</v>
      </c>
      <c r="O427" s="94"/>
      <c r="P427" s="26">
        <v>6.79</v>
      </c>
      <c r="Q427" s="111">
        <f t="shared" si="55"/>
        <v>291.97000000000003</v>
      </c>
      <c r="R427" s="28">
        <f t="shared" si="56"/>
        <v>233.57600000000002</v>
      </c>
    </row>
    <row r="428" spans="1:18" ht="10.5" customHeight="1" x14ac:dyDescent="0.3">
      <c r="A428" s="79" t="s">
        <v>594</v>
      </c>
      <c r="B428" s="22">
        <v>4.8</v>
      </c>
      <c r="C428" s="23" t="s">
        <v>86</v>
      </c>
      <c r="D428" s="24">
        <v>25</v>
      </c>
      <c r="E428" s="94">
        <v>500</v>
      </c>
      <c r="F428" s="26">
        <v>2.06</v>
      </c>
      <c r="G428" s="111">
        <f t="shared" si="57"/>
        <v>88.58</v>
      </c>
      <c r="H428" s="28">
        <f t="shared" si="58"/>
        <v>70.864000000000004</v>
      </c>
      <c r="I428" s="20"/>
      <c r="J428" s="79" t="s">
        <v>595</v>
      </c>
      <c r="K428" s="22">
        <v>6.3</v>
      </c>
      <c r="L428" s="23" t="s">
        <v>86</v>
      </c>
      <c r="M428" s="24">
        <v>63</v>
      </c>
      <c r="N428" s="94">
        <v>250</v>
      </c>
      <c r="O428" s="94"/>
      <c r="P428" s="26">
        <v>7.25</v>
      </c>
      <c r="Q428" s="111">
        <f t="shared" si="55"/>
        <v>311.75</v>
      </c>
      <c r="R428" s="28">
        <f t="shared" si="56"/>
        <v>249.4</v>
      </c>
    </row>
    <row r="429" spans="1:18" ht="10.5" customHeight="1" x14ac:dyDescent="0.3">
      <c r="A429" s="79" t="s">
        <v>596</v>
      </c>
      <c r="B429" s="22">
        <v>4.8</v>
      </c>
      <c r="C429" s="23" t="s">
        <v>86</v>
      </c>
      <c r="D429" s="24">
        <v>32</v>
      </c>
      <c r="E429" s="94">
        <v>500</v>
      </c>
      <c r="F429" s="26">
        <v>2.37</v>
      </c>
      <c r="G429" s="111">
        <f t="shared" si="57"/>
        <v>101.91000000000001</v>
      </c>
      <c r="H429" s="28">
        <f t="shared" si="58"/>
        <v>81.528000000000006</v>
      </c>
      <c r="I429" s="20"/>
      <c r="J429" s="79" t="s">
        <v>597</v>
      </c>
      <c r="K429" s="22">
        <v>6.3</v>
      </c>
      <c r="L429" s="23" t="s">
        <v>86</v>
      </c>
      <c r="M429" s="24">
        <v>70</v>
      </c>
      <c r="N429" s="94">
        <v>100</v>
      </c>
      <c r="O429" s="94"/>
      <c r="P429" s="26">
        <v>8</v>
      </c>
      <c r="Q429" s="111">
        <f t="shared" si="55"/>
        <v>344</v>
      </c>
      <c r="R429" s="28">
        <f t="shared" si="56"/>
        <v>275.2</v>
      </c>
    </row>
    <row r="430" spans="1:18" ht="10.5" customHeight="1" x14ac:dyDescent="0.3">
      <c r="A430" s="79" t="s">
        <v>598</v>
      </c>
      <c r="B430" s="22">
        <v>4.8</v>
      </c>
      <c r="C430" s="23" t="s">
        <v>86</v>
      </c>
      <c r="D430" s="24">
        <v>38</v>
      </c>
      <c r="E430" s="94">
        <v>250</v>
      </c>
      <c r="F430" s="26">
        <v>2.65</v>
      </c>
      <c r="G430" s="111">
        <f t="shared" si="57"/>
        <v>113.95</v>
      </c>
      <c r="H430" s="28">
        <f t="shared" si="58"/>
        <v>91.16</v>
      </c>
      <c r="I430" s="20"/>
      <c r="J430" s="79" t="s">
        <v>599</v>
      </c>
      <c r="K430" s="22">
        <v>6.3</v>
      </c>
      <c r="L430" s="23" t="s">
        <v>86</v>
      </c>
      <c r="M430" s="24">
        <v>75</v>
      </c>
      <c r="N430" s="94">
        <v>100</v>
      </c>
      <c r="O430" s="94"/>
      <c r="P430" s="26">
        <v>8.14</v>
      </c>
      <c r="Q430" s="111">
        <f t="shared" si="55"/>
        <v>350.02000000000004</v>
      </c>
      <c r="R430" s="28">
        <f t="shared" si="56"/>
        <v>280.01600000000002</v>
      </c>
    </row>
    <row r="431" spans="1:18" ht="10.5" customHeight="1" x14ac:dyDescent="0.3">
      <c r="A431" s="79" t="s">
        <v>600</v>
      </c>
      <c r="B431" s="22">
        <v>4.8</v>
      </c>
      <c r="C431" s="23" t="s">
        <v>86</v>
      </c>
      <c r="D431" s="24">
        <v>45</v>
      </c>
      <c r="E431" s="94">
        <v>250</v>
      </c>
      <c r="F431" s="26">
        <v>3.03</v>
      </c>
      <c r="G431" s="111">
        <f t="shared" si="57"/>
        <v>130.29</v>
      </c>
      <c r="H431" s="28">
        <f t="shared" si="58"/>
        <v>104.232</v>
      </c>
      <c r="I431" s="20"/>
      <c r="J431" s="121" t="s">
        <v>601</v>
      </c>
      <c r="K431" s="22">
        <v>6.3</v>
      </c>
      <c r="L431" s="23" t="s">
        <v>86</v>
      </c>
      <c r="M431" s="24">
        <v>90</v>
      </c>
      <c r="N431" s="94">
        <v>100</v>
      </c>
      <c r="O431" s="94"/>
      <c r="P431" s="26">
        <v>9.07</v>
      </c>
      <c r="Q431" s="111">
        <f t="shared" si="55"/>
        <v>390.01</v>
      </c>
      <c r="R431" s="28">
        <f t="shared" si="56"/>
        <v>312.00799999999998</v>
      </c>
    </row>
    <row r="432" spans="1:18" ht="10.5" customHeight="1" x14ac:dyDescent="0.3">
      <c r="A432" s="79" t="s">
        <v>602</v>
      </c>
      <c r="B432" s="22">
        <v>4.8</v>
      </c>
      <c r="C432" s="23" t="s">
        <v>86</v>
      </c>
      <c r="D432" s="24">
        <v>50</v>
      </c>
      <c r="E432" s="94">
        <v>250</v>
      </c>
      <c r="F432" s="26">
        <v>3.26</v>
      </c>
      <c r="G432" s="111">
        <f t="shared" si="57"/>
        <v>140.17999999999998</v>
      </c>
      <c r="H432" s="28">
        <f t="shared" si="58"/>
        <v>112.14399999999998</v>
      </c>
      <c r="I432" s="20"/>
      <c r="J432" s="79" t="s">
        <v>603</v>
      </c>
      <c r="K432" s="22">
        <v>6.3</v>
      </c>
      <c r="L432" s="23" t="s">
        <v>86</v>
      </c>
      <c r="M432" s="24">
        <v>100</v>
      </c>
      <c r="N432" s="94">
        <v>100</v>
      </c>
      <c r="O432" s="94"/>
      <c r="P432" s="26">
        <v>10.25</v>
      </c>
      <c r="Q432" s="111">
        <f t="shared" si="55"/>
        <v>440.75</v>
      </c>
      <c r="R432" s="28">
        <f t="shared" si="56"/>
        <v>352.6</v>
      </c>
    </row>
    <row r="433" spans="1:18" ht="10.5" customHeight="1" x14ac:dyDescent="0.3">
      <c r="A433" s="79" t="s">
        <v>604</v>
      </c>
      <c r="B433" s="22">
        <v>4.8</v>
      </c>
      <c r="C433" s="23" t="s">
        <v>86</v>
      </c>
      <c r="D433" s="24">
        <v>60</v>
      </c>
      <c r="E433" s="94">
        <v>250</v>
      </c>
      <c r="F433" s="26">
        <v>3.63</v>
      </c>
      <c r="G433" s="111">
        <f t="shared" si="57"/>
        <v>156.09</v>
      </c>
      <c r="H433" s="28">
        <f t="shared" si="58"/>
        <v>124.872</v>
      </c>
      <c r="I433" s="176"/>
      <c r="J433" s="177" t="s">
        <v>605</v>
      </c>
      <c r="K433" s="22">
        <v>6.3</v>
      </c>
      <c r="L433" s="23" t="s">
        <v>86</v>
      </c>
      <c r="M433" s="24">
        <v>120</v>
      </c>
      <c r="N433" s="94">
        <v>100</v>
      </c>
      <c r="O433" s="94"/>
      <c r="P433" s="26">
        <v>11.81</v>
      </c>
      <c r="Q433" s="111">
        <f t="shared" si="55"/>
        <v>507.83000000000004</v>
      </c>
      <c r="R433" s="28">
        <f t="shared" si="56"/>
        <v>406.26400000000001</v>
      </c>
    </row>
    <row r="434" spans="1:18" ht="10.5" customHeight="1" x14ac:dyDescent="0.3">
      <c r="A434" s="79" t="s">
        <v>606</v>
      </c>
      <c r="B434" s="22">
        <v>4.8</v>
      </c>
      <c r="C434" s="23" t="s">
        <v>86</v>
      </c>
      <c r="D434" s="24">
        <v>75</v>
      </c>
      <c r="E434" s="94">
        <v>200</v>
      </c>
      <c r="F434" s="26">
        <v>4.38</v>
      </c>
      <c r="G434" s="111">
        <f t="shared" si="57"/>
        <v>188.34</v>
      </c>
      <c r="H434" s="28">
        <f t="shared" si="58"/>
        <v>150.672</v>
      </c>
      <c r="I434" s="54"/>
      <c r="J434" s="39"/>
      <c r="K434" s="40"/>
      <c r="L434" s="41"/>
      <c r="M434" s="42"/>
      <c r="N434" s="97"/>
      <c r="O434" s="97"/>
      <c r="P434" s="44"/>
      <c r="Q434" s="46"/>
      <c r="R434" s="46"/>
    </row>
    <row r="435" spans="1:18" ht="10.5" customHeight="1" x14ac:dyDescent="0.3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</row>
    <row r="436" spans="1:18" ht="10.5" customHeight="1" thickBot="1" x14ac:dyDescent="0.35">
      <c r="A436" s="47" t="s">
        <v>607</v>
      </c>
      <c r="B436" s="49"/>
      <c r="C436" s="49"/>
      <c r="D436" s="49"/>
      <c r="E436" s="49"/>
      <c r="F436" s="49"/>
      <c r="G436" s="49"/>
      <c r="H436" s="49"/>
      <c r="I436" s="49"/>
      <c r="J436" s="446" t="s">
        <v>78</v>
      </c>
      <c r="K436" s="446" t="s">
        <v>79</v>
      </c>
      <c r="L436" s="446"/>
      <c r="M436" s="446"/>
      <c r="N436" s="447" t="s">
        <v>80</v>
      </c>
      <c r="O436" s="434"/>
      <c r="P436" s="61"/>
      <c r="Q436" s="16" t="s">
        <v>81</v>
      </c>
      <c r="R436" s="17" t="s">
        <v>82</v>
      </c>
    </row>
    <row r="437" spans="1:18" ht="10.5" customHeight="1" thickTop="1" x14ac:dyDescent="0.3">
      <c r="A437" s="99" t="s">
        <v>608</v>
      </c>
      <c r="B437" s="20"/>
      <c r="C437" s="20"/>
      <c r="D437" s="20"/>
      <c r="E437" s="20"/>
      <c r="F437" s="20"/>
      <c r="G437" s="20"/>
      <c r="H437" s="20"/>
      <c r="I437" s="20"/>
      <c r="J437" s="446"/>
      <c r="K437" s="446"/>
      <c r="L437" s="446"/>
      <c r="M437" s="446"/>
      <c r="N437" s="447"/>
      <c r="O437" s="369"/>
      <c r="P437" s="68" t="s">
        <v>83</v>
      </c>
      <c r="Q437" s="15" t="s">
        <v>84</v>
      </c>
      <c r="R437" s="15" t="s">
        <v>84</v>
      </c>
    </row>
    <row r="438" spans="1:18" ht="10.5" customHeight="1" x14ac:dyDescent="0.3">
      <c r="A438" s="18"/>
      <c r="B438" s="20"/>
      <c r="C438" s="20"/>
      <c r="D438" s="20"/>
      <c r="E438" s="20"/>
      <c r="F438" s="20"/>
      <c r="G438" s="20"/>
      <c r="H438" s="20"/>
      <c r="I438" s="20"/>
      <c r="J438" s="79" t="s">
        <v>609</v>
      </c>
      <c r="K438" s="22">
        <v>4.2</v>
      </c>
      <c r="L438" s="23" t="s">
        <v>86</v>
      </c>
      <c r="M438" s="132">
        <v>9.5</v>
      </c>
      <c r="N438" s="94">
        <v>1000</v>
      </c>
      <c r="O438" s="94"/>
      <c r="P438" s="26">
        <v>0.95298999999999989</v>
      </c>
      <c r="Q438" s="111">
        <f t="shared" ref="Q438:Q464" si="59">P438*$F$10</f>
        <v>40.978569999999998</v>
      </c>
      <c r="R438" s="28">
        <f t="shared" ref="R438:R464" si="60">Q438-Q438*0.2</f>
        <v>32.782855999999995</v>
      </c>
    </row>
    <row r="439" spans="1:18" ht="10.5" customHeight="1" x14ac:dyDescent="0.3">
      <c r="A439" s="18"/>
      <c r="B439" s="20"/>
      <c r="C439" s="20"/>
      <c r="D439" s="20"/>
      <c r="E439" s="20"/>
      <c r="F439" s="20"/>
      <c r="G439" s="20"/>
      <c r="H439" s="20"/>
      <c r="I439" s="20"/>
      <c r="J439" s="79" t="s">
        <v>610</v>
      </c>
      <c r="K439" s="22">
        <v>4.2</v>
      </c>
      <c r="L439" s="23" t="s">
        <v>86</v>
      </c>
      <c r="M439" s="24">
        <v>13</v>
      </c>
      <c r="N439" s="94">
        <v>1000</v>
      </c>
      <c r="O439" s="94"/>
      <c r="P439" s="26">
        <v>0.89221951219512197</v>
      </c>
      <c r="Q439" s="111">
        <f t="shared" si="59"/>
        <v>38.365439024390241</v>
      </c>
      <c r="R439" s="28">
        <f t="shared" si="60"/>
        <v>30.692351219512194</v>
      </c>
    </row>
    <row r="440" spans="1:18" ht="10.5" customHeight="1" x14ac:dyDescent="0.3">
      <c r="A440" s="178"/>
      <c r="B440" s="20"/>
      <c r="C440" s="20"/>
      <c r="D440" s="20"/>
      <c r="E440" s="20"/>
      <c r="F440" s="20"/>
      <c r="G440" s="20"/>
      <c r="H440" s="20"/>
      <c r="I440" s="20"/>
      <c r="J440" s="79" t="s">
        <v>611</v>
      </c>
      <c r="K440" s="22">
        <v>4.2</v>
      </c>
      <c r="L440" s="23" t="s">
        <v>86</v>
      </c>
      <c r="M440" s="24">
        <v>16</v>
      </c>
      <c r="N440" s="94">
        <v>1000</v>
      </c>
      <c r="O440" s="94"/>
      <c r="P440" s="26">
        <v>0.99982195121951212</v>
      </c>
      <c r="Q440" s="111">
        <f t="shared" si="59"/>
        <v>42.992343902439018</v>
      </c>
      <c r="R440" s="28">
        <f t="shared" si="60"/>
        <v>34.393875121951211</v>
      </c>
    </row>
    <row r="441" spans="1:18" ht="10.5" customHeight="1" x14ac:dyDescent="0.3">
      <c r="A441" s="118" t="s">
        <v>612</v>
      </c>
      <c r="B441" s="20"/>
      <c r="C441" s="20"/>
      <c r="D441" s="20"/>
      <c r="E441" s="20"/>
      <c r="F441" s="20"/>
      <c r="G441" s="20"/>
      <c r="H441" s="20"/>
      <c r="I441" s="20"/>
      <c r="J441" s="79" t="s">
        <v>613</v>
      </c>
      <c r="K441" s="22">
        <v>4.2</v>
      </c>
      <c r="L441" s="23" t="s">
        <v>86</v>
      </c>
      <c r="M441" s="24">
        <v>19</v>
      </c>
      <c r="N441" s="94">
        <v>1000</v>
      </c>
      <c r="O441" s="94"/>
      <c r="P441" s="26">
        <v>1.1900600000000001</v>
      </c>
      <c r="Q441" s="111">
        <f t="shared" si="59"/>
        <v>51.172580000000004</v>
      </c>
      <c r="R441" s="28">
        <f t="shared" si="60"/>
        <v>40.938064000000004</v>
      </c>
    </row>
    <row r="442" spans="1:18" ht="10.5" customHeight="1" x14ac:dyDescent="0.3">
      <c r="A442" s="118" t="s">
        <v>466</v>
      </c>
      <c r="B442" s="20"/>
      <c r="C442" s="20"/>
      <c r="D442" s="20"/>
      <c r="E442" s="20"/>
      <c r="F442" s="20"/>
      <c r="G442" s="20"/>
      <c r="H442" s="20"/>
      <c r="I442" s="20"/>
      <c r="J442" s="79" t="s">
        <v>614</v>
      </c>
      <c r="K442" s="22">
        <v>4.2</v>
      </c>
      <c r="L442" s="23" t="s">
        <v>86</v>
      </c>
      <c r="M442" s="24">
        <v>22</v>
      </c>
      <c r="N442" s="94">
        <v>1000</v>
      </c>
      <c r="O442" s="94"/>
      <c r="P442" s="26">
        <v>1.3580499999999998</v>
      </c>
      <c r="Q442" s="111">
        <f t="shared" si="59"/>
        <v>58.396149999999992</v>
      </c>
      <c r="R442" s="28">
        <f t="shared" si="60"/>
        <v>46.716919999999995</v>
      </c>
    </row>
    <row r="443" spans="1:18" ht="10.5" customHeight="1" thickBot="1" x14ac:dyDescent="0.35">
      <c r="A443" s="452" t="s">
        <v>78</v>
      </c>
      <c r="B443" s="452" t="s">
        <v>79</v>
      </c>
      <c r="C443" s="452"/>
      <c r="D443" s="452"/>
      <c r="E443" s="453" t="s">
        <v>80</v>
      </c>
      <c r="F443" s="61"/>
      <c r="G443" s="16" t="s">
        <v>81</v>
      </c>
      <c r="H443" s="17" t="s">
        <v>82</v>
      </c>
      <c r="I443" s="20"/>
      <c r="J443" s="79" t="s">
        <v>615</v>
      </c>
      <c r="K443" s="22">
        <v>4.2</v>
      </c>
      <c r="L443" s="23" t="s">
        <v>86</v>
      </c>
      <c r="M443" s="24">
        <v>25</v>
      </c>
      <c r="N443" s="94">
        <v>1000</v>
      </c>
      <c r="O443" s="94"/>
      <c r="P443" s="26">
        <v>1.4612487804878047</v>
      </c>
      <c r="Q443" s="111">
        <f t="shared" si="59"/>
        <v>62.833697560975601</v>
      </c>
      <c r="R443" s="28">
        <f t="shared" si="60"/>
        <v>50.266958048780481</v>
      </c>
    </row>
    <row r="444" spans="1:18" ht="10.5" customHeight="1" thickTop="1" x14ac:dyDescent="0.3">
      <c r="A444" s="452"/>
      <c r="B444" s="452"/>
      <c r="C444" s="452"/>
      <c r="D444" s="452"/>
      <c r="E444" s="453"/>
      <c r="F444" s="103" t="s">
        <v>83</v>
      </c>
      <c r="G444" s="104" t="s">
        <v>84</v>
      </c>
      <c r="H444" s="15" t="s">
        <v>84</v>
      </c>
      <c r="I444" s="20"/>
      <c r="J444" s="79" t="s">
        <v>616</v>
      </c>
      <c r="K444" s="22">
        <v>4.2</v>
      </c>
      <c r="L444" s="23" t="s">
        <v>86</v>
      </c>
      <c r="M444" s="24">
        <v>32</v>
      </c>
      <c r="N444" s="94">
        <v>1000</v>
      </c>
      <c r="O444" s="94"/>
      <c r="P444" s="26">
        <v>1.5382170731707316</v>
      </c>
      <c r="Q444" s="111">
        <f t="shared" si="59"/>
        <v>66.143334146341459</v>
      </c>
      <c r="R444" s="28">
        <f t="shared" si="60"/>
        <v>52.914667317073167</v>
      </c>
    </row>
    <row r="445" spans="1:18" ht="10.5" customHeight="1" x14ac:dyDescent="0.3">
      <c r="A445" s="79" t="s">
        <v>617</v>
      </c>
      <c r="B445" s="22">
        <v>2.9</v>
      </c>
      <c r="C445" s="23" t="s">
        <v>86</v>
      </c>
      <c r="D445" s="132">
        <v>6.5</v>
      </c>
      <c r="E445" s="94">
        <v>2000</v>
      </c>
      <c r="F445" s="26">
        <v>0.58717999999999992</v>
      </c>
      <c r="G445" s="28">
        <f t="shared" ref="G445:G465" si="61">F445*$F$10</f>
        <v>25.248739999999998</v>
      </c>
      <c r="H445" s="28">
        <f t="shared" ref="H445:H465" si="62">G445-G445*0.2</f>
        <v>20.198991999999997</v>
      </c>
      <c r="I445" s="20"/>
      <c r="J445" s="79" t="s">
        <v>618</v>
      </c>
      <c r="K445" s="22">
        <v>4.2</v>
      </c>
      <c r="L445" s="23" t="s">
        <v>86</v>
      </c>
      <c r="M445" s="24">
        <v>38</v>
      </c>
      <c r="N445" s="94">
        <v>500</v>
      </c>
      <c r="O445" s="94"/>
      <c r="P445" s="26">
        <v>1.9996439024390242</v>
      </c>
      <c r="Q445" s="111">
        <f t="shared" si="59"/>
        <v>85.984687804878035</v>
      </c>
      <c r="R445" s="28">
        <f t="shared" si="60"/>
        <v>68.787750243902423</v>
      </c>
    </row>
    <row r="446" spans="1:18" ht="10.5" customHeight="1" x14ac:dyDescent="0.3">
      <c r="A446" s="79" t="s">
        <v>619</v>
      </c>
      <c r="B446" s="22">
        <v>2.9</v>
      </c>
      <c r="C446" s="23" t="s">
        <v>86</v>
      </c>
      <c r="D446" s="132">
        <v>9.5</v>
      </c>
      <c r="E446" s="94">
        <v>2000</v>
      </c>
      <c r="F446" s="26">
        <v>0.61536341463414634</v>
      </c>
      <c r="G446" s="111">
        <f t="shared" si="61"/>
        <v>26.460626829268293</v>
      </c>
      <c r="H446" s="28">
        <f t="shared" si="62"/>
        <v>21.168501463414636</v>
      </c>
      <c r="I446" s="20"/>
      <c r="J446" s="79" t="s">
        <v>620</v>
      </c>
      <c r="K446" s="22">
        <v>4.2</v>
      </c>
      <c r="L446" s="23" t="s">
        <v>86</v>
      </c>
      <c r="M446" s="24">
        <v>45</v>
      </c>
      <c r="N446" s="94">
        <v>500</v>
      </c>
      <c r="O446" s="94"/>
      <c r="P446" s="26">
        <v>2.3841024390243901</v>
      </c>
      <c r="Q446" s="111">
        <f t="shared" si="59"/>
        <v>102.51640487804877</v>
      </c>
      <c r="R446" s="28">
        <f t="shared" si="60"/>
        <v>82.01312390243902</v>
      </c>
    </row>
    <row r="447" spans="1:18" ht="10.5" customHeight="1" x14ac:dyDescent="0.3">
      <c r="A447" s="79" t="s">
        <v>621</v>
      </c>
      <c r="B447" s="22">
        <v>2.9</v>
      </c>
      <c r="C447" s="23" t="s">
        <v>86</v>
      </c>
      <c r="D447" s="24">
        <v>13</v>
      </c>
      <c r="E447" s="94">
        <v>2000</v>
      </c>
      <c r="F447" s="26">
        <v>0.72296585365853649</v>
      </c>
      <c r="G447" s="111">
        <f t="shared" si="61"/>
        <v>31.087531707317069</v>
      </c>
      <c r="H447" s="28">
        <f t="shared" si="62"/>
        <v>24.870025365853657</v>
      </c>
      <c r="I447" s="20"/>
      <c r="J447" s="79" t="s">
        <v>622</v>
      </c>
      <c r="K447" s="22">
        <v>4.2</v>
      </c>
      <c r="L447" s="23" t="s">
        <v>86</v>
      </c>
      <c r="M447" s="24">
        <v>50</v>
      </c>
      <c r="N447" s="94">
        <v>200</v>
      </c>
      <c r="O447" s="94"/>
      <c r="P447" s="26">
        <v>2.8997899999999999</v>
      </c>
      <c r="Q447" s="111">
        <f t="shared" si="59"/>
        <v>124.69096999999999</v>
      </c>
      <c r="R447" s="28">
        <f t="shared" si="60"/>
        <v>99.752775999999997</v>
      </c>
    </row>
    <row r="448" spans="1:18" ht="10.5" customHeight="1" x14ac:dyDescent="0.3">
      <c r="A448" s="79" t="s">
        <v>623</v>
      </c>
      <c r="B448" s="22">
        <v>2.9</v>
      </c>
      <c r="C448" s="23" t="s">
        <v>86</v>
      </c>
      <c r="D448" s="24">
        <v>16</v>
      </c>
      <c r="E448" s="94">
        <v>2000</v>
      </c>
      <c r="F448" s="26">
        <v>0.73062439024390236</v>
      </c>
      <c r="G448" s="111">
        <f t="shared" si="61"/>
        <v>31.4168487804878</v>
      </c>
      <c r="H448" s="28">
        <f t="shared" si="62"/>
        <v>25.13347902439024</v>
      </c>
      <c r="I448" s="20"/>
      <c r="J448" s="79" t="s">
        <v>624</v>
      </c>
      <c r="K448" s="22">
        <v>4.8</v>
      </c>
      <c r="L448" s="23" t="s">
        <v>86</v>
      </c>
      <c r="M448" s="132">
        <v>9.5</v>
      </c>
      <c r="N448" s="94">
        <v>1000</v>
      </c>
      <c r="O448" s="94"/>
      <c r="P448" s="26">
        <v>0.91519512195121933</v>
      </c>
      <c r="Q448" s="111">
        <f t="shared" si="59"/>
        <v>39.353390243902432</v>
      </c>
      <c r="R448" s="28">
        <f t="shared" si="60"/>
        <v>31.482712195121945</v>
      </c>
    </row>
    <row r="449" spans="1:18" ht="10.5" customHeight="1" x14ac:dyDescent="0.3">
      <c r="A449" s="79" t="s">
        <v>625</v>
      </c>
      <c r="B449" s="22">
        <v>2.9</v>
      </c>
      <c r="C449" s="23" t="s">
        <v>86</v>
      </c>
      <c r="D449" s="24">
        <v>19</v>
      </c>
      <c r="E449" s="94">
        <v>2000</v>
      </c>
      <c r="F449" s="26">
        <v>0.77695853658536573</v>
      </c>
      <c r="G449" s="111">
        <f t="shared" si="61"/>
        <v>33.40921707317073</v>
      </c>
      <c r="H449" s="28">
        <f t="shared" si="62"/>
        <v>26.727373658536585</v>
      </c>
      <c r="I449" s="20"/>
      <c r="J449" s="134" t="s">
        <v>626</v>
      </c>
      <c r="K449" s="32">
        <v>4.8</v>
      </c>
      <c r="L449" s="33" t="s">
        <v>86</v>
      </c>
      <c r="M449" s="34">
        <v>13</v>
      </c>
      <c r="N449" s="93">
        <v>1000</v>
      </c>
      <c r="O449" s="93"/>
      <c r="P449" s="26">
        <v>1.2041899999999996</v>
      </c>
      <c r="Q449" s="111">
        <f t="shared" si="59"/>
        <v>51.780169999999984</v>
      </c>
      <c r="R449" s="28">
        <f t="shared" si="60"/>
        <v>41.42413599999999</v>
      </c>
    </row>
    <row r="450" spans="1:18" ht="10.5" customHeight="1" x14ac:dyDescent="0.3">
      <c r="A450" s="79" t="s">
        <v>627</v>
      </c>
      <c r="B450" s="22">
        <v>2.9</v>
      </c>
      <c r="C450" s="23" t="s">
        <v>86</v>
      </c>
      <c r="D450" s="24">
        <v>22</v>
      </c>
      <c r="E450" s="94">
        <v>1000</v>
      </c>
      <c r="F450" s="26">
        <v>1.10999</v>
      </c>
      <c r="G450" s="111">
        <f t="shared" si="61"/>
        <v>47.729570000000002</v>
      </c>
      <c r="H450" s="28">
        <f t="shared" si="62"/>
        <v>38.183655999999999</v>
      </c>
      <c r="I450" s="20"/>
      <c r="J450" s="134" t="s">
        <v>628</v>
      </c>
      <c r="K450" s="32">
        <v>4.8</v>
      </c>
      <c r="L450" s="33" t="s">
        <v>86</v>
      </c>
      <c r="M450" s="34">
        <v>16</v>
      </c>
      <c r="N450" s="93">
        <v>1000</v>
      </c>
      <c r="O450" s="93"/>
      <c r="P450" s="36">
        <v>1.2575699999999999</v>
      </c>
      <c r="Q450" s="111">
        <f t="shared" si="59"/>
        <v>54.075509999999994</v>
      </c>
      <c r="R450" s="38">
        <f t="shared" si="60"/>
        <v>43.260407999999998</v>
      </c>
    </row>
    <row r="451" spans="1:18" ht="10.5" customHeight="1" x14ac:dyDescent="0.3">
      <c r="A451" s="79" t="s">
        <v>629</v>
      </c>
      <c r="B451" s="22">
        <v>2.9</v>
      </c>
      <c r="C451" s="23" t="s">
        <v>86</v>
      </c>
      <c r="D451" s="24">
        <v>25</v>
      </c>
      <c r="E451" s="94">
        <v>1000</v>
      </c>
      <c r="F451" s="26">
        <v>1.2183199999999998</v>
      </c>
      <c r="G451" s="111">
        <f t="shared" si="61"/>
        <v>52.387759999999993</v>
      </c>
      <c r="H451" s="28">
        <f t="shared" si="62"/>
        <v>41.910207999999997</v>
      </c>
      <c r="I451" s="20"/>
      <c r="J451" s="79" t="s">
        <v>630</v>
      </c>
      <c r="K451" s="22">
        <v>4.8</v>
      </c>
      <c r="L451" s="23" t="s">
        <v>86</v>
      </c>
      <c r="M451" s="24">
        <v>19</v>
      </c>
      <c r="N451" s="94">
        <v>500</v>
      </c>
      <c r="O451" s="94"/>
      <c r="P451" s="26">
        <v>1.5382170731707316</v>
      </c>
      <c r="Q451" s="111">
        <f t="shared" si="59"/>
        <v>66.143334146341459</v>
      </c>
      <c r="R451" s="28">
        <f t="shared" si="60"/>
        <v>52.914667317073167</v>
      </c>
    </row>
    <row r="452" spans="1:18" ht="10.5" customHeight="1" x14ac:dyDescent="0.3">
      <c r="A452" s="79" t="s">
        <v>631</v>
      </c>
      <c r="B452" s="22">
        <v>3.5</v>
      </c>
      <c r="C452" s="23" t="s">
        <v>86</v>
      </c>
      <c r="D452" s="132">
        <v>9.5</v>
      </c>
      <c r="E452" s="94">
        <v>1000</v>
      </c>
      <c r="F452" s="26">
        <v>0.65365609756097554</v>
      </c>
      <c r="G452" s="111">
        <f t="shared" si="61"/>
        <v>28.107212195121949</v>
      </c>
      <c r="H452" s="28">
        <f t="shared" si="62"/>
        <v>22.485769756097561</v>
      </c>
      <c r="I452" s="20"/>
      <c r="J452" s="79" t="s">
        <v>632</v>
      </c>
      <c r="K452" s="22">
        <v>4.8</v>
      </c>
      <c r="L452" s="23" t="s">
        <v>86</v>
      </c>
      <c r="M452" s="24">
        <v>22</v>
      </c>
      <c r="N452" s="94">
        <v>500</v>
      </c>
      <c r="O452" s="94"/>
      <c r="P452" s="26">
        <v>2.01274</v>
      </c>
      <c r="Q452" s="111">
        <f t="shared" si="59"/>
        <v>86.547820000000002</v>
      </c>
      <c r="R452" s="28">
        <f t="shared" si="60"/>
        <v>69.238256000000007</v>
      </c>
    </row>
    <row r="453" spans="1:18" ht="10.5" customHeight="1" x14ac:dyDescent="0.3">
      <c r="A453" s="79" t="s">
        <v>633</v>
      </c>
      <c r="B453" s="22">
        <v>3.5</v>
      </c>
      <c r="C453" s="23" t="s">
        <v>86</v>
      </c>
      <c r="D453" s="24">
        <v>13</v>
      </c>
      <c r="E453" s="94">
        <v>1000</v>
      </c>
      <c r="F453" s="26">
        <v>0.69999024390243891</v>
      </c>
      <c r="G453" s="111">
        <f t="shared" si="61"/>
        <v>30.099580487804872</v>
      </c>
      <c r="H453" s="28">
        <f t="shared" si="62"/>
        <v>24.079664390243899</v>
      </c>
      <c r="I453" s="20"/>
      <c r="J453" s="79" t="s">
        <v>634</v>
      </c>
      <c r="K453" s="22">
        <v>4.8</v>
      </c>
      <c r="L453" s="23" t="s">
        <v>86</v>
      </c>
      <c r="M453" s="24">
        <v>25</v>
      </c>
      <c r="N453" s="94">
        <v>500</v>
      </c>
      <c r="O453" s="94"/>
      <c r="P453" s="26">
        <v>2.41466</v>
      </c>
      <c r="Q453" s="111">
        <f t="shared" si="59"/>
        <v>103.83038000000001</v>
      </c>
      <c r="R453" s="28">
        <f t="shared" si="60"/>
        <v>83.064304000000007</v>
      </c>
    </row>
    <row r="454" spans="1:18" ht="10.5" customHeight="1" x14ac:dyDescent="0.3">
      <c r="A454" s="79" t="s">
        <v>635</v>
      </c>
      <c r="B454" s="22">
        <v>3.5</v>
      </c>
      <c r="C454" s="23" t="s">
        <v>86</v>
      </c>
      <c r="D454" s="24">
        <v>16</v>
      </c>
      <c r="E454" s="94">
        <v>1000</v>
      </c>
      <c r="F454" s="26">
        <v>0.74594146341463408</v>
      </c>
      <c r="G454" s="111">
        <f t="shared" si="61"/>
        <v>32.075482926829267</v>
      </c>
      <c r="H454" s="28">
        <f t="shared" si="62"/>
        <v>25.660386341463415</v>
      </c>
      <c r="I454" s="20"/>
      <c r="J454" s="79" t="s">
        <v>636</v>
      </c>
      <c r="K454" s="22">
        <v>4.8</v>
      </c>
      <c r="L454" s="23" t="s">
        <v>86</v>
      </c>
      <c r="M454" s="24">
        <v>32</v>
      </c>
      <c r="N454" s="94">
        <v>500</v>
      </c>
      <c r="O454" s="94"/>
      <c r="P454" s="26">
        <v>2.3841024390243901</v>
      </c>
      <c r="Q454" s="111">
        <f t="shared" si="59"/>
        <v>102.51640487804877</v>
      </c>
      <c r="R454" s="28">
        <f t="shared" si="60"/>
        <v>82.01312390243902</v>
      </c>
    </row>
    <row r="455" spans="1:18" ht="10.5" customHeight="1" x14ac:dyDescent="0.3">
      <c r="A455" s="79" t="s">
        <v>637</v>
      </c>
      <c r="B455" s="22">
        <v>3.5</v>
      </c>
      <c r="C455" s="23" t="s">
        <v>86</v>
      </c>
      <c r="D455" s="24">
        <v>19</v>
      </c>
      <c r="E455" s="94">
        <v>1000</v>
      </c>
      <c r="F455" s="26">
        <v>0.8998780487804876</v>
      </c>
      <c r="G455" s="111">
        <f t="shared" si="61"/>
        <v>38.694756097560969</v>
      </c>
      <c r="H455" s="28">
        <f t="shared" si="62"/>
        <v>30.955804878048774</v>
      </c>
      <c r="I455" s="20"/>
      <c r="J455" s="79" t="s">
        <v>638</v>
      </c>
      <c r="K455" s="22">
        <v>4.8</v>
      </c>
      <c r="L455" s="23" t="s">
        <v>86</v>
      </c>
      <c r="M455" s="24">
        <v>38</v>
      </c>
      <c r="N455" s="94">
        <v>500</v>
      </c>
      <c r="O455" s="94"/>
      <c r="P455" s="26">
        <v>2.6919756097560974</v>
      </c>
      <c r="Q455" s="111">
        <f t="shared" si="59"/>
        <v>115.75495121951219</v>
      </c>
      <c r="R455" s="28">
        <f t="shared" si="60"/>
        <v>92.603960975609752</v>
      </c>
    </row>
    <row r="456" spans="1:18" ht="10.5" customHeight="1" x14ac:dyDescent="0.3">
      <c r="A456" s="79" t="s">
        <v>639</v>
      </c>
      <c r="B456" s="22">
        <v>3.5</v>
      </c>
      <c r="C456" s="23" t="s">
        <v>86</v>
      </c>
      <c r="D456" s="24">
        <v>22</v>
      </c>
      <c r="E456" s="94">
        <v>1000</v>
      </c>
      <c r="F456" s="26">
        <v>0.99982195121951212</v>
      </c>
      <c r="G456" s="111">
        <f t="shared" si="61"/>
        <v>42.992343902439018</v>
      </c>
      <c r="H456" s="28">
        <f t="shared" si="62"/>
        <v>34.393875121951211</v>
      </c>
      <c r="I456" s="20"/>
      <c r="J456" s="79" t="s">
        <v>640</v>
      </c>
      <c r="K456" s="22">
        <v>4.8</v>
      </c>
      <c r="L456" s="23" t="s">
        <v>86</v>
      </c>
      <c r="M456" s="24">
        <v>45</v>
      </c>
      <c r="N456" s="94">
        <v>250</v>
      </c>
      <c r="O456" s="94"/>
      <c r="P456" s="26">
        <v>3.2303707317073167</v>
      </c>
      <c r="Q456" s="111">
        <f t="shared" si="59"/>
        <v>138.90594146341462</v>
      </c>
      <c r="R456" s="28">
        <f t="shared" si="60"/>
        <v>111.12475317073169</v>
      </c>
    </row>
    <row r="457" spans="1:18" ht="10.5" customHeight="1" x14ac:dyDescent="0.3">
      <c r="A457" s="79" t="s">
        <v>641</v>
      </c>
      <c r="B457" s="22">
        <v>3.5</v>
      </c>
      <c r="C457" s="23" t="s">
        <v>86</v>
      </c>
      <c r="D457" s="24">
        <v>25</v>
      </c>
      <c r="E457" s="94">
        <v>1000</v>
      </c>
      <c r="F457" s="26">
        <v>1.18221</v>
      </c>
      <c r="G457" s="111">
        <f t="shared" si="61"/>
        <v>50.835029999999996</v>
      </c>
      <c r="H457" s="28">
        <f t="shared" si="62"/>
        <v>40.668023999999996</v>
      </c>
      <c r="I457" s="20"/>
      <c r="J457" s="79" t="s">
        <v>642</v>
      </c>
      <c r="K457" s="22">
        <v>4.8</v>
      </c>
      <c r="L457" s="23" t="s">
        <v>86</v>
      </c>
      <c r="M457" s="24">
        <v>50</v>
      </c>
      <c r="N457" s="94">
        <v>250</v>
      </c>
      <c r="O457" s="94"/>
      <c r="P457" s="26">
        <v>3.8559199999999993</v>
      </c>
      <c r="Q457" s="111">
        <f t="shared" si="59"/>
        <v>165.80455999999998</v>
      </c>
      <c r="R457" s="28">
        <f t="shared" si="60"/>
        <v>132.64364799999998</v>
      </c>
    </row>
    <row r="458" spans="1:18" ht="10.5" customHeight="1" x14ac:dyDescent="0.3">
      <c r="A458" s="79" t="s">
        <v>643</v>
      </c>
      <c r="B458" s="22">
        <v>3.9</v>
      </c>
      <c r="C458" s="23" t="s">
        <v>86</v>
      </c>
      <c r="D458" s="132">
        <v>9.5</v>
      </c>
      <c r="E458" s="94">
        <v>1000</v>
      </c>
      <c r="F458" s="26">
        <v>0.80759268292682918</v>
      </c>
      <c r="G458" s="111">
        <f t="shared" si="61"/>
        <v>34.726485365853655</v>
      </c>
      <c r="H458" s="28">
        <f t="shared" si="62"/>
        <v>27.781188292682923</v>
      </c>
      <c r="I458" s="20"/>
      <c r="J458" s="79" t="s">
        <v>644</v>
      </c>
      <c r="K458" s="22">
        <v>6.3</v>
      </c>
      <c r="L458" s="23" t="s">
        <v>86</v>
      </c>
      <c r="M458" s="24">
        <v>16</v>
      </c>
      <c r="N458" s="94">
        <v>250</v>
      </c>
      <c r="O458" s="94"/>
      <c r="P458" s="26">
        <v>2.8165799999999996</v>
      </c>
      <c r="Q458" s="111">
        <f t="shared" si="59"/>
        <v>121.11293999999998</v>
      </c>
      <c r="R458" s="28">
        <f t="shared" si="60"/>
        <v>96.890351999999979</v>
      </c>
    </row>
    <row r="459" spans="1:18" ht="10.5" customHeight="1" x14ac:dyDescent="0.3">
      <c r="A459" s="79" t="s">
        <v>645</v>
      </c>
      <c r="B459" s="22">
        <v>3.9</v>
      </c>
      <c r="C459" s="23" t="s">
        <v>86</v>
      </c>
      <c r="D459" s="24">
        <v>13</v>
      </c>
      <c r="E459" s="94">
        <v>1000</v>
      </c>
      <c r="F459" s="26">
        <v>0.81525121951219504</v>
      </c>
      <c r="G459" s="111">
        <f t="shared" si="61"/>
        <v>35.05580243902439</v>
      </c>
      <c r="H459" s="28">
        <f t="shared" si="62"/>
        <v>28.044641951219511</v>
      </c>
      <c r="I459" s="20"/>
      <c r="J459" s="79" t="s">
        <v>646</v>
      </c>
      <c r="K459" s="22">
        <v>6.3</v>
      </c>
      <c r="L459" s="23" t="s">
        <v>86</v>
      </c>
      <c r="M459" s="24">
        <v>19</v>
      </c>
      <c r="N459" s="94">
        <v>250</v>
      </c>
      <c r="O459" s="94"/>
      <c r="P459" s="26">
        <v>3.1038899999999994</v>
      </c>
      <c r="Q459" s="111">
        <f t="shared" si="59"/>
        <v>133.46726999999998</v>
      </c>
      <c r="R459" s="28">
        <f t="shared" si="60"/>
        <v>106.77381599999998</v>
      </c>
    </row>
    <row r="460" spans="1:18" ht="10.5" customHeight="1" x14ac:dyDescent="0.3">
      <c r="A460" s="79" t="s">
        <v>647</v>
      </c>
      <c r="B460" s="22">
        <v>3.9</v>
      </c>
      <c r="C460" s="23" t="s">
        <v>86</v>
      </c>
      <c r="D460" s="24">
        <v>16</v>
      </c>
      <c r="E460" s="94">
        <v>1000</v>
      </c>
      <c r="F460" s="26">
        <v>0.90431999999999979</v>
      </c>
      <c r="G460" s="111">
        <f t="shared" si="61"/>
        <v>38.885759999999991</v>
      </c>
      <c r="H460" s="28">
        <f t="shared" si="62"/>
        <v>31.108607999999993</v>
      </c>
      <c r="I460" s="20"/>
      <c r="J460" s="79" t="s">
        <v>648</v>
      </c>
      <c r="K460" s="22">
        <v>6.3</v>
      </c>
      <c r="L460" s="23" t="s">
        <v>86</v>
      </c>
      <c r="M460" s="24">
        <v>25</v>
      </c>
      <c r="N460" s="94">
        <v>250</v>
      </c>
      <c r="O460" s="94"/>
      <c r="P460" s="26">
        <v>3.7554400000000001</v>
      </c>
      <c r="Q460" s="111">
        <f t="shared" si="59"/>
        <v>161.48392000000001</v>
      </c>
      <c r="R460" s="28">
        <f t="shared" si="60"/>
        <v>129.18713600000001</v>
      </c>
    </row>
    <row r="461" spans="1:18" ht="10.5" customHeight="1" x14ac:dyDescent="0.3">
      <c r="A461" s="79" t="s">
        <v>649</v>
      </c>
      <c r="B461" s="22">
        <v>3.9</v>
      </c>
      <c r="C461" s="23" t="s">
        <v>86</v>
      </c>
      <c r="D461" s="24">
        <v>19</v>
      </c>
      <c r="E461" s="94">
        <v>1000</v>
      </c>
      <c r="F461" s="26">
        <v>0.91519512195121933</v>
      </c>
      <c r="G461" s="111">
        <f t="shared" si="61"/>
        <v>39.353390243902432</v>
      </c>
      <c r="H461" s="28">
        <f t="shared" si="62"/>
        <v>31.482712195121945</v>
      </c>
      <c r="I461" s="20"/>
      <c r="J461" s="79" t="s">
        <v>650</v>
      </c>
      <c r="K461" s="22">
        <v>6.3</v>
      </c>
      <c r="L461" s="23" t="s">
        <v>86</v>
      </c>
      <c r="M461" s="24">
        <v>32</v>
      </c>
      <c r="N461" s="94">
        <v>250</v>
      </c>
      <c r="O461" s="94"/>
      <c r="P461" s="26">
        <v>3.1534024390243895</v>
      </c>
      <c r="Q461" s="111">
        <f t="shared" si="59"/>
        <v>135.59630487804876</v>
      </c>
      <c r="R461" s="28">
        <f t="shared" si="60"/>
        <v>108.47704390243901</v>
      </c>
    </row>
    <row r="462" spans="1:18" ht="10.5" customHeight="1" x14ac:dyDescent="0.3">
      <c r="A462" s="79" t="s">
        <v>651</v>
      </c>
      <c r="B462" s="22">
        <v>3.9</v>
      </c>
      <c r="C462" s="23" t="s">
        <v>86</v>
      </c>
      <c r="D462" s="24">
        <v>22</v>
      </c>
      <c r="E462" s="94">
        <v>1000</v>
      </c>
      <c r="F462" s="26">
        <v>0.73828292682926822</v>
      </c>
      <c r="G462" s="111">
        <f t="shared" si="61"/>
        <v>31.746165853658532</v>
      </c>
      <c r="H462" s="28">
        <f t="shared" si="62"/>
        <v>25.396932682926824</v>
      </c>
      <c r="I462" s="20"/>
      <c r="J462" s="79" t="s">
        <v>652</v>
      </c>
      <c r="K462" s="22">
        <v>6.3</v>
      </c>
      <c r="L462" s="23" t="s">
        <v>86</v>
      </c>
      <c r="M462" s="24">
        <v>38</v>
      </c>
      <c r="N462" s="94">
        <v>250</v>
      </c>
      <c r="O462" s="94"/>
      <c r="P462" s="26">
        <v>4.3071609756097562</v>
      </c>
      <c r="Q462" s="111">
        <f t="shared" si="59"/>
        <v>185.2079219512195</v>
      </c>
      <c r="R462" s="28">
        <f t="shared" si="60"/>
        <v>148.16633756097559</v>
      </c>
    </row>
    <row r="463" spans="1:18" ht="10.5" customHeight="1" x14ac:dyDescent="0.3">
      <c r="A463" s="79" t="s">
        <v>653</v>
      </c>
      <c r="B463" s="22">
        <v>3.9</v>
      </c>
      <c r="C463" s="23" t="s">
        <v>86</v>
      </c>
      <c r="D463" s="24">
        <v>25</v>
      </c>
      <c r="E463" s="94">
        <v>1000</v>
      </c>
      <c r="F463" s="26">
        <v>1.32822</v>
      </c>
      <c r="G463" s="111">
        <f t="shared" si="61"/>
        <v>57.113459999999996</v>
      </c>
      <c r="H463" s="28">
        <f t="shared" si="62"/>
        <v>45.690767999999998</v>
      </c>
      <c r="I463" s="20"/>
      <c r="J463" s="79" t="s">
        <v>654</v>
      </c>
      <c r="K463" s="22">
        <v>6.3</v>
      </c>
      <c r="L463" s="23" t="s">
        <v>86</v>
      </c>
      <c r="M463" s="24">
        <v>50</v>
      </c>
      <c r="N463" s="94">
        <v>100</v>
      </c>
      <c r="O463" s="94"/>
      <c r="P463" s="26">
        <v>5.5375048780487797</v>
      </c>
      <c r="Q463" s="111">
        <f t="shared" si="59"/>
        <v>238.11270975609753</v>
      </c>
      <c r="R463" s="28">
        <f t="shared" si="60"/>
        <v>190.49016780487801</v>
      </c>
    </row>
    <row r="464" spans="1:18" ht="10.5" customHeight="1" x14ac:dyDescent="0.3">
      <c r="A464" s="79" t="s">
        <v>655</v>
      </c>
      <c r="B464" s="22">
        <v>3.9</v>
      </c>
      <c r="C464" s="23" t="s">
        <v>86</v>
      </c>
      <c r="D464" s="24">
        <v>32</v>
      </c>
      <c r="E464" s="94">
        <v>500</v>
      </c>
      <c r="F464" s="26">
        <v>1.5382170731707316</v>
      </c>
      <c r="G464" s="111">
        <f t="shared" si="61"/>
        <v>66.143334146341459</v>
      </c>
      <c r="H464" s="28">
        <f t="shared" si="62"/>
        <v>52.914667317073167</v>
      </c>
      <c r="I464" s="20"/>
      <c r="J464" s="79" t="s">
        <v>656</v>
      </c>
      <c r="K464" s="22">
        <v>6.3</v>
      </c>
      <c r="L464" s="23" t="s">
        <v>86</v>
      </c>
      <c r="M464" s="24">
        <v>63</v>
      </c>
      <c r="N464" s="94">
        <v>100</v>
      </c>
      <c r="O464" s="94"/>
      <c r="P464" s="26">
        <v>8.6538400000000006</v>
      </c>
      <c r="Q464" s="111">
        <f t="shared" si="59"/>
        <v>372.11512000000005</v>
      </c>
      <c r="R464" s="28">
        <f t="shared" si="60"/>
        <v>297.69209600000005</v>
      </c>
    </row>
    <row r="465" spans="1:18" ht="10.5" customHeight="1" x14ac:dyDescent="0.3">
      <c r="A465" s="79" t="s">
        <v>657</v>
      </c>
      <c r="B465" s="22">
        <v>3.9</v>
      </c>
      <c r="C465" s="23" t="s">
        <v>86</v>
      </c>
      <c r="D465" s="24">
        <v>38</v>
      </c>
      <c r="E465" s="94">
        <v>500</v>
      </c>
      <c r="F465" s="26">
        <v>1.6921536585365853</v>
      </c>
      <c r="G465" s="111">
        <f t="shared" si="61"/>
        <v>72.762607317073162</v>
      </c>
      <c r="H465" s="28">
        <f t="shared" si="62"/>
        <v>58.210085853658526</v>
      </c>
      <c r="I465" s="83"/>
      <c r="J465" s="83"/>
      <c r="K465" s="83"/>
      <c r="L465" s="83"/>
      <c r="M465" s="83"/>
      <c r="N465" s="83"/>
      <c r="O465" s="83"/>
      <c r="P465" s="83"/>
      <c r="Q465" s="83"/>
      <c r="R465" s="116"/>
    </row>
    <row r="466" spans="1:18" ht="10.5" customHeight="1" x14ac:dyDescent="0.3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</row>
    <row r="467" spans="1:18" ht="10.5" customHeight="1" x14ac:dyDescent="0.3">
      <c r="A467" s="47" t="s">
        <v>658</v>
      </c>
      <c r="B467" s="48" t="s">
        <v>659</v>
      </c>
      <c r="C467" s="49"/>
      <c r="D467" s="49"/>
      <c r="E467" s="49"/>
      <c r="F467" s="49"/>
      <c r="G467" s="49"/>
      <c r="H467" s="49"/>
      <c r="I467" s="49"/>
      <c r="J467" s="446" t="s">
        <v>78</v>
      </c>
      <c r="K467" s="452" t="s">
        <v>79</v>
      </c>
      <c r="L467" s="452"/>
      <c r="M467" s="452"/>
      <c r="N467" s="453" t="s">
        <v>80</v>
      </c>
      <c r="O467" s="434"/>
      <c r="P467" s="61"/>
      <c r="Q467" s="16" t="s">
        <v>81</v>
      </c>
      <c r="R467" s="17" t="s">
        <v>82</v>
      </c>
    </row>
    <row r="468" spans="1:18" ht="10.5" customHeight="1" x14ac:dyDescent="0.3">
      <c r="A468" s="18"/>
      <c r="B468" s="20"/>
      <c r="C468" s="20"/>
      <c r="D468" s="20"/>
      <c r="E468" s="20"/>
      <c r="F468" s="20"/>
      <c r="G468" s="20"/>
      <c r="H468" s="20"/>
      <c r="I468" s="20"/>
      <c r="J468" s="446"/>
      <c r="K468" s="452"/>
      <c r="L468" s="452"/>
      <c r="M468" s="452"/>
      <c r="N468" s="453"/>
      <c r="O468" s="171"/>
      <c r="P468" s="103" t="s">
        <v>83</v>
      </c>
      <c r="Q468" s="104" t="s">
        <v>84</v>
      </c>
      <c r="R468" s="15" t="s">
        <v>84</v>
      </c>
    </row>
    <row r="469" spans="1:18" ht="10.5" customHeight="1" x14ac:dyDescent="0.3">
      <c r="A469" s="18"/>
      <c r="B469" s="20"/>
      <c r="C469" s="20"/>
      <c r="D469" s="20"/>
      <c r="E469" s="20"/>
      <c r="F469" s="20"/>
      <c r="G469" s="20"/>
      <c r="H469" s="20"/>
      <c r="I469" s="20"/>
      <c r="J469" s="79" t="s">
        <v>660</v>
      </c>
      <c r="K469" s="22">
        <v>4.2</v>
      </c>
      <c r="L469" s="23" t="s">
        <v>86</v>
      </c>
      <c r="M469" s="24">
        <v>16</v>
      </c>
      <c r="N469" s="94">
        <v>1000</v>
      </c>
      <c r="O469" s="94"/>
      <c r="P469" s="26">
        <v>1.3842804878048778</v>
      </c>
      <c r="Q469" s="152">
        <f t="shared" ref="Q469:Q498" si="63">P469*$F$10</f>
        <v>59.524060975609743</v>
      </c>
      <c r="R469" s="28">
        <f t="shared" ref="R469:R498" si="64">Q469-Q469*0.2</f>
        <v>47.619248780487794</v>
      </c>
    </row>
    <row r="470" spans="1:18" ht="10.5" customHeight="1" x14ac:dyDescent="0.3">
      <c r="A470" s="18"/>
      <c r="B470" s="20"/>
      <c r="C470" s="20"/>
      <c r="D470" s="20"/>
      <c r="E470" s="20"/>
      <c r="F470" s="20"/>
      <c r="G470" s="20"/>
      <c r="H470" s="20"/>
      <c r="I470" s="20"/>
      <c r="J470" s="79" t="s">
        <v>661</v>
      </c>
      <c r="K470" s="22">
        <v>4.2</v>
      </c>
      <c r="L470" s="23" t="s">
        <v>86</v>
      </c>
      <c r="M470" s="24">
        <v>19</v>
      </c>
      <c r="N470" s="94">
        <v>1000</v>
      </c>
      <c r="O470" s="94"/>
      <c r="P470" s="26">
        <v>1.5382170731707314</v>
      </c>
      <c r="Q470" s="152">
        <f t="shared" si="63"/>
        <v>66.143334146341445</v>
      </c>
      <c r="R470" s="28">
        <f t="shared" si="64"/>
        <v>52.914667317073153</v>
      </c>
    </row>
    <row r="471" spans="1:18" ht="10.5" customHeight="1" x14ac:dyDescent="0.3">
      <c r="A471" s="179" t="s">
        <v>662</v>
      </c>
      <c r="B471" s="20"/>
      <c r="C471" s="20"/>
      <c r="D471" s="20"/>
      <c r="E471" s="20"/>
      <c r="F471" s="20"/>
      <c r="G471" s="20"/>
      <c r="H471" s="20"/>
      <c r="I471" s="20"/>
      <c r="J471" s="79" t="s">
        <v>663</v>
      </c>
      <c r="K471" s="22">
        <v>4.2</v>
      </c>
      <c r="L471" s="23" t="s">
        <v>86</v>
      </c>
      <c r="M471" s="24">
        <v>22</v>
      </c>
      <c r="N471" s="94">
        <v>1000</v>
      </c>
      <c r="O471" s="94"/>
      <c r="P471" s="26">
        <v>1.6151853658536584</v>
      </c>
      <c r="Q471" s="152">
        <f t="shared" si="63"/>
        <v>69.45297073170731</v>
      </c>
      <c r="R471" s="28">
        <f t="shared" si="64"/>
        <v>55.562376585365847</v>
      </c>
    </row>
    <row r="472" spans="1:18" ht="10.5" customHeight="1" x14ac:dyDescent="0.3">
      <c r="A472" s="179" t="s">
        <v>664</v>
      </c>
      <c r="B472" s="20"/>
      <c r="C472" s="20"/>
      <c r="D472" s="20"/>
      <c r="E472" s="20"/>
      <c r="F472" s="20"/>
      <c r="G472" s="20"/>
      <c r="H472" s="20"/>
      <c r="I472" s="20"/>
      <c r="J472" s="79" t="s">
        <v>665</v>
      </c>
      <c r="K472" s="22">
        <v>4.2</v>
      </c>
      <c r="L472" s="23" t="s">
        <v>86</v>
      </c>
      <c r="M472" s="24">
        <v>25</v>
      </c>
      <c r="N472" s="94">
        <v>1000</v>
      </c>
      <c r="O472" s="94"/>
      <c r="P472" s="26">
        <v>1.8321899999999998</v>
      </c>
      <c r="Q472" s="152">
        <f t="shared" si="63"/>
        <v>78.784169999999989</v>
      </c>
      <c r="R472" s="28">
        <f t="shared" si="64"/>
        <v>63.027335999999991</v>
      </c>
    </row>
    <row r="473" spans="1:18" ht="10.5" customHeight="1" x14ac:dyDescent="0.3">
      <c r="A473" s="446" t="s">
        <v>78</v>
      </c>
      <c r="B473" s="446" t="s">
        <v>79</v>
      </c>
      <c r="C473" s="446"/>
      <c r="D473" s="446"/>
      <c r="E473" s="447" t="s">
        <v>80</v>
      </c>
      <c r="F473" s="61"/>
      <c r="G473" s="16" t="s">
        <v>81</v>
      </c>
      <c r="H473" s="17" t="s">
        <v>82</v>
      </c>
      <c r="I473" s="20"/>
      <c r="J473" s="79" t="s">
        <v>666</v>
      </c>
      <c r="K473" s="22">
        <v>4.2</v>
      </c>
      <c r="L473" s="23" t="s">
        <v>86</v>
      </c>
      <c r="M473" s="24">
        <v>32</v>
      </c>
      <c r="N473" s="94">
        <v>500</v>
      </c>
      <c r="O473" s="94"/>
      <c r="P473" s="26">
        <v>2.3016200000000002</v>
      </c>
      <c r="Q473" s="152">
        <f t="shared" si="63"/>
        <v>98.969660000000005</v>
      </c>
      <c r="R473" s="28">
        <f t="shared" si="64"/>
        <v>79.175728000000007</v>
      </c>
    </row>
    <row r="474" spans="1:18" ht="10.5" customHeight="1" x14ac:dyDescent="0.3">
      <c r="A474" s="446"/>
      <c r="B474" s="446"/>
      <c r="C474" s="446"/>
      <c r="D474" s="446"/>
      <c r="E474" s="447"/>
      <c r="F474" s="68" t="s">
        <v>83</v>
      </c>
      <c r="G474" s="15" t="s">
        <v>84</v>
      </c>
      <c r="H474" s="15" t="s">
        <v>84</v>
      </c>
      <c r="I474" s="20"/>
      <c r="J474" s="79" t="s">
        <v>667</v>
      </c>
      <c r="K474" s="22">
        <v>4.2</v>
      </c>
      <c r="L474" s="23" t="s">
        <v>86</v>
      </c>
      <c r="M474" s="24">
        <v>38</v>
      </c>
      <c r="N474" s="94">
        <v>500</v>
      </c>
      <c r="O474" s="94"/>
      <c r="P474" s="26">
        <v>2.3075170731707315</v>
      </c>
      <c r="Q474" s="152">
        <f t="shared" si="63"/>
        <v>99.223234146341454</v>
      </c>
      <c r="R474" s="28">
        <f t="shared" si="64"/>
        <v>79.378587317073169</v>
      </c>
    </row>
    <row r="475" spans="1:18" ht="10.5" customHeight="1" x14ac:dyDescent="0.3">
      <c r="A475" s="73" t="s">
        <v>668</v>
      </c>
      <c r="B475" s="74">
        <v>2.9</v>
      </c>
      <c r="C475" s="75" t="s">
        <v>86</v>
      </c>
      <c r="D475" s="180">
        <v>6.5</v>
      </c>
      <c r="E475" s="87">
        <v>2000</v>
      </c>
      <c r="F475" s="78">
        <v>0.67663170731707312</v>
      </c>
      <c r="G475" s="143">
        <f t="shared" ref="G475:G499" si="65">F475*$F$10</f>
        <v>29.095163414634143</v>
      </c>
      <c r="H475" s="28">
        <f t="shared" ref="H475:H499" si="66">G475-G475*0.2</f>
        <v>23.276130731707315</v>
      </c>
      <c r="I475" s="20"/>
      <c r="J475" s="79" t="s">
        <v>669</v>
      </c>
      <c r="K475" s="22">
        <v>4.2</v>
      </c>
      <c r="L475" s="23" t="s">
        <v>86</v>
      </c>
      <c r="M475" s="24">
        <v>45</v>
      </c>
      <c r="N475" s="94">
        <v>500</v>
      </c>
      <c r="O475" s="94"/>
      <c r="P475" s="26">
        <v>1.7986073170731705</v>
      </c>
      <c r="Q475" s="152">
        <f t="shared" si="63"/>
        <v>77.340114634146332</v>
      </c>
      <c r="R475" s="28">
        <f t="shared" si="64"/>
        <v>61.872091707317068</v>
      </c>
    </row>
    <row r="476" spans="1:18" ht="10.5" customHeight="1" x14ac:dyDescent="0.3">
      <c r="A476" s="79" t="s">
        <v>670</v>
      </c>
      <c r="B476" s="22">
        <v>2.9</v>
      </c>
      <c r="C476" s="23" t="s">
        <v>86</v>
      </c>
      <c r="D476" s="132">
        <v>9.5</v>
      </c>
      <c r="E476" s="94">
        <v>2000</v>
      </c>
      <c r="F476" s="26">
        <v>0.74594146341463408</v>
      </c>
      <c r="G476" s="152">
        <f t="shared" si="65"/>
        <v>32.075482926829267</v>
      </c>
      <c r="H476" s="28">
        <f t="shared" si="66"/>
        <v>25.660386341463415</v>
      </c>
      <c r="I476" s="20"/>
      <c r="J476" s="79" t="s">
        <v>671</v>
      </c>
      <c r="K476" s="22">
        <v>4.2</v>
      </c>
      <c r="L476" s="23" t="s">
        <v>86</v>
      </c>
      <c r="M476" s="24">
        <v>50</v>
      </c>
      <c r="N476" s="94">
        <v>200</v>
      </c>
      <c r="O476" s="94"/>
      <c r="P476" s="26">
        <v>2.9994658536585366</v>
      </c>
      <c r="Q476" s="152">
        <f t="shared" si="63"/>
        <v>128.97703170731708</v>
      </c>
      <c r="R476" s="28">
        <f t="shared" si="64"/>
        <v>103.18162536585366</v>
      </c>
    </row>
    <row r="477" spans="1:18" ht="10.5" customHeight="1" x14ac:dyDescent="0.3">
      <c r="A477" s="79" t="s">
        <v>672</v>
      </c>
      <c r="B477" s="22">
        <v>2.9</v>
      </c>
      <c r="C477" s="23" t="s">
        <v>86</v>
      </c>
      <c r="D477" s="24">
        <v>13</v>
      </c>
      <c r="E477" s="94">
        <v>2000</v>
      </c>
      <c r="F477" s="26">
        <v>0.80759268292682918</v>
      </c>
      <c r="G477" s="152">
        <f t="shared" si="65"/>
        <v>34.726485365853655</v>
      </c>
      <c r="H477" s="28">
        <f t="shared" si="66"/>
        <v>27.781188292682923</v>
      </c>
      <c r="I477" s="20"/>
      <c r="J477" s="79" t="s">
        <v>673</v>
      </c>
      <c r="K477" s="22">
        <v>4.8</v>
      </c>
      <c r="L477" s="23" t="s">
        <v>86</v>
      </c>
      <c r="M477" s="132">
        <v>9.5</v>
      </c>
      <c r="N477" s="94">
        <v>1000</v>
      </c>
      <c r="O477" s="94"/>
      <c r="P477" s="26">
        <v>1.5382170731707314</v>
      </c>
      <c r="Q477" s="152">
        <f t="shared" si="63"/>
        <v>66.143334146341445</v>
      </c>
      <c r="R477" s="28">
        <f t="shared" si="64"/>
        <v>52.914667317073153</v>
      </c>
    </row>
    <row r="478" spans="1:18" ht="10.5" customHeight="1" x14ac:dyDescent="0.3">
      <c r="A478" s="79" t="s">
        <v>674</v>
      </c>
      <c r="B478" s="22">
        <v>2.9</v>
      </c>
      <c r="C478" s="23" t="s">
        <v>86</v>
      </c>
      <c r="D478" s="24">
        <v>16</v>
      </c>
      <c r="E478" s="94">
        <v>2000</v>
      </c>
      <c r="F478" s="26">
        <v>0.89221951219512197</v>
      </c>
      <c r="G478" s="152">
        <f t="shared" si="65"/>
        <v>38.365439024390241</v>
      </c>
      <c r="H478" s="28">
        <f t="shared" si="66"/>
        <v>30.692351219512194</v>
      </c>
      <c r="I478" s="20"/>
      <c r="J478" s="79" t="s">
        <v>675</v>
      </c>
      <c r="K478" s="22">
        <v>4.8</v>
      </c>
      <c r="L478" s="23" t="s">
        <v>86</v>
      </c>
      <c r="M478" s="24">
        <v>13</v>
      </c>
      <c r="N478" s="94">
        <v>1000</v>
      </c>
      <c r="O478" s="94"/>
      <c r="P478" s="26">
        <v>1.6151853658536584</v>
      </c>
      <c r="Q478" s="152">
        <f t="shared" si="63"/>
        <v>69.45297073170731</v>
      </c>
      <c r="R478" s="28">
        <f t="shared" si="64"/>
        <v>55.562376585365847</v>
      </c>
    </row>
    <row r="479" spans="1:18" ht="10.5" customHeight="1" x14ac:dyDescent="0.3">
      <c r="A479" s="79" t="s">
        <v>676</v>
      </c>
      <c r="B479" s="22">
        <v>2.9</v>
      </c>
      <c r="C479" s="23" t="s">
        <v>86</v>
      </c>
      <c r="D479" s="24">
        <v>19</v>
      </c>
      <c r="E479" s="94">
        <v>2000</v>
      </c>
      <c r="F479" s="26">
        <v>0.99982195121951212</v>
      </c>
      <c r="G479" s="152">
        <f t="shared" si="65"/>
        <v>42.992343902439018</v>
      </c>
      <c r="H479" s="28">
        <f t="shared" si="66"/>
        <v>34.393875121951211</v>
      </c>
      <c r="I479" s="20"/>
      <c r="J479" s="79" t="s">
        <v>677</v>
      </c>
      <c r="K479" s="22">
        <v>4.8</v>
      </c>
      <c r="L479" s="23" t="s">
        <v>86</v>
      </c>
      <c r="M479" s="24">
        <v>16</v>
      </c>
      <c r="N479" s="94">
        <v>1000</v>
      </c>
      <c r="O479" s="94"/>
      <c r="P479" s="26">
        <v>1.7691219512195122</v>
      </c>
      <c r="Q479" s="152">
        <f t="shared" si="63"/>
        <v>76.072243902439027</v>
      </c>
      <c r="R479" s="28">
        <f t="shared" si="64"/>
        <v>60.85779512195122</v>
      </c>
    </row>
    <row r="480" spans="1:18" ht="10.5" customHeight="1" x14ac:dyDescent="0.3">
      <c r="A480" s="79" t="s">
        <v>678</v>
      </c>
      <c r="B480" s="22">
        <v>2.9</v>
      </c>
      <c r="C480" s="23" t="s">
        <v>86</v>
      </c>
      <c r="D480" s="24">
        <v>22</v>
      </c>
      <c r="E480" s="94">
        <v>1000</v>
      </c>
      <c r="F480" s="26">
        <v>0.99982195121951212</v>
      </c>
      <c r="G480" s="152">
        <f t="shared" si="65"/>
        <v>42.992343902439018</v>
      </c>
      <c r="H480" s="28">
        <f t="shared" si="66"/>
        <v>34.393875121951211</v>
      </c>
      <c r="I480" s="20"/>
      <c r="J480" s="79" t="s">
        <v>679</v>
      </c>
      <c r="K480" s="22">
        <v>4.8</v>
      </c>
      <c r="L480" s="23" t="s">
        <v>86</v>
      </c>
      <c r="M480" s="24">
        <v>19</v>
      </c>
      <c r="N480" s="94">
        <v>500</v>
      </c>
      <c r="O480" s="94"/>
      <c r="P480" s="26">
        <v>1.9996439024390242</v>
      </c>
      <c r="Q480" s="152">
        <f t="shared" si="63"/>
        <v>85.984687804878035</v>
      </c>
      <c r="R480" s="28">
        <f t="shared" si="64"/>
        <v>68.787750243902423</v>
      </c>
    </row>
    <row r="481" spans="1:18" ht="10.5" customHeight="1" x14ac:dyDescent="0.3">
      <c r="A481" s="79" t="s">
        <v>680</v>
      </c>
      <c r="B481" s="22">
        <v>2.9</v>
      </c>
      <c r="C481" s="23" t="s">
        <v>86</v>
      </c>
      <c r="D481" s="24">
        <v>25</v>
      </c>
      <c r="E481" s="94">
        <v>1000</v>
      </c>
      <c r="F481" s="26">
        <v>1.1537585365853658</v>
      </c>
      <c r="G481" s="152">
        <f t="shared" si="65"/>
        <v>49.611617073170727</v>
      </c>
      <c r="H481" s="28">
        <f t="shared" si="66"/>
        <v>39.689293658536585</v>
      </c>
      <c r="I481" s="20"/>
      <c r="J481" s="79" t="s">
        <v>681</v>
      </c>
      <c r="K481" s="22">
        <v>4.8</v>
      </c>
      <c r="L481" s="23" t="s">
        <v>86</v>
      </c>
      <c r="M481" s="24">
        <v>22</v>
      </c>
      <c r="N481" s="94">
        <v>500</v>
      </c>
      <c r="O481" s="94"/>
      <c r="P481" s="26">
        <v>2.1535804878048781</v>
      </c>
      <c r="Q481" s="152">
        <f t="shared" si="63"/>
        <v>92.603960975609752</v>
      </c>
      <c r="R481" s="28">
        <f t="shared" si="64"/>
        <v>74.083168780487796</v>
      </c>
    </row>
    <row r="482" spans="1:18" ht="10.5" customHeight="1" x14ac:dyDescent="0.3">
      <c r="A482" s="134" t="s">
        <v>682</v>
      </c>
      <c r="B482" s="32">
        <v>3.5</v>
      </c>
      <c r="C482" s="33" t="s">
        <v>86</v>
      </c>
      <c r="D482" s="181">
        <v>6.5</v>
      </c>
      <c r="E482" s="93">
        <v>2000</v>
      </c>
      <c r="F482" s="36">
        <v>0.75359999999999994</v>
      </c>
      <c r="G482" s="152">
        <f t="shared" si="65"/>
        <v>32.404799999999994</v>
      </c>
      <c r="H482" s="28">
        <f t="shared" si="66"/>
        <v>25.923839999999995</v>
      </c>
      <c r="I482" s="20"/>
      <c r="J482" s="79" t="s">
        <v>683</v>
      </c>
      <c r="K482" s="22">
        <v>4.8</v>
      </c>
      <c r="L482" s="23" t="s">
        <v>86</v>
      </c>
      <c r="M482" s="24">
        <v>25</v>
      </c>
      <c r="N482" s="94">
        <v>500</v>
      </c>
      <c r="O482" s="94"/>
      <c r="P482" s="26">
        <v>2.3075170731707315</v>
      </c>
      <c r="Q482" s="152">
        <f t="shared" si="63"/>
        <v>99.223234146341454</v>
      </c>
      <c r="R482" s="28">
        <f t="shared" si="64"/>
        <v>79.378587317073169</v>
      </c>
    </row>
    <row r="483" spans="1:18" ht="10.5" customHeight="1" x14ac:dyDescent="0.3">
      <c r="A483" s="79" t="s">
        <v>684</v>
      </c>
      <c r="B483" s="22">
        <v>3.5</v>
      </c>
      <c r="C483" s="23" t="s">
        <v>86</v>
      </c>
      <c r="D483" s="132">
        <v>9.5</v>
      </c>
      <c r="E483" s="94">
        <v>1000</v>
      </c>
      <c r="F483" s="26">
        <v>0.83822682926829262</v>
      </c>
      <c r="G483" s="152">
        <f t="shared" si="65"/>
        <v>36.043753658536581</v>
      </c>
      <c r="H483" s="28">
        <f t="shared" si="66"/>
        <v>28.835002926829265</v>
      </c>
      <c r="I483" s="20"/>
      <c r="J483" s="79" t="s">
        <v>685</v>
      </c>
      <c r="K483" s="22">
        <v>4.8</v>
      </c>
      <c r="L483" s="23" t="s">
        <v>86</v>
      </c>
      <c r="M483" s="24">
        <v>32</v>
      </c>
      <c r="N483" s="94">
        <v>500</v>
      </c>
      <c r="O483" s="94"/>
      <c r="P483" s="26">
        <v>2.8455292682926823</v>
      </c>
      <c r="Q483" s="152">
        <f t="shared" si="63"/>
        <v>122.35775853658534</v>
      </c>
      <c r="R483" s="28">
        <f t="shared" si="64"/>
        <v>97.886206829268275</v>
      </c>
    </row>
    <row r="484" spans="1:18" ht="10.5" customHeight="1" x14ac:dyDescent="0.3">
      <c r="A484" s="79" t="s">
        <v>686</v>
      </c>
      <c r="B484" s="22">
        <v>3.5</v>
      </c>
      <c r="C484" s="23" t="s">
        <v>86</v>
      </c>
      <c r="D484" s="24">
        <v>13</v>
      </c>
      <c r="E484" s="94">
        <v>1000</v>
      </c>
      <c r="F484" s="26">
        <v>0.87690243902439025</v>
      </c>
      <c r="G484" s="152">
        <f t="shared" si="65"/>
        <v>37.706804878048779</v>
      </c>
      <c r="H484" s="28">
        <f t="shared" si="66"/>
        <v>30.165443902439023</v>
      </c>
      <c r="I484" s="20"/>
      <c r="J484" s="79" t="s">
        <v>687</v>
      </c>
      <c r="K484" s="22">
        <v>4.8</v>
      </c>
      <c r="L484" s="23" t="s">
        <v>86</v>
      </c>
      <c r="M484" s="24">
        <v>38</v>
      </c>
      <c r="N484" s="94">
        <v>500</v>
      </c>
      <c r="O484" s="94"/>
      <c r="P484" s="26">
        <v>3.0764341463414628</v>
      </c>
      <c r="Q484" s="152">
        <f t="shared" si="63"/>
        <v>132.28666829268289</v>
      </c>
      <c r="R484" s="28">
        <f t="shared" si="64"/>
        <v>105.82933463414631</v>
      </c>
    </row>
    <row r="485" spans="1:18" ht="10.5" customHeight="1" x14ac:dyDescent="0.3">
      <c r="A485" s="79" t="s">
        <v>688</v>
      </c>
      <c r="B485" s="22">
        <v>3.5</v>
      </c>
      <c r="C485" s="23" t="s">
        <v>86</v>
      </c>
      <c r="D485" s="24">
        <v>16</v>
      </c>
      <c r="E485" s="94">
        <v>1000</v>
      </c>
      <c r="F485" s="26">
        <v>0.99982195121951212</v>
      </c>
      <c r="G485" s="152">
        <f t="shared" si="65"/>
        <v>42.992343902439018</v>
      </c>
      <c r="H485" s="28">
        <f t="shared" si="66"/>
        <v>34.393875121951211</v>
      </c>
      <c r="I485" s="20"/>
      <c r="J485" s="79" t="s">
        <v>689</v>
      </c>
      <c r="K485" s="22">
        <v>4.8</v>
      </c>
      <c r="L485" s="23" t="s">
        <v>86</v>
      </c>
      <c r="M485" s="24">
        <v>45</v>
      </c>
      <c r="N485" s="94">
        <v>250</v>
      </c>
      <c r="O485" s="94"/>
      <c r="P485" s="26">
        <v>3.5378609756097559</v>
      </c>
      <c r="Q485" s="152">
        <f t="shared" si="63"/>
        <v>152.12802195121949</v>
      </c>
      <c r="R485" s="28">
        <f t="shared" si="64"/>
        <v>121.70241756097559</v>
      </c>
    </row>
    <row r="486" spans="1:18" ht="10.5" customHeight="1" x14ac:dyDescent="0.3">
      <c r="A486" s="79" t="s">
        <v>690</v>
      </c>
      <c r="B486" s="22">
        <v>3.5</v>
      </c>
      <c r="C486" s="23" t="s">
        <v>86</v>
      </c>
      <c r="D486" s="24">
        <v>19</v>
      </c>
      <c r="E486" s="94">
        <v>1000</v>
      </c>
      <c r="F486" s="26">
        <v>1.1537585365853658</v>
      </c>
      <c r="G486" s="152">
        <f t="shared" si="65"/>
        <v>49.611617073170727</v>
      </c>
      <c r="H486" s="28">
        <f t="shared" si="66"/>
        <v>39.689293658536585</v>
      </c>
      <c r="I486" s="20"/>
      <c r="J486" s="79" t="s">
        <v>691</v>
      </c>
      <c r="K486" s="22">
        <v>4.8</v>
      </c>
      <c r="L486" s="23" t="s">
        <v>86</v>
      </c>
      <c r="M486" s="24">
        <v>50</v>
      </c>
      <c r="N486" s="94">
        <v>250</v>
      </c>
      <c r="O486" s="94"/>
      <c r="P486" s="26">
        <v>3.6148292682926821</v>
      </c>
      <c r="Q486" s="152">
        <f t="shared" si="63"/>
        <v>155.43765853658533</v>
      </c>
      <c r="R486" s="28">
        <f t="shared" si="64"/>
        <v>124.35012682926826</v>
      </c>
    </row>
    <row r="487" spans="1:18" ht="10.5" customHeight="1" x14ac:dyDescent="0.3">
      <c r="A487" s="79" t="s">
        <v>692</v>
      </c>
      <c r="B487" s="22">
        <v>3.5</v>
      </c>
      <c r="C487" s="23" t="s">
        <v>86</v>
      </c>
      <c r="D487" s="24">
        <v>22</v>
      </c>
      <c r="E487" s="94">
        <v>1000</v>
      </c>
      <c r="F487" s="26">
        <v>1.1853500000000001</v>
      </c>
      <c r="G487" s="152">
        <f t="shared" si="65"/>
        <v>50.970050000000008</v>
      </c>
      <c r="H487" s="28">
        <f t="shared" si="66"/>
        <v>40.776040000000009</v>
      </c>
      <c r="I487" s="20"/>
      <c r="J487" s="79" t="s">
        <v>693</v>
      </c>
      <c r="K487" s="22">
        <v>6.3</v>
      </c>
      <c r="L487" s="23" t="s">
        <v>86</v>
      </c>
      <c r="M487" s="24">
        <v>16</v>
      </c>
      <c r="N487" s="94">
        <v>250</v>
      </c>
      <c r="O487" s="94"/>
      <c r="P487" s="26">
        <v>3.6917975609756097</v>
      </c>
      <c r="Q487" s="152">
        <f t="shared" si="63"/>
        <v>158.74729512195123</v>
      </c>
      <c r="R487" s="28">
        <f t="shared" si="64"/>
        <v>126.99783609756098</v>
      </c>
    </row>
    <row r="488" spans="1:18" ht="10.5" customHeight="1" x14ac:dyDescent="0.3">
      <c r="A488" s="79" t="s">
        <v>694</v>
      </c>
      <c r="B488" s="22">
        <v>3.5</v>
      </c>
      <c r="C488" s="23" t="s">
        <v>86</v>
      </c>
      <c r="D488" s="24">
        <v>25</v>
      </c>
      <c r="E488" s="94">
        <v>1000</v>
      </c>
      <c r="F488" s="26">
        <v>1.3073121951219511</v>
      </c>
      <c r="G488" s="152">
        <f t="shared" si="65"/>
        <v>56.214424390243899</v>
      </c>
      <c r="H488" s="28">
        <f t="shared" si="66"/>
        <v>44.971539512195122</v>
      </c>
      <c r="I488" s="20"/>
      <c r="J488" s="79" t="s">
        <v>695</v>
      </c>
      <c r="K488" s="22">
        <v>6.3</v>
      </c>
      <c r="L488" s="23" t="s">
        <v>86</v>
      </c>
      <c r="M488" s="24">
        <v>19</v>
      </c>
      <c r="N488" s="94">
        <v>250</v>
      </c>
      <c r="O488" s="94"/>
      <c r="P488" s="26">
        <v>3.9992878048780485</v>
      </c>
      <c r="Q488" s="152">
        <f t="shared" si="63"/>
        <v>171.96937560975607</v>
      </c>
      <c r="R488" s="28">
        <f t="shared" si="64"/>
        <v>137.57550048780485</v>
      </c>
    </row>
    <row r="489" spans="1:18" ht="10.5" customHeight="1" x14ac:dyDescent="0.3">
      <c r="A489" s="79" t="s">
        <v>696</v>
      </c>
      <c r="B489" s="22">
        <v>3.5</v>
      </c>
      <c r="C489" s="23" t="s">
        <v>86</v>
      </c>
      <c r="D489" s="24">
        <v>32</v>
      </c>
      <c r="E489" s="94">
        <v>1000</v>
      </c>
      <c r="F489" s="26">
        <v>1.5621499999999997</v>
      </c>
      <c r="G489" s="152">
        <f t="shared" si="65"/>
        <v>67.172449999999984</v>
      </c>
      <c r="H489" s="28">
        <f t="shared" si="66"/>
        <v>53.737959999999987</v>
      </c>
      <c r="I489" s="20"/>
      <c r="J489" s="134" t="s">
        <v>697</v>
      </c>
      <c r="K489" s="32">
        <v>6.3</v>
      </c>
      <c r="L489" s="33" t="s">
        <v>86</v>
      </c>
      <c r="M489" s="34">
        <v>22</v>
      </c>
      <c r="N489" s="93">
        <v>250</v>
      </c>
      <c r="O489" s="93"/>
      <c r="P489" s="36">
        <v>4.1542200000000005</v>
      </c>
      <c r="Q489" s="152">
        <f t="shared" si="63"/>
        <v>178.63146000000003</v>
      </c>
      <c r="R489" s="28">
        <f t="shared" si="64"/>
        <v>142.90516800000003</v>
      </c>
    </row>
    <row r="490" spans="1:18" ht="10.5" customHeight="1" x14ac:dyDescent="0.3">
      <c r="A490" s="79" t="s">
        <v>698</v>
      </c>
      <c r="B490" s="22">
        <v>3.9</v>
      </c>
      <c r="C490" s="23" t="s">
        <v>86</v>
      </c>
      <c r="D490" s="132">
        <v>9.5</v>
      </c>
      <c r="E490" s="94">
        <v>1000</v>
      </c>
      <c r="F490" s="26">
        <v>0.88456097560975611</v>
      </c>
      <c r="G490" s="152">
        <f t="shared" si="65"/>
        <v>38.036121951219513</v>
      </c>
      <c r="H490" s="28">
        <f t="shared" si="66"/>
        <v>30.42889756097561</v>
      </c>
      <c r="I490" s="20"/>
      <c r="J490" s="79" t="s">
        <v>699</v>
      </c>
      <c r="K490" s="22">
        <v>6.3</v>
      </c>
      <c r="L490" s="23" t="s">
        <v>86</v>
      </c>
      <c r="M490" s="24">
        <v>25</v>
      </c>
      <c r="N490" s="94">
        <v>250</v>
      </c>
      <c r="O490" s="94"/>
      <c r="P490" s="26">
        <v>4.4607146341463411</v>
      </c>
      <c r="Q490" s="152">
        <f t="shared" si="63"/>
        <v>191.81072926829268</v>
      </c>
      <c r="R490" s="28">
        <f t="shared" si="64"/>
        <v>153.44858341463413</v>
      </c>
    </row>
    <row r="491" spans="1:18" ht="10.5" customHeight="1" x14ac:dyDescent="0.3">
      <c r="A491" s="79" t="s">
        <v>700</v>
      </c>
      <c r="B491" s="22">
        <v>3.9</v>
      </c>
      <c r="C491" s="23" t="s">
        <v>86</v>
      </c>
      <c r="D491" s="24">
        <v>13</v>
      </c>
      <c r="E491" s="94">
        <v>1000</v>
      </c>
      <c r="F491" s="26">
        <v>0.99982195121951212</v>
      </c>
      <c r="G491" s="152">
        <f t="shared" si="65"/>
        <v>42.992343902439018</v>
      </c>
      <c r="H491" s="28">
        <f t="shared" si="66"/>
        <v>34.393875121951211</v>
      </c>
      <c r="I491" s="20"/>
      <c r="J491" s="79" t="s">
        <v>701</v>
      </c>
      <c r="K491" s="22">
        <v>6.3</v>
      </c>
      <c r="L491" s="23" t="s">
        <v>86</v>
      </c>
      <c r="M491" s="24">
        <v>32</v>
      </c>
      <c r="N491" s="94">
        <v>250</v>
      </c>
      <c r="O491" s="94"/>
      <c r="P491" s="26">
        <v>5.1652999999999993</v>
      </c>
      <c r="Q491" s="152">
        <f t="shared" si="63"/>
        <v>222.10789999999997</v>
      </c>
      <c r="R491" s="28">
        <f t="shared" si="64"/>
        <v>177.68631999999997</v>
      </c>
    </row>
    <row r="492" spans="1:18" ht="10.5" customHeight="1" x14ac:dyDescent="0.3">
      <c r="A492" s="79" t="s">
        <v>702</v>
      </c>
      <c r="B492" s="22">
        <v>3.9</v>
      </c>
      <c r="C492" s="23" t="s">
        <v>86</v>
      </c>
      <c r="D492" s="24">
        <v>16</v>
      </c>
      <c r="E492" s="94">
        <v>1000</v>
      </c>
      <c r="F492" s="26">
        <v>1.1537585365853658</v>
      </c>
      <c r="G492" s="152">
        <f t="shared" si="65"/>
        <v>49.611617073170727</v>
      </c>
      <c r="H492" s="28">
        <f t="shared" si="66"/>
        <v>39.689293658536585</v>
      </c>
      <c r="I492" s="20"/>
      <c r="J492" s="79" t="s">
        <v>703</v>
      </c>
      <c r="K492" s="22">
        <v>6.3</v>
      </c>
      <c r="L492" s="23" t="s">
        <v>86</v>
      </c>
      <c r="M492" s="24">
        <v>38</v>
      </c>
      <c r="N492" s="94">
        <v>250</v>
      </c>
      <c r="O492" s="94"/>
      <c r="P492" s="26">
        <v>5.8453780487804874</v>
      </c>
      <c r="Q492" s="152">
        <f t="shared" si="63"/>
        <v>251.35125609756096</v>
      </c>
      <c r="R492" s="28">
        <f t="shared" si="64"/>
        <v>201.08100487804876</v>
      </c>
    </row>
    <row r="493" spans="1:18" ht="10.5" customHeight="1" x14ac:dyDescent="0.3">
      <c r="A493" s="79" t="s">
        <v>704</v>
      </c>
      <c r="B493" s="22">
        <v>3.9</v>
      </c>
      <c r="C493" s="23" t="s">
        <v>86</v>
      </c>
      <c r="D493" s="24">
        <v>19</v>
      </c>
      <c r="E493" s="94">
        <v>1000</v>
      </c>
      <c r="F493" s="26">
        <v>1.1537585365853658</v>
      </c>
      <c r="G493" s="152">
        <f t="shared" si="65"/>
        <v>49.611617073170727</v>
      </c>
      <c r="H493" s="28">
        <f t="shared" si="66"/>
        <v>39.689293658536585</v>
      </c>
      <c r="I493" s="20"/>
      <c r="J493" s="79" t="s">
        <v>705</v>
      </c>
      <c r="K493" s="22">
        <v>6.3</v>
      </c>
      <c r="L493" s="23" t="s">
        <v>86</v>
      </c>
      <c r="M493" s="24">
        <v>45</v>
      </c>
      <c r="N493" s="94">
        <v>100</v>
      </c>
      <c r="O493" s="94"/>
      <c r="P493" s="26">
        <v>5.4605365853658521</v>
      </c>
      <c r="Q493" s="152">
        <f t="shared" si="63"/>
        <v>234.80307317073164</v>
      </c>
      <c r="R493" s="28">
        <f t="shared" si="64"/>
        <v>187.8424585365853</v>
      </c>
    </row>
    <row r="494" spans="1:18" ht="10.5" customHeight="1" x14ac:dyDescent="0.3">
      <c r="A494" s="79" t="s">
        <v>706</v>
      </c>
      <c r="B494" s="22">
        <v>3.9</v>
      </c>
      <c r="C494" s="23" t="s">
        <v>86</v>
      </c>
      <c r="D494" s="24">
        <v>22</v>
      </c>
      <c r="E494" s="94">
        <v>1000</v>
      </c>
      <c r="F494" s="26">
        <v>1.3842804878048778</v>
      </c>
      <c r="G494" s="152">
        <f t="shared" si="65"/>
        <v>59.524060975609743</v>
      </c>
      <c r="H494" s="28">
        <f t="shared" si="66"/>
        <v>47.619248780487794</v>
      </c>
      <c r="I494" s="20"/>
      <c r="J494" s="79" t="s">
        <v>707</v>
      </c>
      <c r="K494" s="22">
        <v>6.3</v>
      </c>
      <c r="L494" s="23" t="s">
        <v>86</v>
      </c>
      <c r="M494" s="24">
        <v>50</v>
      </c>
      <c r="N494" s="94">
        <v>100</v>
      </c>
      <c r="O494" s="94"/>
      <c r="P494" s="26">
        <v>5.8453780487804874</v>
      </c>
      <c r="Q494" s="152">
        <f t="shared" si="63"/>
        <v>251.35125609756096</v>
      </c>
      <c r="R494" s="28">
        <f t="shared" si="64"/>
        <v>201.08100487804876</v>
      </c>
    </row>
    <row r="495" spans="1:18" ht="10.5" customHeight="1" x14ac:dyDescent="0.3">
      <c r="A495" s="79" t="s">
        <v>708</v>
      </c>
      <c r="B495" s="22">
        <v>3.9</v>
      </c>
      <c r="C495" s="23" t="s">
        <v>86</v>
      </c>
      <c r="D495" s="24">
        <v>25</v>
      </c>
      <c r="E495" s="94">
        <v>1000</v>
      </c>
      <c r="F495" s="26">
        <v>1.4612487804878047</v>
      </c>
      <c r="G495" s="152">
        <f t="shared" si="65"/>
        <v>62.833697560975601</v>
      </c>
      <c r="H495" s="28">
        <f t="shared" si="66"/>
        <v>50.266958048780481</v>
      </c>
      <c r="I495" s="20"/>
      <c r="J495" s="79" t="s">
        <v>709</v>
      </c>
      <c r="K495" s="22">
        <v>6.3</v>
      </c>
      <c r="L495" s="23" t="s">
        <v>86</v>
      </c>
      <c r="M495" s="24">
        <v>63</v>
      </c>
      <c r="N495" s="94">
        <v>100</v>
      </c>
      <c r="O495" s="94"/>
      <c r="P495" s="26">
        <v>8.8312499999999989</v>
      </c>
      <c r="Q495" s="152">
        <f t="shared" si="63"/>
        <v>379.74374999999998</v>
      </c>
      <c r="R495" s="28">
        <f t="shared" si="64"/>
        <v>303.79499999999996</v>
      </c>
    </row>
    <row r="496" spans="1:18" ht="10.5" customHeight="1" x14ac:dyDescent="0.3">
      <c r="A496" s="79" t="s">
        <v>710</v>
      </c>
      <c r="B496" s="22">
        <v>3.9</v>
      </c>
      <c r="C496" s="23" t="s">
        <v>86</v>
      </c>
      <c r="D496" s="24">
        <v>32</v>
      </c>
      <c r="E496" s="94">
        <v>1000</v>
      </c>
      <c r="F496" s="26">
        <v>1.7691219512195122</v>
      </c>
      <c r="G496" s="152">
        <f t="shared" si="65"/>
        <v>76.072243902439027</v>
      </c>
      <c r="H496" s="28">
        <f t="shared" si="66"/>
        <v>60.85779512195122</v>
      </c>
      <c r="I496" s="20"/>
      <c r="J496" s="79" t="s">
        <v>711</v>
      </c>
      <c r="K496" s="22">
        <v>6.3</v>
      </c>
      <c r="L496" s="23" t="s">
        <v>86</v>
      </c>
      <c r="M496" s="24">
        <v>70</v>
      </c>
      <c r="N496" s="94">
        <v>100</v>
      </c>
      <c r="O496" s="94"/>
      <c r="P496" s="26">
        <v>8.7678756097560964</v>
      </c>
      <c r="Q496" s="152">
        <f t="shared" si="63"/>
        <v>377.01865121951215</v>
      </c>
      <c r="R496" s="28">
        <f t="shared" si="64"/>
        <v>301.61492097560972</v>
      </c>
    </row>
    <row r="497" spans="1:18" ht="10.5" customHeight="1" x14ac:dyDescent="0.3">
      <c r="A497" s="79" t="s">
        <v>712</v>
      </c>
      <c r="B497" s="22">
        <v>3.9</v>
      </c>
      <c r="C497" s="23" t="s">
        <v>86</v>
      </c>
      <c r="D497" s="24">
        <v>38</v>
      </c>
      <c r="E497" s="94">
        <v>500</v>
      </c>
      <c r="F497" s="26">
        <v>2.2906299999999997</v>
      </c>
      <c r="G497" s="152">
        <f t="shared" si="65"/>
        <v>98.497089999999986</v>
      </c>
      <c r="H497" s="28">
        <f t="shared" si="66"/>
        <v>78.797671999999991</v>
      </c>
      <c r="I497" s="20"/>
      <c r="J497" s="79" t="s">
        <v>713</v>
      </c>
      <c r="K497" s="22">
        <v>6.3</v>
      </c>
      <c r="L497" s="23" t="s">
        <v>86</v>
      </c>
      <c r="M497" s="24">
        <v>80</v>
      </c>
      <c r="N497" s="94">
        <v>100</v>
      </c>
      <c r="O497" s="94"/>
      <c r="P497" s="26">
        <v>10.825149999999999</v>
      </c>
      <c r="Q497" s="152">
        <f t="shared" si="63"/>
        <v>465.48144999999994</v>
      </c>
      <c r="R497" s="28">
        <f t="shared" si="64"/>
        <v>372.38515999999993</v>
      </c>
    </row>
    <row r="498" spans="1:18" ht="10.5" customHeight="1" x14ac:dyDescent="0.3">
      <c r="A498" s="79" t="s">
        <v>714</v>
      </c>
      <c r="B498" s="22">
        <v>4.2</v>
      </c>
      <c r="C498" s="23" t="s">
        <v>86</v>
      </c>
      <c r="D498" s="132">
        <v>9.5</v>
      </c>
      <c r="E498" s="94">
        <v>1000</v>
      </c>
      <c r="F498" s="26">
        <v>0.89221951219512197</v>
      </c>
      <c r="G498" s="152">
        <f t="shared" si="65"/>
        <v>38.365439024390241</v>
      </c>
      <c r="H498" s="28">
        <f t="shared" si="66"/>
        <v>30.692351219512194</v>
      </c>
      <c r="I498" s="20"/>
      <c r="J498" s="79" t="s">
        <v>715</v>
      </c>
      <c r="K498" s="22">
        <v>6.3</v>
      </c>
      <c r="L498" s="23" t="s">
        <v>86</v>
      </c>
      <c r="M498" s="24">
        <v>90</v>
      </c>
      <c r="N498" s="94">
        <v>100</v>
      </c>
      <c r="O498" s="94"/>
      <c r="P498" s="26">
        <v>12.01207</v>
      </c>
      <c r="Q498" s="152">
        <f t="shared" si="63"/>
        <v>516.51900999999998</v>
      </c>
      <c r="R498" s="28">
        <f t="shared" si="64"/>
        <v>413.21520799999996</v>
      </c>
    </row>
    <row r="499" spans="1:18" ht="10.5" customHeight="1" x14ac:dyDescent="0.3">
      <c r="A499" s="79" t="s">
        <v>716</v>
      </c>
      <c r="B499" s="22">
        <v>4.2</v>
      </c>
      <c r="C499" s="23" t="s">
        <v>86</v>
      </c>
      <c r="D499" s="24">
        <v>13</v>
      </c>
      <c r="E499" s="94">
        <v>1000</v>
      </c>
      <c r="F499" s="26">
        <v>1.2307268292682927</v>
      </c>
      <c r="G499" s="152">
        <f t="shared" si="65"/>
        <v>52.921253658536585</v>
      </c>
      <c r="H499" s="28">
        <f t="shared" si="66"/>
        <v>42.337002926829271</v>
      </c>
      <c r="I499" s="83"/>
      <c r="J499" s="83"/>
      <c r="K499" s="83"/>
      <c r="L499" s="83"/>
      <c r="M499" s="83"/>
      <c r="N499" s="83"/>
      <c r="O499" s="83"/>
      <c r="P499" s="83"/>
      <c r="Q499" s="83"/>
      <c r="R499" s="116"/>
    </row>
    <row r="500" spans="1:18" ht="10.5" customHeight="1" x14ac:dyDescent="0.3">
      <c r="A500" s="39"/>
      <c r="B500" s="40"/>
      <c r="C500" s="41"/>
      <c r="D500" s="42"/>
      <c r="E500" s="97"/>
      <c r="F500" s="44"/>
      <c r="G500" s="71"/>
      <c r="H500" s="46"/>
      <c r="I500" s="20"/>
      <c r="J500" s="20"/>
      <c r="K500" s="20"/>
      <c r="L500" s="20"/>
      <c r="M500" s="20"/>
      <c r="N500" s="20"/>
      <c r="O500" s="20"/>
      <c r="P500" s="20"/>
      <c r="Q500" s="20"/>
      <c r="R500" s="20"/>
    </row>
    <row r="501" spans="1:18" ht="10.5" customHeight="1" x14ac:dyDescent="0.3">
      <c r="A501" s="39"/>
      <c r="B501" s="40"/>
      <c r="C501" s="41"/>
      <c r="D501" s="42"/>
      <c r="E501" s="97"/>
      <c r="F501" s="44"/>
      <c r="G501" s="71"/>
      <c r="H501" s="46"/>
      <c r="I501" s="20"/>
      <c r="J501" s="20"/>
      <c r="K501" s="20"/>
      <c r="L501" s="20"/>
      <c r="M501" s="20"/>
      <c r="N501" s="20"/>
      <c r="O501" s="20"/>
      <c r="P501" s="20"/>
      <c r="Q501" s="20"/>
      <c r="R501" s="20"/>
    </row>
    <row r="502" spans="1:18" ht="10.5" customHeight="1" x14ac:dyDescent="0.3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</row>
    <row r="503" spans="1:18" ht="10.5" customHeight="1" x14ac:dyDescent="0.3">
      <c r="A503" s="47" t="s">
        <v>717</v>
      </c>
      <c r="B503" s="48" t="s">
        <v>718</v>
      </c>
      <c r="C503" s="49"/>
      <c r="D503" s="49"/>
      <c r="E503" s="49"/>
      <c r="F503" s="49"/>
      <c r="G503" s="49"/>
      <c r="H503" s="49"/>
      <c r="I503" s="49"/>
      <c r="J503" s="446" t="s">
        <v>78</v>
      </c>
      <c r="K503" s="452" t="s">
        <v>79</v>
      </c>
      <c r="L503" s="452"/>
      <c r="M503" s="452"/>
      <c r="N503" s="453" t="s">
        <v>80</v>
      </c>
      <c r="O503" s="434"/>
      <c r="P503" s="61"/>
      <c r="Q503" s="16" t="s">
        <v>81</v>
      </c>
      <c r="R503" s="17" t="s">
        <v>82</v>
      </c>
    </row>
    <row r="504" spans="1:18" ht="10.5" customHeight="1" thickTop="1" x14ac:dyDescent="0.3">
      <c r="A504" s="18"/>
      <c r="B504" s="20"/>
      <c r="C504" s="20"/>
      <c r="D504" s="20"/>
      <c r="E504" s="20"/>
      <c r="F504" s="20"/>
      <c r="G504" s="20"/>
      <c r="H504" s="20"/>
      <c r="I504" s="20"/>
      <c r="J504" s="446"/>
      <c r="K504" s="452"/>
      <c r="L504" s="452"/>
      <c r="M504" s="452"/>
      <c r="N504" s="453"/>
      <c r="O504" s="171"/>
      <c r="P504" s="103" t="s">
        <v>83</v>
      </c>
      <c r="Q504" s="104" t="s">
        <v>84</v>
      </c>
      <c r="R504" s="15" t="s">
        <v>84</v>
      </c>
    </row>
    <row r="505" spans="1:18" ht="10.5" customHeight="1" x14ac:dyDescent="0.3">
      <c r="A505" s="18"/>
      <c r="B505" s="20"/>
      <c r="C505" s="20"/>
      <c r="D505" s="20"/>
      <c r="E505" s="20"/>
      <c r="F505" s="20"/>
      <c r="G505" s="20"/>
      <c r="H505" s="20"/>
      <c r="I505" s="20"/>
      <c r="J505" s="79" t="s">
        <v>719</v>
      </c>
      <c r="K505" s="22">
        <v>7.5</v>
      </c>
      <c r="L505" s="23" t="s">
        <v>86</v>
      </c>
      <c r="M505" s="24">
        <v>52</v>
      </c>
      <c r="N505" s="25">
        <v>100</v>
      </c>
      <c r="O505" s="25"/>
      <c r="P505" s="26">
        <v>4.41</v>
      </c>
      <c r="Q505" s="28">
        <f t="shared" ref="Q505:Q512" si="67">P505*$F$10</f>
        <v>189.63</v>
      </c>
      <c r="R505" s="28">
        <f t="shared" ref="R505:R512" si="68">Q505-Q505*0.2</f>
        <v>151.70400000000001</v>
      </c>
    </row>
    <row r="506" spans="1:18" ht="10.5" customHeight="1" x14ac:dyDescent="0.3">
      <c r="A506" s="18"/>
      <c r="B506" s="20"/>
      <c r="C506" s="20"/>
      <c r="D506" s="20"/>
      <c r="E506" s="20"/>
      <c r="F506" s="20"/>
      <c r="G506" s="20"/>
      <c r="H506" s="20"/>
      <c r="I506" s="20"/>
      <c r="J506" s="79" t="s">
        <v>720</v>
      </c>
      <c r="K506" s="22">
        <v>7.5</v>
      </c>
      <c r="L506" s="23" t="s">
        <v>86</v>
      </c>
      <c r="M506" s="24">
        <v>72</v>
      </c>
      <c r="N506" s="25">
        <v>100</v>
      </c>
      <c r="O506" s="25"/>
      <c r="P506" s="26">
        <v>6.02</v>
      </c>
      <c r="Q506" s="28">
        <f t="shared" si="67"/>
        <v>258.85999999999996</v>
      </c>
      <c r="R506" s="28">
        <f t="shared" si="68"/>
        <v>207.08799999999997</v>
      </c>
    </row>
    <row r="507" spans="1:18" ht="10.5" customHeight="1" x14ac:dyDescent="0.3">
      <c r="A507" s="118" t="s">
        <v>721</v>
      </c>
      <c r="B507" s="20"/>
      <c r="C507" s="20"/>
      <c r="D507" s="20"/>
      <c r="E507" s="20"/>
      <c r="F507" s="20"/>
      <c r="G507" s="20"/>
      <c r="H507" s="20"/>
      <c r="I507" s="20"/>
      <c r="J507" s="79" t="s">
        <v>722</v>
      </c>
      <c r="K507" s="22">
        <v>7.5</v>
      </c>
      <c r="L507" s="23" t="s">
        <v>86</v>
      </c>
      <c r="M507" s="24">
        <v>92</v>
      </c>
      <c r="N507" s="25">
        <v>100</v>
      </c>
      <c r="O507" s="25"/>
      <c r="P507" s="26">
        <v>7.92</v>
      </c>
      <c r="Q507" s="28">
        <f t="shared" si="67"/>
        <v>340.56</v>
      </c>
      <c r="R507" s="28">
        <f t="shared" si="68"/>
        <v>272.44799999999998</v>
      </c>
    </row>
    <row r="508" spans="1:18" ht="10.5" customHeight="1" x14ac:dyDescent="0.3">
      <c r="A508" s="118" t="s">
        <v>723</v>
      </c>
      <c r="B508" s="20"/>
      <c r="C508" s="20"/>
      <c r="D508" s="20"/>
      <c r="E508" s="20"/>
      <c r="F508" s="20"/>
      <c r="G508" s="20"/>
      <c r="H508" s="20"/>
      <c r="I508" s="20"/>
      <c r="J508" s="79" t="s">
        <v>724</v>
      </c>
      <c r="K508" s="22">
        <v>7.5</v>
      </c>
      <c r="L508" s="23" t="s">
        <v>86</v>
      </c>
      <c r="M508" s="24">
        <v>112</v>
      </c>
      <c r="N508" s="25">
        <v>100</v>
      </c>
      <c r="O508" s="25"/>
      <c r="P508" s="26">
        <v>9.64</v>
      </c>
      <c r="Q508" s="28">
        <f t="shared" si="67"/>
        <v>414.52000000000004</v>
      </c>
      <c r="R508" s="28">
        <f t="shared" si="68"/>
        <v>331.61600000000004</v>
      </c>
    </row>
    <row r="509" spans="1:18" ht="10.5" customHeight="1" x14ac:dyDescent="0.3">
      <c r="A509" s="118" t="s">
        <v>725</v>
      </c>
      <c r="B509" s="20"/>
      <c r="C509" s="20"/>
      <c r="D509" s="20"/>
      <c r="E509" s="20"/>
      <c r="F509" s="20"/>
      <c r="G509" s="20"/>
      <c r="H509" s="20"/>
      <c r="I509" s="20"/>
      <c r="J509" s="79" t="s">
        <v>726</v>
      </c>
      <c r="K509" s="22">
        <v>7.5</v>
      </c>
      <c r="L509" s="23" t="s">
        <v>86</v>
      </c>
      <c r="M509" s="24">
        <v>132</v>
      </c>
      <c r="N509" s="25">
        <v>100</v>
      </c>
      <c r="O509" s="25"/>
      <c r="P509" s="26">
        <v>12.16</v>
      </c>
      <c r="Q509" s="28">
        <f t="shared" si="67"/>
        <v>522.88</v>
      </c>
      <c r="R509" s="28">
        <f t="shared" si="68"/>
        <v>418.30399999999997</v>
      </c>
    </row>
    <row r="510" spans="1:18" ht="10.5" customHeight="1" x14ac:dyDescent="0.3">
      <c r="A510" s="118"/>
      <c r="B510" s="20"/>
      <c r="C510" s="20"/>
      <c r="D510" s="20"/>
      <c r="E510" s="20"/>
      <c r="F510" s="20"/>
      <c r="G510" s="20"/>
      <c r="H510" s="20"/>
      <c r="I510" s="20"/>
      <c r="J510" s="79" t="s">
        <v>727</v>
      </c>
      <c r="K510" s="22">
        <v>7.5</v>
      </c>
      <c r="L510" s="23" t="s">
        <v>86</v>
      </c>
      <c r="M510" s="24">
        <v>152</v>
      </c>
      <c r="N510" s="25">
        <v>100</v>
      </c>
      <c r="O510" s="25"/>
      <c r="P510" s="26">
        <v>14.96</v>
      </c>
      <c r="Q510" s="28">
        <f t="shared" si="67"/>
        <v>643.28000000000009</v>
      </c>
      <c r="R510" s="28">
        <f t="shared" si="68"/>
        <v>514.62400000000002</v>
      </c>
    </row>
    <row r="511" spans="1:18" ht="10.5" customHeight="1" x14ac:dyDescent="0.3">
      <c r="A511" s="18"/>
      <c r="B511" s="20"/>
      <c r="C511" s="20"/>
      <c r="D511" s="20"/>
      <c r="E511" s="20"/>
      <c r="F511" s="20"/>
      <c r="G511" s="20"/>
      <c r="H511" s="20"/>
      <c r="I511" s="20"/>
      <c r="J511" s="79" t="s">
        <v>728</v>
      </c>
      <c r="K511" s="22">
        <v>7.5</v>
      </c>
      <c r="L511" s="23" t="s">
        <v>86</v>
      </c>
      <c r="M511" s="24">
        <v>182</v>
      </c>
      <c r="N511" s="25">
        <v>100</v>
      </c>
      <c r="O511" s="25"/>
      <c r="P511" s="26">
        <v>15.57</v>
      </c>
      <c r="Q511" s="28">
        <f t="shared" si="67"/>
        <v>669.51</v>
      </c>
      <c r="R511" s="28">
        <f t="shared" si="68"/>
        <v>535.60799999999995</v>
      </c>
    </row>
    <row r="512" spans="1:18" ht="10.5" customHeight="1" x14ac:dyDescent="0.3">
      <c r="A512" s="55"/>
      <c r="B512" s="83"/>
      <c r="C512" s="83"/>
      <c r="D512" s="83"/>
      <c r="E512" s="83"/>
      <c r="F512" s="83"/>
      <c r="G512" s="83"/>
      <c r="H512" s="83"/>
      <c r="I512" s="83"/>
      <c r="J512" s="79" t="s">
        <v>729</v>
      </c>
      <c r="K512" s="22">
        <v>7.5</v>
      </c>
      <c r="L512" s="23" t="s">
        <v>86</v>
      </c>
      <c r="M512" s="24">
        <v>202</v>
      </c>
      <c r="N512" s="25">
        <v>100</v>
      </c>
      <c r="O512" s="25"/>
      <c r="P512" s="26">
        <v>17.25</v>
      </c>
      <c r="Q512" s="28">
        <f t="shared" si="67"/>
        <v>741.75</v>
      </c>
      <c r="R512" s="28">
        <f t="shared" si="68"/>
        <v>593.4</v>
      </c>
    </row>
    <row r="513" spans="1:18" ht="10.5" customHeight="1" x14ac:dyDescent="0.3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</row>
    <row r="514" spans="1:18" ht="10.5" customHeight="1" x14ac:dyDescent="0.3">
      <c r="A514" s="47" t="s">
        <v>730</v>
      </c>
      <c r="B514" s="48" t="s">
        <v>731</v>
      </c>
      <c r="C514" s="49"/>
      <c r="D514" s="49"/>
      <c r="E514" s="49"/>
      <c r="F514" s="49"/>
      <c r="G514" s="49"/>
      <c r="H514" s="49"/>
      <c r="I514" s="49"/>
      <c r="J514" s="446" t="s">
        <v>78</v>
      </c>
      <c r="K514" s="452" t="s">
        <v>79</v>
      </c>
      <c r="L514" s="452"/>
      <c r="M514" s="452"/>
      <c r="N514" s="453" t="s">
        <v>80</v>
      </c>
      <c r="O514" s="434"/>
      <c r="P514" s="61"/>
      <c r="Q514" s="16" t="s">
        <v>81</v>
      </c>
      <c r="R514" s="17" t="s">
        <v>82</v>
      </c>
    </row>
    <row r="515" spans="1:18" ht="10.5" customHeight="1" thickTop="1" x14ac:dyDescent="0.3">
      <c r="A515" s="18"/>
      <c r="B515" s="20"/>
      <c r="C515" s="20"/>
      <c r="D515" s="20"/>
      <c r="E515" s="20"/>
      <c r="F515" s="20"/>
      <c r="G515" s="20"/>
      <c r="H515" s="20"/>
      <c r="I515" s="20"/>
      <c r="J515" s="446"/>
      <c r="K515" s="452"/>
      <c r="L515" s="452"/>
      <c r="M515" s="452"/>
      <c r="N515" s="453"/>
      <c r="O515" s="171"/>
      <c r="P515" s="103" t="s">
        <v>83</v>
      </c>
      <c r="Q515" s="104" t="s">
        <v>84</v>
      </c>
      <c r="R515" s="15" t="s">
        <v>84</v>
      </c>
    </row>
    <row r="516" spans="1:18" ht="10.5" customHeight="1" x14ac:dyDescent="0.3">
      <c r="A516" s="182"/>
      <c r="B516" s="20"/>
      <c r="C516" s="20"/>
      <c r="D516" s="20"/>
      <c r="E516" s="20"/>
      <c r="F516" s="20"/>
      <c r="G516" s="20"/>
      <c r="H516" s="20"/>
      <c r="I516" s="20"/>
      <c r="J516" s="79" t="str">
        <f t="shared" ref="J516:J534" si="69">0&amp;1054&amp;K516*10&amp;M516</f>
        <v>010543950</v>
      </c>
      <c r="K516" s="22">
        <v>3.9</v>
      </c>
      <c r="L516" s="23" t="s">
        <v>86</v>
      </c>
      <c r="M516" s="24">
        <v>50</v>
      </c>
      <c r="N516" s="170">
        <v>500</v>
      </c>
      <c r="O516" s="170"/>
      <c r="P516" s="26">
        <v>3.28</v>
      </c>
      <c r="Q516" s="111">
        <f t="shared" ref="Q516:Q534" si="70">P516*$F$10</f>
        <v>141.04</v>
      </c>
      <c r="R516" s="28">
        <f t="shared" ref="R516:R534" si="71">Q516-Q516*0.2</f>
        <v>112.83199999999999</v>
      </c>
    </row>
    <row r="517" spans="1:18" ht="10.5" customHeight="1" x14ac:dyDescent="0.3">
      <c r="A517" s="18"/>
      <c r="B517" s="20"/>
      <c r="C517" s="20"/>
      <c r="D517" s="20"/>
      <c r="E517" s="20"/>
      <c r="F517" s="20"/>
      <c r="G517" s="20"/>
      <c r="H517" s="20"/>
      <c r="I517" s="20"/>
      <c r="J517" s="79" t="str">
        <f t="shared" si="69"/>
        <v>010544213</v>
      </c>
      <c r="K517" s="22">
        <v>4.2</v>
      </c>
      <c r="L517" s="23" t="s">
        <v>86</v>
      </c>
      <c r="M517" s="24">
        <v>13</v>
      </c>
      <c r="N517" s="170">
        <v>1000</v>
      </c>
      <c r="O517" s="170"/>
      <c r="P517" s="26">
        <v>1.18</v>
      </c>
      <c r="Q517" s="111">
        <f t="shared" si="70"/>
        <v>50.739999999999995</v>
      </c>
      <c r="R517" s="28">
        <f t="shared" si="71"/>
        <v>40.591999999999999</v>
      </c>
    </row>
    <row r="518" spans="1:18" ht="10.5" customHeight="1" x14ac:dyDescent="0.3">
      <c r="A518" s="118" t="s">
        <v>664</v>
      </c>
      <c r="B518" s="20"/>
      <c r="C518" s="20"/>
      <c r="D518" s="20"/>
      <c r="E518" s="20"/>
      <c r="F518" s="20"/>
      <c r="G518" s="20"/>
      <c r="H518" s="20"/>
      <c r="I518" s="20"/>
      <c r="J518" s="79" t="str">
        <f t="shared" si="69"/>
        <v>010544216</v>
      </c>
      <c r="K518" s="22">
        <v>4.2</v>
      </c>
      <c r="L518" s="23" t="s">
        <v>86</v>
      </c>
      <c r="M518" s="24">
        <v>16</v>
      </c>
      <c r="N518" s="170">
        <v>1000</v>
      </c>
      <c r="O518" s="170"/>
      <c r="P518" s="26">
        <v>1.36</v>
      </c>
      <c r="Q518" s="111">
        <f t="shared" si="70"/>
        <v>58.480000000000004</v>
      </c>
      <c r="R518" s="28">
        <f t="shared" si="71"/>
        <v>46.784000000000006</v>
      </c>
    </row>
    <row r="519" spans="1:18" ht="10.5" customHeight="1" thickBot="1" x14ac:dyDescent="0.35">
      <c r="A519" s="446" t="s">
        <v>78</v>
      </c>
      <c r="B519" s="446" t="s">
        <v>79</v>
      </c>
      <c r="C519" s="446"/>
      <c r="D519" s="446"/>
      <c r="E519" s="447" t="s">
        <v>80</v>
      </c>
      <c r="F519" s="61"/>
      <c r="G519" s="16" t="s">
        <v>81</v>
      </c>
      <c r="H519" s="17" t="s">
        <v>82</v>
      </c>
      <c r="I519" s="20"/>
      <c r="J519" s="79" t="str">
        <f t="shared" si="69"/>
        <v>010544219</v>
      </c>
      <c r="K519" s="22">
        <v>4.2</v>
      </c>
      <c r="L519" s="23" t="s">
        <v>86</v>
      </c>
      <c r="M519" s="24">
        <v>19</v>
      </c>
      <c r="N519" s="170">
        <v>1000</v>
      </c>
      <c r="O519" s="170"/>
      <c r="P519" s="26">
        <v>1.58</v>
      </c>
      <c r="Q519" s="111">
        <f t="shared" si="70"/>
        <v>67.94</v>
      </c>
      <c r="R519" s="28">
        <f t="shared" si="71"/>
        <v>54.351999999999997</v>
      </c>
    </row>
    <row r="520" spans="1:18" ht="10.5" customHeight="1" thickTop="1" x14ac:dyDescent="0.3">
      <c r="A520" s="446"/>
      <c r="B520" s="446"/>
      <c r="C520" s="446"/>
      <c r="D520" s="446"/>
      <c r="E520" s="447"/>
      <c r="F520" s="68" t="s">
        <v>83</v>
      </c>
      <c r="G520" s="15" t="s">
        <v>84</v>
      </c>
      <c r="H520" s="15" t="s">
        <v>84</v>
      </c>
      <c r="I520" s="20"/>
      <c r="J520" s="79" t="str">
        <f t="shared" si="69"/>
        <v>010544222</v>
      </c>
      <c r="K520" s="22">
        <v>4.2</v>
      </c>
      <c r="L520" s="23" t="s">
        <v>86</v>
      </c>
      <c r="M520" s="24">
        <v>22</v>
      </c>
      <c r="N520" s="170">
        <v>1000</v>
      </c>
      <c r="O520" s="170"/>
      <c r="P520" s="26">
        <v>1.63</v>
      </c>
      <c r="Q520" s="111">
        <f t="shared" si="70"/>
        <v>70.089999999999989</v>
      </c>
      <c r="R520" s="28">
        <f t="shared" si="71"/>
        <v>56.071999999999989</v>
      </c>
    </row>
    <row r="521" spans="1:18" ht="10.5" customHeight="1" x14ac:dyDescent="0.3">
      <c r="A521" s="73" t="str">
        <f t="shared" ref="A521:A534" si="72">0&amp;1054&amp;B521*10&amp;D521</f>
        <v>010543513</v>
      </c>
      <c r="B521" s="74">
        <v>3.5</v>
      </c>
      <c r="C521" s="75" t="s">
        <v>86</v>
      </c>
      <c r="D521" s="76">
        <v>13</v>
      </c>
      <c r="E521" s="169">
        <v>1000</v>
      </c>
      <c r="F521" s="78">
        <v>0.91</v>
      </c>
      <c r="G521" s="113">
        <f t="shared" ref="G521:G534" si="73">F521*$F$10</f>
        <v>39.130000000000003</v>
      </c>
      <c r="H521" s="28">
        <f t="shared" ref="H521:H534" si="74">G521-G521*0.2</f>
        <v>31.304000000000002</v>
      </c>
      <c r="I521" s="20"/>
      <c r="J521" s="79" t="str">
        <f t="shared" si="69"/>
        <v>010544225</v>
      </c>
      <c r="K521" s="22">
        <v>4.2</v>
      </c>
      <c r="L521" s="23" t="s">
        <v>86</v>
      </c>
      <c r="M521" s="24">
        <v>25</v>
      </c>
      <c r="N521" s="170">
        <v>500</v>
      </c>
      <c r="O521" s="170"/>
      <c r="P521" s="26">
        <v>1.82</v>
      </c>
      <c r="Q521" s="111">
        <f t="shared" si="70"/>
        <v>78.260000000000005</v>
      </c>
      <c r="R521" s="28">
        <f t="shared" si="71"/>
        <v>62.608000000000004</v>
      </c>
    </row>
    <row r="522" spans="1:18" ht="10.5" customHeight="1" x14ac:dyDescent="0.3">
      <c r="A522" s="79" t="str">
        <f t="shared" si="72"/>
        <v>010543516</v>
      </c>
      <c r="B522" s="22">
        <v>3.5</v>
      </c>
      <c r="C522" s="23" t="s">
        <v>86</v>
      </c>
      <c r="D522" s="24">
        <v>16</v>
      </c>
      <c r="E522" s="170">
        <v>1000</v>
      </c>
      <c r="F522" s="26">
        <v>0.96</v>
      </c>
      <c r="G522" s="111">
        <f t="shared" si="73"/>
        <v>41.28</v>
      </c>
      <c r="H522" s="28">
        <f t="shared" si="74"/>
        <v>33.024000000000001</v>
      </c>
      <c r="I522" s="20"/>
      <c r="J522" s="79" t="str">
        <f t="shared" si="69"/>
        <v>010544232</v>
      </c>
      <c r="K522" s="22">
        <v>4.2</v>
      </c>
      <c r="L522" s="23" t="s">
        <v>86</v>
      </c>
      <c r="M522" s="24">
        <v>32</v>
      </c>
      <c r="N522" s="170">
        <v>500</v>
      </c>
      <c r="O522" s="170"/>
      <c r="P522" s="26">
        <v>2.2799999999999998</v>
      </c>
      <c r="Q522" s="111">
        <f t="shared" si="70"/>
        <v>98.039999999999992</v>
      </c>
      <c r="R522" s="28">
        <f t="shared" si="71"/>
        <v>78.431999999999988</v>
      </c>
    </row>
    <row r="523" spans="1:18" ht="10.5" customHeight="1" x14ac:dyDescent="0.3">
      <c r="A523" s="79" t="str">
        <f t="shared" si="72"/>
        <v>010543519</v>
      </c>
      <c r="B523" s="22">
        <v>3.5</v>
      </c>
      <c r="C523" s="23" t="s">
        <v>86</v>
      </c>
      <c r="D523" s="24">
        <v>19</v>
      </c>
      <c r="E523" s="170">
        <v>1000</v>
      </c>
      <c r="F523" s="26">
        <v>1.01</v>
      </c>
      <c r="G523" s="111">
        <f t="shared" si="73"/>
        <v>43.43</v>
      </c>
      <c r="H523" s="28">
        <f t="shared" si="74"/>
        <v>34.744</v>
      </c>
      <c r="I523" s="20"/>
      <c r="J523" s="79" t="str">
        <f t="shared" si="69"/>
        <v>010544238</v>
      </c>
      <c r="K523" s="22">
        <v>4.2</v>
      </c>
      <c r="L523" s="23" t="s">
        <v>86</v>
      </c>
      <c r="M523" s="24">
        <v>38</v>
      </c>
      <c r="N523" s="170">
        <v>500</v>
      </c>
      <c r="O523" s="170"/>
      <c r="P523" s="26">
        <v>2.63</v>
      </c>
      <c r="Q523" s="111">
        <f t="shared" si="70"/>
        <v>113.08999999999999</v>
      </c>
      <c r="R523" s="28">
        <f t="shared" si="71"/>
        <v>90.471999999999994</v>
      </c>
    </row>
    <row r="524" spans="1:18" ht="10.5" customHeight="1" x14ac:dyDescent="0.3">
      <c r="A524" s="79" t="str">
        <f t="shared" si="72"/>
        <v>010543522</v>
      </c>
      <c r="B524" s="22">
        <v>3.5</v>
      </c>
      <c r="C524" s="23" t="s">
        <v>86</v>
      </c>
      <c r="D524" s="24">
        <v>22</v>
      </c>
      <c r="E524" s="170">
        <v>1000</v>
      </c>
      <c r="F524" s="26">
        <v>1.1299999999999999</v>
      </c>
      <c r="G524" s="111">
        <f t="shared" si="73"/>
        <v>48.589999999999996</v>
      </c>
      <c r="H524" s="28">
        <f t="shared" si="74"/>
        <v>38.872</v>
      </c>
      <c r="I524" s="20"/>
      <c r="J524" s="79" t="str">
        <f t="shared" si="69"/>
        <v>010544245</v>
      </c>
      <c r="K524" s="22">
        <v>4.2</v>
      </c>
      <c r="L524" s="23" t="s">
        <v>86</v>
      </c>
      <c r="M524" s="24">
        <v>45</v>
      </c>
      <c r="N524" s="170">
        <v>500</v>
      </c>
      <c r="O524" s="170"/>
      <c r="P524" s="26">
        <v>3.02</v>
      </c>
      <c r="Q524" s="111">
        <f t="shared" si="70"/>
        <v>129.86000000000001</v>
      </c>
      <c r="R524" s="28">
        <f t="shared" si="71"/>
        <v>103.88800000000001</v>
      </c>
    </row>
    <row r="525" spans="1:18" ht="10.5" customHeight="1" x14ac:dyDescent="0.3">
      <c r="A525" s="79" t="str">
        <f t="shared" si="72"/>
        <v>010543525</v>
      </c>
      <c r="B525" s="22">
        <v>3.5</v>
      </c>
      <c r="C525" s="23" t="s">
        <v>86</v>
      </c>
      <c r="D525" s="24">
        <v>25</v>
      </c>
      <c r="E525" s="170">
        <v>1000</v>
      </c>
      <c r="F525" s="26">
        <v>1.22</v>
      </c>
      <c r="G525" s="111">
        <f t="shared" si="73"/>
        <v>52.46</v>
      </c>
      <c r="H525" s="28">
        <f t="shared" si="74"/>
        <v>41.968000000000004</v>
      </c>
      <c r="I525" s="20"/>
      <c r="J525" s="79" t="str">
        <f t="shared" si="69"/>
        <v>010544250</v>
      </c>
      <c r="K525" s="22">
        <v>4.2</v>
      </c>
      <c r="L525" s="23" t="s">
        <v>86</v>
      </c>
      <c r="M525" s="24">
        <v>50</v>
      </c>
      <c r="N525" s="170">
        <v>500</v>
      </c>
      <c r="O525" s="170"/>
      <c r="P525" s="26">
        <v>3.2</v>
      </c>
      <c r="Q525" s="111">
        <f t="shared" si="70"/>
        <v>137.6</v>
      </c>
      <c r="R525" s="28">
        <f t="shared" si="71"/>
        <v>110.08</v>
      </c>
    </row>
    <row r="526" spans="1:18" ht="10.5" customHeight="1" x14ac:dyDescent="0.3">
      <c r="A526" s="79" t="str">
        <f t="shared" si="72"/>
        <v>010543532</v>
      </c>
      <c r="B526" s="22">
        <v>3.5</v>
      </c>
      <c r="C526" s="23" t="s">
        <v>86</v>
      </c>
      <c r="D526" s="24">
        <v>32</v>
      </c>
      <c r="E526" s="170">
        <v>1000</v>
      </c>
      <c r="F526" s="26">
        <v>1.49</v>
      </c>
      <c r="G526" s="111">
        <f t="shared" si="73"/>
        <v>64.069999999999993</v>
      </c>
      <c r="H526" s="28">
        <f t="shared" si="74"/>
        <v>51.255999999999993</v>
      </c>
      <c r="I526" s="20"/>
      <c r="J526" s="79" t="str">
        <f t="shared" si="69"/>
        <v>010544813</v>
      </c>
      <c r="K526" s="22">
        <v>4.8</v>
      </c>
      <c r="L526" s="23" t="s">
        <v>86</v>
      </c>
      <c r="M526" s="24">
        <v>13</v>
      </c>
      <c r="N526" s="170">
        <v>1000</v>
      </c>
      <c r="O526" s="170"/>
      <c r="P526" s="26">
        <v>1.74</v>
      </c>
      <c r="Q526" s="111">
        <f t="shared" si="70"/>
        <v>74.819999999999993</v>
      </c>
      <c r="R526" s="28">
        <f t="shared" si="71"/>
        <v>59.855999999999995</v>
      </c>
    </row>
    <row r="527" spans="1:18" ht="10.5" customHeight="1" x14ac:dyDescent="0.3">
      <c r="A527" s="79" t="str">
        <f t="shared" si="72"/>
        <v>010543913</v>
      </c>
      <c r="B527" s="22">
        <v>3.9</v>
      </c>
      <c r="C527" s="23" t="s">
        <v>86</v>
      </c>
      <c r="D527" s="24">
        <v>13</v>
      </c>
      <c r="E527" s="170">
        <v>1000</v>
      </c>
      <c r="F527" s="26">
        <v>1.05</v>
      </c>
      <c r="G527" s="111">
        <f t="shared" si="73"/>
        <v>45.15</v>
      </c>
      <c r="H527" s="28">
        <f t="shared" si="74"/>
        <v>36.119999999999997</v>
      </c>
      <c r="I527" s="20"/>
      <c r="J527" s="79" t="str">
        <f t="shared" si="69"/>
        <v>010544816</v>
      </c>
      <c r="K527" s="22">
        <v>4.8</v>
      </c>
      <c r="L527" s="23" t="s">
        <v>86</v>
      </c>
      <c r="M527" s="24">
        <v>16</v>
      </c>
      <c r="N527" s="170">
        <v>1000</v>
      </c>
      <c r="O527" s="170"/>
      <c r="P527" s="26">
        <v>1.85</v>
      </c>
      <c r="Q527" s="111">
        <f t="shared" si="70"/>
        <v>79.55</v>
      </c>
      <c r="R527" s="28">
        <f t="shared" si="71"/>
        <v>63.64</v>
      </c>
    </row>
    <row r="528" spans="1:18" ht="10.5" customHeight="1" x14ac:dyDescent="0.3">
      <c r="A528" s="79" t="str">
        <f t="shared" si="72"/>
        <v>010543916</v>
      </c>
      <c r="B528" s="22">
        <v>3.9</v>
      </c>
      <c r="C528" s="23" t="s">
        <v>86</v>
      </c>
      <c r="D528" s="24">
        <v>16</v>
      </c>
      <c r="E528" s="170">
        <v>1000</v>
      </c>
      <c r="F528" s="26">
        <v>1.17</v>
      </c>
      <c r="G528" s="111">
        <f t="shared" si="73"/>
        <v>50.309999999999995</v>
      </c>
      <c r="H528" s="28">
        <f t="shared" si="74"/>
        <v>40.247999999999998</v>
      </c>
      <c r="I528" s="20"/>
      <c r="J528" s="79" t="str">
        <f t="shared" si="69"/>
        <v>010544819</v>
      </c>
      <c r="K528" s="22">
        <v>4.8</v>
      </c>
      <c r="L528" s="23" t="s">
        <v>86</v>
      </c>
      <c r="M528" s="24">
        <v>19</v>
      </c>
      <c r="N528" s="170">
        <v>500</v>
      </c>
      <c r="O528" s="170"/>
      <c r="P528" s="26">
        <v>2.08</v>
      </c>
      <c r="Q528" s="111">
        <f t="shared" si="70"/>
        <v>89.44</v>
      </c>
      <c r="R528" s="28">
        <f t="shared" si="71"/>
        <v>71.551999999999992</v>
      </c>
    </row>
    <row r="529" spans="1:18" ht="10.5" customHeight="1" x14ac:dyDescent="0.3">
      <c r="A529" s="79" t="str">
        <f t="shared" si="72"/>
        <v>010543919</v>
      </c>
      <c r="B529" s="22">
        <v>3.9</v>
      </c>
      <c r="C529" s="23" t="s">
        <v>86</v>
      </c>
      <c r="D529" s="24">
        <v>19</v>
      </c>
      <c r="E529" s="170">
        <v>1000</v>
      </c>
      <c r="F529" s="26">
        <v>1.35</v>
      </c>
      <c r="G529" s="111">
        <f t="shared" si="73"/>
        <v>58.050000000000004</v>
      </c>
      <c r="H529" s="28">
        <f t="shared" si="74"/>
        <v>46.440000000000005</v>
      </c>
      <c r="I529" s="20"/>
      <c r="J529" s="79" t="str">
        <f t="shared" si="69"/>
        <v>010544822</v>
      </c>
      <c r="K529" s="22">
        <v>4.8</v>
      </c>
      <c r="L529" s="23" t="s">
        <v>86</v>
      </c>
      <c r="M529" s="24">
        <v>22</v>
      </c>
      <c r="N529" s="170">
        <v>500</v>
      </c>
      <c r="O529" s="170"/>
      <c r="P529" s="26">
        <v>2.2799999999999998</v>
      </c>
      <c r="Q529" s="111">
        <f t="shared" si="70"/>
        <v>98.039999999999992</v>
      </c>
      <c r="R529" s="28">
        <f t="shared" si="71"/>
        <v>78.431999999999988</v>
      </c>
    </row>
    <row r="530" spans="1:18" ht="10.5" customHeight="1" x14ac:dyDescent="0.3">
      <c r="A530" s="79" t="str">
        <f t="shared" si="72"/>
        <v>010543922</v>
      </c>
      <c r="B530" s="22">
        <v>3.9</v>
      </c>
      <c r="C530" s="23" t="s">
        <v>86</v>
      </c>
      <c r="D530" s="24">
        <v>22</v>
      </c>
      <c r="E530" s="170">
        <v>1000</v>
      </c>
      <c r="F530" s="26">
        <v>1.44</v>
      </c>
      <c r="G530" s="111">
        <f t="shared" si="73"/>
        <v>61.919999999999995</v>
      </c>
      <c r="H530" s="28">
        <f t="shared" si="74"/>
        <v>49.535999999999994</v>
      </c>
      <c r="I530" s="20"/>
      <c r="J530" s="79" t="str">
        <f t="shared" si="69"/>
        <v>010544825</v>
      </c>
      <c r="K530" s="22">
        <v>4.8</v>
      </c>
      <c r="L530" s="23" t="s">
        <v>86</v>
      </c>
      <c r="M530" s="24">
        <v>25</v>
      </c>
      <c r="N530" s="170">
        <v>500</v>
      </c>
      <c r="O530" s="170"/>
      <c r="P530" s="26">
        <v>2.5299999999999998</v>
      </c>
      <c r="Q530" s="111">
        <f t="shared" si="70"/>
        <v>108.78999999999999</v>
      </c>
      <c r="R530" s="28">
        <f t="shared" si="71"/>
        <v>87.031999999999996</v>
      </c>
    </row>
    <row r="531" spans="1:18" ht="10.5" customHeight="1" x14ac:dyDescent="0.3">
      <c r="A531" s="79" t="str">
        <f t="shared" si="72"/>
        <v>010543925</v>
      </c>
      <c r="B531" s="22">
        <v>3.9</v>
      </c>
      <c r="C531" s="23" t="s">
        <v>86</v>
      </c>
      <c r="D531" s="24">
        <v>25</v>
      </c>
      <c r="E531" s="170">
        <v>1000</v>
      </c>
      <c r="F531" s="26">
        <v>1.6</v>
      </c>
      <c r="G531" s="111">
        <f t="shared" si="73"/>
        <v>68.8</v>
      </c>
      <c r="H531" s="28">
        <f t="shared" si="74"/>
        <v>55.04</v>
      </c>
      <c r="I531" s="20"/>
      <c r="J531" s="79" t="str">
        <f t="shared" si="69"/>
        <v>010544832</v>
      </c>
      <c r="K531" s="22">
        <v>4.8</v>
      </c>
      <c r="L531" s="23" t="s">
        <v>86</v>
      </c>
      <c r="M531" s="24">
        <v>32</v>
      </c>
      <c r="N531" s="170">
        <v>500</v>
      </c>
      <c r="O531" s="170"/>
      <c r="P531" s="26">
        <v>3.06</v>
      </c>
      <c r="Q531" s="111">
        <f t="shared" si="70"/>
        <v>131.58000000000001</v>
      </c>
      <c r="R531" s="28">
        <f t="shared" si="71"/>
        <v>105.26400000000001</v>
      </c>
    </row>
    <row r="532" spans="1:18" ht="10.5" customHeight="1" x14ac:dyDescent="0.3">
      <c r="A532" s="79" t="str">
        <f t="shared" si="72"/>
        <v>010543932</v>
      </c>
      <c r="B532" s="22">
        <v>3.9</v>
      </c>
      <c r="C532" s="23" t="s">
        <v>86</v>
      </c>
      <c r="D532" s="24">
        <v>32</v>
      </c>
      <c r="E532" s="170">
        <v>500</v>
      </c>
      <c r="F532" s="26">
        <v>1.93</v>
      </c>
      <c r="G532" s="111">
        <f t="shared" si="73"/>
        <v>82.99</v>
      </c>
      <c r="H532" s="28">
        <f t="shared" si="74"/>
        <v>66.391999999999996</v>
      </c>
      <c r="I532" s="20"/>
      <c r="J532" s="79" t="str">
        <f t="shared" si="69"/>
        <v>010544838</v>
      </c>
      <c r="K532" s="22">
        <v>4.8</v>
      </c>
      <c r="L532" s="23" t="s">
        <v>86</v>
      </c>
      <c r="M532" s="24">
        <v>38</v>
      </c>
      <c r="N532" s="170">
        <v>500</v>
      </c>
      <c r="O532" s="170"/>
      <c r="P532" s="26">
        <v>3.46</v>
      </c>
      <c r="Q532" s="111">
        <f t="shared" si="70"/>
        <v>148.78</v>
      </c>
      <c r="R532" s="28">
        <f t="shared" si="71"/>
        <v>119.024</v>
      </c>
    </row>
    <row r="533" spans="1:18" ht="10.5" customHeight="1" x14ac:dyDescent="0.3">
      <c r="A533" s="79" t="str">
        <f t="shared" si="72"/>
        <v>010543938</v>
      </c>
      <c r="B533" s="22">
        <v>3.9</v>
      </c>
      <c r="C533" s="23" t="s">
        <v>86</v>
      </c>
      <c r="D533" s="24">
        <v>38</v>
      </c>
      <c r="E533" s="170">
        <v>500</v>
      </c>
      <c r="F533" s="26">
        <v>2.31</v>
      </c>
      <c r="G533" s="111">
        <f t="shared" si="73"/>
        <v>99.33</v>
      </c>
      <c r="H533" s="28">
        <f t="shared" si="74"/>
        <v>79.463999999999999</v>
      </c>
      <c r="I533" s="20"/>
      <c r="J533" s="79" t="str">
        <f t="shared" si="69"/>
        <v>010544845</v>
      </c>
      <c r="K533" s="22">
        <v>4.8</v>
      </c>
      <c r="L533" s="23" t="s">
        <v>86</v>
      </c>
      <c r="M533" s="24">
        <v>45</v>
      </c>
      <c r="N533" s="170">
        <v>250</v>
      </c>
      <c r="O533" s="170"/>
      <c r="P533" s="26">
        <v>3.7</v>
      </c>
      <c r="Q533" s="111">
        <f t="shared" si="70"/>
        <v>159.1</v>
      </c>
      <c r="R533" s="28">
        <f t="shared" si="71"/>
        <v>127.28</v>
      </c>
    </row>
    <row r="534" spans="1:18" ht="10.5" customHeight="1" x14ac:dyDescent="0.3">
      <c r="A534" s="79" t="str">
        <f t="shared" si="72"/>
        <v>010543945</v>
      </c>
      <c r="B534" s="22">
        <v>3.9</v>
      </c>
      <c r="C534" s="23" t="s">
        <v>86</v>
      </c>
      <c r="D534" s="24">
        <v>45</v>
      </c>
      <c r="E534" s="170">
        <v>500</v>
      </c>
      <c r="F534" s="26">
        <v>2.85</v>
      </c>
      <c r="G534" s="111">
        <f t="shared" si="73"/>
        <v>122.55</v>
      </c>
      <c r="H534" s="28">
        <f t="shared" si="74"/>
        <v>98.039999999999992</v>
      </c>
      <c r="I534" s="83"/>
      <c r="J534" s="79" t="str">
        <f t="shared" si="69"/>
        <v>010544850</v>
      </c>
      <c r="K534" s="22">
        <v>4.8</v>
      </c>
      <c r="L534" s="23" t="s">
        <v>86</v>
      </c>
      <c r="M534" s="24">
        <v>50</v>
      </c>
      <c r="N534" s="170">
        <v>250</v>
      </c>
      <c r="O534" s="170"/>
      <c r="P534" s="26">
        <v>4.17</v>
      </c>
      <c r="Q534" s="111">
        <f t="shared" si="70"/>
        <v>179.31</v>
      </c>
      <c r="R534" s="28">
        <f t="shared" si="71"/>
        <v>143.44800000000001</v>
      </c>
    </row>
    <row r="535" spans="1:18" ht="10.5" customHeight="1" x14ac:dyDescent="0.3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</row>
    <row r="536" spans="1:18" ht="10.5" customHeight="1" x14ac:dyDescent="0.3">
      <c r="A536" s="183" t="s">
        <v>732</v>
      </c>
      <c r="B536" s="49"/>
      <c r="C536" s="49"/>
      <c r="D536" s="49"/>
      <c r="E536" s="49"/>
      <c r="F536" s="49"/>
      <c r="G536" s="49"/>
      <c r="H536" s="49"/>
      <c r="I536" s="49"/>
      <c r="J536" s="446" t="s">
        <v>78</v>
      </c>
      <c r="K536" s="446" t="s">
        <v>79</v>
      </c>
      <c r="L536" s="446"/>
      <c r="M536" s="446"/>
      <c r="N536" s="447" t="s">
        <v>80</v>
      </c>
      <c r="O536" s="434"/>
      <c r="P536" s="61"/>
      <c r="Q536" s="16" t="s">
        <v>81</v>
      </c>
      <c r="R536" s="17" t="s">
        <v>82</v>
      </c>
    </row>
    <row r="537" spans="1:18" ht="10.5" customHeight="1" thickTop="1" x14ac:dyDescent="0.3">
      <c r="A537" s="182"/>
      <c r="B537" s="20"/>
      <c r="C537" s="20"/>
      <c r="D537" s="20"/>
      <c r="E537" s="20"/>
      <c r="F537" s="20"/>
      <c r="G537" s="20"/>
      <c r="H537" s="20"/>
      <c r="I537" s="20"/>
      <c r="J537" s="446"/>
      <c r="K537" s="446"/>
      <c r="L537" s="446"/>
      <c r="M537" s="446"/>
      <c r="N537" s="447"/>
      <c r="O537" s="369"/>
      <c r="P537" s="68" t="s">
        <v>83</v>
      </c>
      <c r="Q537" s="15" t="s">
        <v>84</v>
      </c>
      <c r="R537" s="15" t="s">
        <v>84</v>
      </c>
    </row>
    <row r="538" spans="1:18" ht="10.5" customHeight="1" x14ac:dyDescent="0.3">
      <c r="A538" s="18"/>
      <c r="B538" s="20"/>
      <c r="C538" s="20"/>
      <c r="D538" s="20"/>
      <c r="E538" s="20"/>
      <c r="F538" s="20"/>
      <c r="G538" s="20"/>
      <c r="H538" s="20"/>
      <c r="I538" s="20"/>
      <c r="J538" s="79" t="str">
        <f t="shared" ref="J538:J566" si="75">0&amp;1055&amp;K538*10&amp;M538</f>
        <v>010554245</v>
      </c>
      <c r="K538" s="184">
        <v>4.2</v>
      </c>
      <c r="L538" s="185" t="s">
        <v>86</v>
      </c>
      <c r="M538" s="186">
        <v>45</v>
      </c>
      <c r="N538" s="170">
        <v>500</v>
      </c>
      <c r="O538" s="170"/>
      <c r="P538" s="26">
        <v>2.3199999999999998</v>
      </c>
      <c r="Q538" s="111">
        <f t="shared" ref="Q538:Q566" si="76">P538*$F$10</f>
        <v>99.759999999999991</v>
      </c>
      <c r="R538" s="28">
        <f t="shared" ref="R538:R566" si="77">Q538-Q538*0.2</f>
        <v>79.807999999999993</v>
      </c>
    </row>
    <row r="539" spans="1:18" ht="10.5" customHeight="1" x14ac:dyDescent="0.3">
      <c r="A539" s="178"/>
      <c r="B539" s="20"/>
      <c r="C539" s="20"/>
      <c r="D539" s="20"/>
      <c r="E539" s="20"/>
      <c r="F539" s="20"/>
      <c r="G539" s="20"/>
      <c r="H539" s="20"/>
      <c r="I539" s="20"/>
      <c r="J539" s="79" t="str">
        <f t="shared" si="75"/>
        <v>010554250</v>
      </c>
      <c r="K539" s="184">
        <v>4.2</v>
      </c>
      <c r="L539" s="185" t="s">
        <v>86</v>
      </c>
      <c r="M539" s="186">
        <v>50</v>
      </c>
      <c r="N539" s="170">
        <v>500</v>
      </c>
      <c r="O539" s="170"/>
      <c r="P539" s="26">
        <v>2.63</v>
      </c>
      <c r="Q539" s="111">
        <f t="shared" si="76"/>
        <v>113.08999999999999</v>
      </c>
      <c r="R539" s="28">
        <f t="shared" si="77"/>
        <v>90.471999999999994</v>
      </c>
    </row>
    <row r="540" spans="1:18" ht="10.5" customHeight="1" x14ac:dyDescent="0.3">
      <c r="A540" s="118" t="s">
        <v>466</v>
      </c>
      <c r="B540" s="20"/>
      <c r="C540" s="20"/>
      <c r="D540" s="20"/>
      <c r="E540" s="20"/>
      <c r="F540" s="20"/>
      <c r="G540" s="20"/>
      <c r="H540" s="20"/>
      <c r="I540" s="20"/>
      <c r="J540" s="79" t="str">
        <f t="shared" si="75"/>
        <v>010554813</v>
      </c>
      <c r="K540" s="184">
        <v>4.8</v>
      </c>
      <c r="L540" s="185" t="s">
        <v>86</v>
      </c>
      <c r="M540" s="186">
        <v>13</v>
      </c>
      <c r="N540" s="170">
        <v>1000</v>
      </c>
      <c r="O540" s="170"/>
      <c r="P540" s="26">
        <v>1.25</v>
      </c>
      <c r="Q540" s="111">
        <f t="shared" si="76"/>
        <v>53.75</v>
      </c>
      <c r="R540" s="28">
        <f t="shared" si="77"/>
        <v>43</v>
      </c>
    </row>
    <row r="541" spans="1:18" ht="10.5" customHeight="1" thickBot="1" x14ac:dyDescent="0.35">
      <c r="A541" s="446" t="s">
        <v>78</v>
      </c>
      <c r="B541" s="446" t="s">
        <v>79</v>
      </c>
      <c r="C541" s="446"/>
      <c r="D541" s="446"/>
      <c r="E541" s="447" t="s">
        <v>80</v>
      </c>
      <c r="F541" s="61"/>
      <c r="G541" s="16" t="s">
        <v>81</v>
      </c>
      <c r="H541" s="17" t="s">
        <v>82</v>
      </c>
      <c r="I541" s="20"/>
      <c r="J541" s="79" t="str">
        <f t="shared" si="75"/>
        <v>010554816</v>
      </c>
      <c r="K541" s="184">
        <v>4.8</v>
      </c>
      <c r="L541" s="185" t="s">
        <v>86</v>
      </c>
      <c r="M541" s="186">
        <v>16</v>
      </c>
      <c r="N541" s="170">
        <v>1000</v>
      </c>
      <c r="O541" s="170"/>
      <c r="P541" s="26">
        <v>1.3</v>
      </c>
      <c r="Q541" s="111">
        <f t="shared" si="76"/>
        <v>55.9</v>
      </c>
      <c r="R541" s="28">
        <f t="shared" si="77"/>
        <v>44.72</v>
      </c>
    </row>
    <row r="542" spans="1:18" ht="10.5" customHeight="1" thickTop="1" thickBot="1" x14ac:dyDescent="0.35">
      <c r="A542" s="446"/>
      <c r="B542" s="446"/>
      <c r="C542" s="446"/>
      <c r="D542" s="446"/>
      <c r="E542" s="447"/>
      <c r="F542" s="68" t="s">
        <v>83</v>
      </c>
      <c r="G542" s="15" t="s">
        <v>84</v>
      </c>
      <c r="H542" s="15" t="s">
        <v>84</v>
      </c>
      <c r="I542" s="20"/>
      <c r="J542" s="79" t="str">
        <f t="shared" si="75"/>
        <v>010554819</v>
      </c>
      <c r="K542" s="184">
        <v>4.8</v>
      </c>
      <c r="L542" s="185" t="s">
        <v>86</v>
      </c>
      <c r="M542" s="186">
        <v>19</v>
      </c>
      <c r="N542" s="170">
        <v>500</v>
      </c>
      <c r="O542" s="170"/>
      <c r="P542" s="26">
        <v>1.58</v>
      </c>
      <c r="Q542" s="111">
        <f t="shared" si="76"/>
        <v>67.94</v>
      </c>
      <c r="R542" s="28">
        <f t="shared" si="77"/>
        <v>54.351999999999997</v>
      </c>
    </row>
    <row r="543" spans="1:18" ht="10.5" customHeight="1" x14ac:dyDescent="0.3">
      <c r="A543" s="73" t="str">
        <f t="shared" ref="A543:A567" si="78">0&amp;1055&amp;B543*10&amp;D543</f>
        <v>01055359,5</v>
      </c>
      <c r="B543" s="187">
        <v>3.5</v>
      </c>
      <c r="C543" s="188" t="s">
        <v>86</v>
      </c>
      <c r="D543" s="189">
        <v>9.5</v>
      </c>
      <c r="E543" s="169">
        <v>1000</v>
      </c>
      <c r="F543" s="151">
        <v>0.72</v>
      </c>
      <c r="G543" s="111">
        <f t="shared" ref="G543:G567" si="79">F543*$F$10</f>
        <v>30.959999999999997</v>
      </c>
      <c r="H543" s="72">
        <f t="shared" ref="H543:H567" si="80">G543-G543*0.2</f>
        <v>24.767999999999997</v>
      </c>
      <c r="I543" s="20"/>
      <c r="J543" s="79" t="str">
        <f t="shared" si="75"/>
        <v>010554822</v>
      </c>
      <c r="K543" s="184">
        <v>4.8</v>
      </c>
      <c r="L543" s="185" t="s">
        <v>86</v>
      </c>
      <c r="M543" s="186">
        <v>22</v>
      </c>
      <c r="N543" s="170">
        <v>500</v>
      </c>
      <c r="O543" s="170"/>
      <c r="P543" s="26">
        <v>2.0299999999999998</v>
      </c>
      <c r="Q543" s="111">
        <f t="shared" si="76"/>
        <v>87.289999999999992</v>
      </c>
      <c r="R543" s="28">
        <f t="shared" si="77"/>
        <v>69.831999999999994</v>
      </c>
    </row>
    <row r="544" spans="1:18" ht="10.5" customHeight="1" x14ac:dyDescent="0.3">
      <c r="A544" s="79" t="str">
        <f t="shared" si="78"/>
        <v>010553513</v>
      </c>
      <c r="B544" s="184">
        <v>3.5</v>
      </c>
      <c r="C544" s="185" t="s">
        <v>86</v>
      </c>
      <c r="D544" s="186">
        <v>13</v>
      </c>
      <c r="E544" s="170">
        <v>1000</v>
      </c>
      <c r="F544" s="26">
        <v>0.79</v>
      </c>
      <c r="G544" s="111">
        <f t="shared" si="79"/>
        <v>33.97</v>
      </c>
      <c r="H544" s="28">
        <f t="shared" si="80"/>
        <v>27.175999999999998</v>
      </c>
      <c r="I544" s="20"/>
      <c r="J544" s="79" t="str">
        <f t="shared" si="75"/>
        <v>010554825</v>
      </c>
      <c r="K544" s="184">
        <v>4.8</v>
      </c>
      <c r="L544" s="185" t="s">
        <v>86</v>
      </c>
      <c r="M544" s="186">
        <v>25</v>
      </c>
      <c r="N544" s="170">
        <v>500</v>
      </c>
      <c r="O544" s="170"/>
      <c r="P544" s="26">
        <v>2.11</v>
      </c>
      <c r="Q544" s="111">
        <f t="shared" si="76"/>
        <v>90.72999999999999</v>
      </c>
      <c r="R544" s="28">
        <f t="shared" si="77"/>
        <v>72.583999999999989</v>
      </c>
    </row>
    <row r="545" spans="1:18" ht="10.5" customHeight="1" x14ac:dyDescent="0.3">
      <c r="A545" s="79" t="str">
        <f t="shared" si="78"/>
        <v>010553516</v>
      </c>
      <c r="B545" s="184">
        <v>3.5</v>
      </c>
      <c r="C545" s="185" t="s">
        <v>86</v>
      </c>
      <c r="D545" s="186">
        <v>16</v>
      </c>
      <c r="E545" s="170">
        <v>1000</v>
      </c>
      <c r="F545" s="26">
        <v>0.87</v>
      </c>
      <c r="G545" s="111">
        <f t="shared" si="79"/>
        <v>37.409999999999997</v>
      </c>
      <c r="H545" s="28">
        <f t="shared" si="80"/>
        <v>29.927999999999997</v>
      </c>
      <c r="I545" s="20"/>
      <c r="J545" s="79" t="str">
        <f t="shared" si="75"/>
        <v>010554832</v>
      </c>
      <c r="K545" s="184">
        <v>4.8</v>
      </c>
      <c r="L545" s="185" t="s">
        <v>86</v>
      </c>
      <c r="M545" s="186">
        <v>32</v>
      </c>
      <c r="N545" s="170">
        <v>500</v>
      </c>
      <c r="O545" s="170"/>
      <c r="P545" s="26">
        <v>2.42</v>
      </c>
      <c r="Q545" s="111">
        <f t="shared" si="76"/>
        <v>104.06</v>
      </c>
      <c r="R545" s="28">
        <f t="shared" si="77"/>
        <v>83.248000000000005</v>
      </c>
    </row>
    <row r="546" spans="1:18" ht="10.5" customHeight="1" x14ac:dyDescent="0.3">
      <c r="A546" s="79" t="str">
        <f t="shared" si="78"/>
        <v>010553519</v>
      </c>
      <c r="B546" s="184">
        <v>3.5</v>
      </c>
      <c r="C546" s="185" t="s">
        <v>86</v>
      </c>
      <c r="D546" s="186">
        <v>19</v>
      </c>
      <c r="E546" s="170">
        <v>1000</v>
      </c>
      <c r="F546" s="26">
        <v>0.96</v>
      </c>
      <c r="G546" s="111">
        <f t="shared" si="79"/>
        <v>41.28</v>
      </c>
      <c r="H546" s="28">
        <f t="shared" si="80"/>
        <v>33.024000000000001</v>
      </c>
      <c r="I546" s="20"/>
      <c r="J546" s="79" t="str">
        <f t="shared" si="75"/>
        <v>010554838</v>
      </c>
      <c r="K546" s="184">
        <v>4.8</v>
      </c>
      <c r="L546" s="185" t="s">
        <v>86</v>
      </c>
      <c r="M546" s="186">
        <v>38</v>
      </c>
      <c r="N546" s="170">
        <v>500</v>
      </c>
      <c r="O546" s="170"/>
      <c r="P546" s="26">
        <v>2.74</v>
      </c>
      <c r="Q546" s="111">
        <f t="shared" si="76"/>
        <v>117.82000000000001</v>
      </c>
      <c r="R546" s="28">
        <f t="shared" si="77"/>
        <v>94.256</v>
      </c>
    </row>
    <row r="547" spans="1:18" ht="10.5" customHeight="1" x14ac:dyDescent="0.3">
      <c r="A547" s="79" t="str">
        <f t="shared" si="78"/>
        <v>010553522</v>
      </c>
      <c r="B547" s="184">
        <v>3.5</v>
      </c>
      <c r="C547" s="185" t="s">
        <v>86</v>
      </c>
      <c r="D547" s="186">
        <v>22</v>
      </c>
      <c r="E547" s="170">
        <v>1000</v>
      </c>
      <c r="F547" s="26">
        <v>0.97</v>
      </c>
      <c r="G547" s="111">
        <f t="shared" si="79"/>
        <v>41.71</v>
      </c>
      <c r="H547" s="28">
        <f t="shared" si="80"/>
        <v>33.368000000000002</v>
      </c>
      <c r="I547" s="20"/>
      <c r="J547" s="79" t="str">
        <f t="shared" si="75"/>
        <v>010554845</v>
      </c>
      <c r="K547" s="184">
        <v>4.8</v>
      </c>
      <c r="L547" s="185" t="s">
        <v>86</v>
      </c>
      <c r="M547" s="186">
        <v>45</v>
      </c>
      <c r="N547" s="170">
        <v>250</v>
      </c>
      <c r="O547" s="170"/>
      <c r="P547" s="26">
        <v>3.16</v>
      </c>
      <c r="Q547" s="111">
        <f t="shared" si="76"/>
        <v>135.88</v>
      </c>
      <c r="R547" s="28">
        <f t="shared" si="77"/>
        <v>108.70399999999999</v>
      </c>
    </row>
    <row r="548" spans="1:18" ht="10.5" customHeight="1" x14ac:dyDescent="0.3">
      <c r="A548" s="79" t="str">
        <f t="shared" si="78"/>
        <v>010553525</v>
      </c>
      <c r="B548" s="184">
        <v>3.5</v>
      </c>
      <c r="C548" s="185" t="s">
        <v>86</v>
      </c>
      <c r="D548" s="186">
        <v>25</v>
      </c>
      <c r="E548" s="170">
        <v>1000</v>
      </c>
      <c r="F548" s="26">
        <v>1.06</v>
      </c>
      <c r="G548" s="111">
        <f t="shared" si="79"/>
        <v>45.580000000000005</v>
      </c>
      <c r="H548" s="28">
        <f t="shared" si="80"/>
        <v>36.464000000000006</v>
      </c>
      <c r="I548" s="20"/>
      <c r="J548" s="79" t="str">
        <f t="shared" si="75"/>
        <v>010554850</v>
      </c>
      <c r="K548" s="184">
        <v>4.8</v>
      </c>
      <c r="L548" s="185" t="s">
        <v>86</v>
      </c>
      <c r="M548" s="186">
        <v>50</v>
      </c>
      <c r="N548" s="170">
        <v>250</v>
      </c>
      <c r="O548" s="170"/>
      <c r="P548" s="26">
        <v>3.47</v>
      </c>
      <c r="Q548" s="111">
        <f t="shared" si="76"/>
        <v>149.21</v>
      </c>
      <c r="R548" s="28">
        <f t="shared" si="77"/>
        <v>119.36800000000001</v>
      </c>
    </row>
    <row r="549" spans="1:18" ht="10.5" customHeight="1" x14ac:dyDescent="0.3">
      <c r="A549" s="79" t="str">
        <f t="shared" si="78"/>
        <v>010553532</v>
      </c>
      <c r="B549" s="184">
        <v>3.5</v>
      </c>
      <c r="C549" s="185" t="s">
        <v>86</v>
      </c>
      <c r="D549" s="186">
        <v>32</v>
      </c>
      <c r="E549" s="170">
        <v>1000</v>
      </c>
      <c r="F549" s="26">
        <v>1.37</v>
      </c>
      <c r="G549" s="111">
        <f t="shared" si="79"/>
        <v>58.910000000000004</v>
      </c>
      <c r="H549" s="28">
        <f t="shared" si="80"/>
        <v>47.128</v>
      </c>
      <c r="I549" s="20"/>
      <c r="J549" s="79" t="str">
        <f t="shared" si="75"/>
        <v>010554860</v>
      </c>
      <c r="K549" s="184">
        <v>4.8</v>
      </c>
      <c r="L549" s="185" t="s">
        <v>86</v>
      </c>
      <c r="M549" s="186">
        <v>60</v>
      </c>
      <c r="N549" s="170">
        <v>250</v>
      </c>
      <c r="O549" s="170"/>
      <c r="P549" s="26">
        <v>4.1100000000000003</v>
      </c>
      <c r="Q549" s="111">
        <f t="shared" si="76"/>
        <v>176.73000000000002</v>
      </c>
      <c r="R549" s="28">
        <f t="shared" si="77"/>
        <v>141.38400000000001</v>
      </c>
    </row>
    <row r="550" spans="1:18" ht="10.5" customHeight="1" x14ac:dyDescent="0.3">
      <c r="A550" s="79" t="str">
        <f t="shared" si="78"/>
        <v>010553538</v>
      </c>
      <c r="B550" s="184">
        <v>3.5</v>
      </c>
      <c r="C550" s="185" t="s">
        <v>86</v>
      </c>
      <c r="D550" s="186">
        <v>38</v>
      </c>
      <c r="E550" s="170">
        <v>500</v>
      </c>
      <c r="F550" s="26">
        <v>1.47</v>
      </c>
      <c r="G550" s="111">
        <f t="shared" si="79"/>
        <v>63.21</v>
      </c>
      <c r="H550" s="28">
        <f t="shared" si="80"/>
        <v>50.567999999999998</v>
      </c>
      <c r="I550" s="20"/>
      <c r="J550" s="79" t="str">
        <f t="shared" si="75"/>
        <v>010554870</v>
      </c>
      <c r="K550" s="184">
        <v>4.8</v>
      </c>
      <c r="L550" s="185" t="s">
        <v>86</v>
      </c>
      <c r="M550" s="186">
        <v>70</v>
      </c>
      <c r="N550" s="170">
        <v>250</v>
      </c>
      <c r="O550" s="170"/>
      <c r="P550" s="26">
        <v>5.26</v>
      </c>
      <c r="Q550" s="111">
        <f t="shared" si="76"/>
        <v>226.17999999999998</v>
      </c>
      <c r="R550" s="28">
        <f t="shared" si="77"/>
        <v>180.94399999999999</v>
      </c>
    </row>
    <row r="551" spans="1:18" ht="10.5" customHeight="1" x14ac:dyDescent="0.3">
      <c r="A551" s="79" t="str">
        <f t="shared" si="78"/>
        <v>010553545</v>
      </c>
      <c r="B551" s="184">
        <v>3.5</v>
      </c>
      <c r="C551" s="185" t="s">
        <v>86</v>
      </c>
      <c r="D551" s="186">
        <v>45</v>
      </c>
      <c r="E551" s="170">
        <v>500</v>
      </c>
      <c r="F551" s="26">
        <v>1.99</v>
      </c>
      <c r="G551" s="111">
        <f t="shared" si="79"/>
        <v>85.57</v>
      </c>
      <c r="H551" s="28">
        <f t="shared" si="80"/>
        <v>68.455999999999989</v>
      </c>
      <c r="I551" s="20"/>
      <c r="J551" s="79" t="str">
        <f t="shared" si="75"/>
        <v>010554875</v>
      </c>
      <c r="K551" s="184">
        <v>4.8</v>
      </c>
      <c r="L551" s="185" t="s">
        <v>86</v>
      </c>
      <c r="M551" s="186">
        <v>75</v>
      </c>
      <c r="N551" s="170">
        <v>250</v>
      </c>
      <c r="O551" s="170"/>
      <c r="P551" s="26">
        <v>5.74</v>
      </c>
      <c r="Q551" s="111">
        <f t="shared" si="76"/>
        <v>246.82000000000002</v>
      </c>
      <c r="R551" s="28">
        <f t="shared" si="77"/>
        <v>197.45600000000002</v>
      </c>
    </row>
    <row r="552" spans="1:18" ht="10.5" customHeight="1" x14ac:dyDescent="0.3">
      <c r="A552" s="79" t="str">
        <f t="shared" si="78"/>
        <v>010553913</v>
      </c>
      <c r="B552" s="184">
        <v>3.9</v>
      </c>
      <c r="C552" s="185" t="s">
        <v>86</v>
      </c>
      <c r="D552" s="186">
        <v>13</v>
      </c>
      <c r="E552" s="170">
        <v>1000</v>
      </c>
      <c r="F552" s="26">
        <v>0.91</v>
      </c>
      <c r="G552" s="111">
        <f t="shared" si="79"/>
        <v>39.130000000000003</v>
      </c>
      <c r="H552" s="28">
        <f t="shared" si="80"/>
        <v>31.304000000000002</v>
      </c>
      <c r="I552" s="20"/>
      <c r="J552" s="79" t="str">
        <f t="shared" si="75"/>
        <v>010554880</v>
      </c>
      <c r="K552" s="184">
        <v>4.8</v>
      </c>
      <c r="L552" s="185" t="s">
        <v>86</v>
      </c>
      <c r="M552" s="186">
        <v>80</v>
      </c>
      <c r="N552" s="170">
        <v>200</v>
      </c>
      <c r="O552" s="170"/>
      <c r="P552" s="26">
        <v>6.1</v>
      </c>
      <c r="Q552" s="111">
        <f t="shared" si="76"/>
        <v>262.3</v>
      </c>
      <c r="R552" s="28">
        <f t="shared" si="77"/>
        <v>209.84</v>
      </c>
    </row>
    <row r="553" spans="1:18" ht="10.5" customHeight="1" x14ac:dyDescent="0.3">
      <c r="A553" s="79" t="str">
        <f t="shared" si="78"/>
        <v>010553916</v>
      </c>
      <c r="B553" s="184">
        <v>3.9</v>
      </c>
      <c r="C553" s="185" t="s">
        <v>86</v>
      </c>
      <c r="D553" s="186">
        <v>16</v>
      </c>
      <c r="E553" s="170">
        <v>1000</v>
      </c>
      <c r="F553" s="26">
        <v>0.97</v>
      </c>
      <c r="G553" s="111">
        <f t="shared" si="79"/>
        <v>41.71</v>
      </c>
      <c r="H553" s="28">
        <f t="shared" si="80"/>
        <v>33.368000000000002</v>
      </c>
      <c r="I553" s="20"/>
      <c r="J553" s="79" t="str">
        <f t="shared" si="75"/>
        <v>010554890</v>
      </c>
      <c r="K553" s="184">
        <v>4.8</v>
      </c>
      <c r="L553" s="185" t="s">
        <v>86</v>
      </c>
      <c r="M553" s="186">
        <v>90</v>
      </c>
      <c r="N553" s="170">
        <v>100</v>
      </c>
      <c r="O553" s="170"/>
      <c r="P553" s="26">
        <v>6.72</v>
      </c>
      <c r="Q553" s="111">
        <f t="shared" si="76"/>
        <v>288.95999999999998</v>
      </c>
      <c r="R553" s="28">
        <f t="shared" si="77"/>
        <v>231.16799999999998</v>
      </c>
    </row>
    <row r="554" spans="1:18" ht="10.5" customHeight="1" x14ac:dyDescent="0.3">
      <c r="A554" s="79" t="str">
        <f t="shared" si="78"/>
        <v>010553919</v>
      </c>
      <c r="B554" s="184">
        <v>3.9</v>
      </c>
      <c r="C554" s="185" t="s">
        <v>86</v>
      </c>
      <c r="D554" s="186">
        <v>19</v>
      </c>
      <c r="E554" s="170">
        <v>1000</v>
      </c>
      <c r="F554" s="26">
        <v>1</v>
      </c>
      <c r="G554" s="111">
        <f t="shared" si="79"/>
        <v>43</v>
      </c>
      <c r="H554" s="28">
        <f t="shared" si="80"/>
        <v>34.4</v>
      </c>
      <c r="I554" s="20"/>
      <c r="J554" s="79" t="str">
        <f t="shared" si="75"/>
        <v>0105548100</v>
      </c>
      <c r="K554" s="184">
        <v>4.8</v>
      </c>
      <c r="L554" s="185" t="s">
        <v>86</v>
      </c>
      <c r="M554" s="186">
        <v>100</v>
      </c>
      <c r="N554" s="170">
        <v>100</v>
      </c>
      <c r="O554" s="170"/>
      <c r="P554" s="26">
        <v>7.53</v>
      </c>
      <c r="Q554" s="111">
        <f t="shared" si="76"/>
        <v>323.79000000000002</v>
      </c>
      <c r="R554" s="28">
        <f t="shared" si="77"/>
        <v>259.03200000000004</v>
      </c>
    </row>
    <row r="555" spans="1:18" ht="10.5" customHeight="1" x14ac:dyDescent="0.3">
      <c r="A555" s="79" t="str">
        <f t="shared" si="78"/>
        <v>010553922</v>
      </c>
      <c r="B555" s="184">
        <v>3.9</v>
      </c>
      <c r="C555" s="185" t="s">
        <v>86</v>
      </c>
      <c r="D555" s="186">
        <v>22</v>
      </c>
      <c r="E555" s="170">
        <v>1000</v>
      </c>
      <c r="F555" s="26">
        <v>1.06</v>
      </c>
      <c r="G555" s="111">
        <f t="shared" si="79"/>
        <v>45.580000000000005</v>
      </c>
      <c r="H555" s="28">
        <f t="shared" si="80"/>
        <v>36.464000000000006</v>
      </c>
      <c r="I555" s="20"/>
      <c r="J555" s="79" t="str">
        <f t="shared" si="75"/>
        <v>010556319</v>
      </c>
      <c r="K555" s="184">
        <v>6.3</v>
      </c>
      <c r="L555" s="185" t="s">
        <v>86</v>
      </c>
      <c r="M555" s="186">
        <v>19</v>
      </c>
      <c r="N555" s="170">
        <v>250</v>
      </c>
      <c r="O555" s="170"/>
      <c r="P555" s="26">
        <v>3.44</v>
      </c>
      <c r="Q555" s="111">
        <f t="shared" si="76"/>
        <v>147.91999999999999</v>
      </c>
      <c r="R555" s="28">
        <f t="shared" si="77"/>
        <v>118.33599999999998</v>
      </c>
    </row>
    <row r="556" spans="1:18" ht="10.5" customHeight="1" x14ac:dyDescent="0.3">
      <c r="A556" s="79" t="str">
        <f t="shared" si="78"/>
        <v>010553925</v>
      </c>
      <c r="B556" s="184">
        <v>3.9</v>
      </c>
      <c r="C556" s="185" t="s">
        <v>86</v>
      </c>
      <c r="D556" s="186">
        <v>25</v>
      </c>
      <c r="E556" s="170">
        <v>1000</v>
      </c>
      <c r="F556" s="26">
        <v>1.28</v>
      </c>
      <c r="G556" s="111">
        <f t="shared" si="79"/>
        <v>55.04</v>
      </c>
      <c r="H556" s="28">
        <f t="shared" si="80"/>
        <v>44.031999999999996</v>
      </c>
      <c r="I556" s="20"/>
      <c r="J556" s="134" t="str">
        <f t="shared" si="75"/>
        <v>010556322</v>
      </c>
      <c r="K556" s="190">
        <v>6.3</v>
      </c>
      <c r="L556" s="191" t="s">
        <v>86</v>
      </c>
      <c r="M556" s="192">
        <v>22</v>
      </c>
      <c r="N556" s="193">
        <v>250</v>
      </c>
      <c r="O556" s="193"/>
      <c r="P556" s="36">
        <v>3.76</v>
      </c>
      <c r="Q556" s="111">
        <f t="shared" si="76"/>
        <v>161.67999999999998</v>
      </c>
      <c r="R556" s="28">
        <f t="shared" si="77"/>
        <v>129.34399999999999</v>
      </c>
    </row>
    <row r="557" spans="1:18" ht="10.5" customHeight="1" x14ac:dyDescent="0.3">
      <c r="A557" s="73" t="str">
        <f t="shared" si="78"/>
        <v>010553932</v>
      </c>
      <c r="B557" s="187">
        <v>3.9</v>
      </c>
      <c r="C557" s="188" t="s">
        <v>86</v>
      </c>
      <c r="D557" s="189">
        <v>32</v>
      </c>
      <c r="E557" s="169">
        <v>500</v>
      </c>
      <c r="F557" s="78">
        <v>1.6</v>
      </c>
      <c r="G557" s="111">
        <f t="shared" si="79"/>
        <v>68.8</v>
      </c>
      <c r="H557" s="28">
        <f t="shared" si="80"/>
        <v>55.04</v>
      </c>
      <c r="I557" s="20"/>
      <c r="J557" s="79" t="str">
        <f t="shared" si="75"/>
        <v>010556325</v>
      </c>
      <c r="K557" s="184">
        <v>6.3</v>
      </c>
      <c r="L557" s="185" t="s">
        <v>86</v>
      </c>
      <c r="M557" s="186">
        <v>25</v>
      </c>
      <c r="N557" s="170">
        <v>250</v>
      </c>
      <c r="O557" s="170"/>
      <c r="P557" s="26">
        <v>4.08</v>
      </c>
      <c r="Q557" s="111">
        <f t="shared" si="76"/>
        <v>175.44</v>
      </c>
      <c r="R557" s="28">
        <f t="shared" si="77"/>
        <v>140.352</v>
      </c>
    </row>
    <row r="558" spans="1:18" ht="10.5" customHeight="1" x14ac:dyDescent="0.3">
      <c r="A558" s="79" t="str">
        <f t="shared" si="78"/>
        <v>010553938</v>
      </c>
      <c r="B558" s="184">
        <v>3.9</v>
      </c>
      <c r="C558" s="185" t="s">
        <v>86</v>
      </c>
      <c r="D558" s="186">
        <v>38</v>
      </c>
      <c r="E558" s="170">
        <v>500</v>
      </c>
      <c r="F558" s="26">
        <v>1.86</v>
      </c>
      <c r="G558" s="111">
        <f t="shared" si="79"/>
        <v>79.98</v>
      </c>
      <c r="H558" s="28">
        <f t="shared" si="80"/>
        <v>63.984000000000002</v>
      </c>
      <c r="I558" s="20"/>
      <c r="J558" s="79" t="str">
        <f t="shared" si="75"/>
        <v>010556332</v>
      </c>
      <c r="K558" s="184">
        <v>6.3</v>
      </c>
      <c r="L558" s="185" t="s">
        <v>86</v>
      </c>
      <c r="M558" s="186">
        <v>32</v>
      </c>
      <c r="N558" s="170">
        <v>250</v>
      </c>
      <c r="O558" s="170"/>
      <c r="P558" s="26">
        <v>4.1100000000000003</v>
      </c>
      <c r="Q558" s="111">
        <f t="shared" si="76"/>
        <v>176.73000000000002</v>
      </c>
      <c r="R558" s="28">
        <f t="shared" si="77"/>
        <v>141.38400000000001</v>
      </c>
    </row>
    <row r="559" spans="1:18" ht="10.5" customHeight="1" x14ac:dyDescent="0.3">
      <c r="A559" s="79" t="str">
        <f t="shared" si="78"/>
        <v>010553945</v>
      </c>
      <c r="B559" s="184">
        <v>3.9</v>
      </c>
      <c r="C559" s="185" t="s">
        <v>86</v>
      </c>
      <c r="D559" s="186">
        <v>45</v>
      </c>
      <c r="E559" s="170">
        <v>500</v>
      </c>
      <c r="F559" s="26">
        <v>2.0699999999999998</v>
      </c>
      <c r="G559" s="111">
        <f t="shared" si="79"/>
        <v>89.009999999999991</v>
      </c>
      <c r="H559" s="28">
        <f t="shared" si="80"/>
        <v>71.207999999999998</v>
      </c>
      <c r="I559" s="20"/>
      <c r="J559" s="73" t="str">
        <f t="shared" si="75"/>
        <v>010556338</v>
      </c>
      <c r="K559" s="187">
        <v>6.3</v>
      </c>
      <c r="L559" s="188" t="s">
        <v>86</v>
      </c>
      <c r="M559" s="189">
        <v>38</v>
      </c>
      <c r="N559" s="169">
        <v>250</v>
      </c>
      <c r="O559" s="169"/>
      <c r="P559" s="78">
        <v>4.95</v>
      </c>
      <c r="Q559" s="111">
        <f t="shared" si="76"/>
        <v>212.85</v>
      </c>
      <c r="R559" s="28">
        <f t="shared" si="77"/>
        <v>170.28</v>
      </c>
    </row>
    <row r="560" spans="1:18" ht="10.5" customHeight="1" x14ac:dyDescent="0.3">
      <c r="A560" s="79" t="str">
        <f t="shared" si="78"/>
        <v>010553950</v>
      </c>
      <c r="B560" s="184">
        <v>3.9</v>
      </c>
      <c r="C560" s="185" t="s">
        <v>86</v>
      </c>
      <c r="D560" s="186">
        <v>50</v>
      </c>
      <c r="E560" s="170">
        <v>500</v>
      </c>
      <c r="F560" s="26">
        <v>2.3199999999999998</v>
      </c>
      <c r="G560" s="111">
        <f t="shared" si="79"/>
        <v>99.759999999999991</v>
      </c>
      <c r="H560" s="28">
        <f t="shared" si="80"/>
        <v>79.807999999999993</v>
      </c>
      <c r="I560" s="20"/>
      <c r="J560" s="79" t="str">
        <f t="shared" si="75"/>
        <v>010556345</v>
      </c>
      <c r="K560" s="184">
        <v>6.3</v>
      </c>
      <c r="L560" s="185" t="s">
        <v>86</v>
      </c>
      <c r="M560" s="186">
        <v>45</v>
      </c>
      <c r="N560" s="170">
        <v>100</v>
      </c>
      <c r="O560" s="170"/>
      <c r="P560" s="26">
        <v>5.37</v>
      </c>
      <c r="Q560" s="111">
        <f t="shared" si="76"/>
        <v>230.91</v>
      </c>
      <c r="R560" s="28">
        <f t="shared" si="77"/>
        <v>184.72800000000001</v>
      </c>
    </row>
    <row r="561" spans="1:18" ht="10.5" customHeight="1" x14ac:dyDescent="0.3">
      <c r="A561" s="79" t="str">
        <f t="shared" si="78"/>
        <v>010554213</v>
      </c>
      <c r="B561" s="184">
        <v>4.2</v>
      </c>
      <c r="C561" s="185" t="s">
        <v>86</v>
      </c>
      <c r="D561" s="186">
        <v>13</v>
      </c>
      <c r="E561" s="170">
        <v>1000</v>
      </c>
      <c r="F561" s="26">
        <v>1.01</v>
      </c>
      <c r="G561" s="111">
        <f t="shared" si="79"/>
        <v>43.43</v>
      </c>
      <c r="H561" s="28">
        <f t="shared" si="80"/>
        <v>34.744</v>
      </c>
      <c r="I561" s="20"/>
      <c r="J561" s="79" t="str">
        <f t="shared" si="75"/>
        <v>010556350</v>
      </c>
      <c r="K561" s="184">
        <v>6.3</v>
      </c>
      <c r="L561" s="185" t="s">
        <v>86</v>
      </c>
      <c r="M561" s="186">
        <v>50</v>
      </c>
      <c r="N561" s="170">
        <v>100</v>
      </c>
      <c r="O561" s="170"/>
      <c r="P561" s="26">
        <v>6.21</v>
      </c>
      <c r="Q561" s="111">
        <f t="shared" si="76"/>
        <v>267.02999999999997</v>
      </c>
      <c r="R561" s="28">
        <f t="shared" si="77"/>
        <v>213.62399999999997</v>
      </c>
    </row>
    <row r="562" spans="1:18" ht="10.5" customHeight="1" x14ac:dyDescent="0.3">
      <c r="A562" s="79" t="str">
        <f t="shared" si="78"/>
        <v>010554216</v>
      </c>
      <c r="B562" s="184">
        <v>4.2</v>
      </c>
      <c r="C562" s="185" t="s">
        <v>86</v>
      </c>
      <c r="D562" s="186">
        <v>16</v>
      </c>
      <c r="E562" s="170">
        <v>1000</v>
      </c>
      <c r="F562" s="26">
        <v>1.04</v>
      </c>
      <c r="G562" s="111">
        <f t="shared" si="79"/>
        <v>44.72</v>
      </c>
      <c r="H562" s="28">
        <f t="shared" si="80"/>
        <v>35.775999999999996</v>
      </c>
      <c r="I562" s="20"/>
      <c r="J562" s="79" t="str">
        <f t="shared" si="75"/>
        <v>010556375</v>
      </c>
      <c r="K562" s="184">
        <v>6.3</v>
      </c>
      <c r="L562" s="185" t="s">
        <v>86</v>
      </c>
      <c r="M562" s="186">
        <v>75</v>
      </c>
      <c r="N562" s="170">
        <v>100</v>
      </c>
      <c r="O562" s="170"/>
      <c r="P562" s="26">
        <v>8.2100000000000009</v>
      </c>
      <c r="Q562" s="111">
        <f t="shared" si="76"/>
        <v>353.03000000000003</v>
      </c>
      <c r="R562" s="28">
        <f t="shared" si="77"/>
        <v>282.42400000000004</v>
      </c>
    </row>
    <row r="563" spans="1:18" ht="10.5" customHeight="1" x14ac:dyDescent="0.3">
      <c r="A563" s="79" t="str">
        <f t="shared" si="78"/>
        <v>010554219</v>
      </c>
      <c r="B563" s="184">
        <v>4.2</v>
      </c>
      <c r="C563" s="185" t="s">
        <v>86</v>
      </c>
      <c r="D563" s="186">
        <v>19</v>
      </c>
      <c r="E563" s="170">
        <v>1000</v>
      </c>
      <c r="F563" s="26">
        <v>1.24</v>
      </c>
      <c r="G563" s="111">
        <f t="shared" si="79"/>
        <v>53.32</v>
      </c>
      <c r="H563" s="28">
        <f t="shared" si="80"/>
        <v>42.655999999999999</v>
      </c>
      <c r="I563" s="20"/>
      <c r="J563" s="79" t="str">
        <f t="shared" si="75"/>
        <v>010556390</v>
      </c>
      <c r="K563" s="184">
        <v>6.3</v>
      </c>
      <c r="L563" s="185" t="s">
        <v>86</v>
      </c>
      <c r="M563" s="186">
        <v>90</v>
      </c>
      <c r="N563" s="170">
        <v>100</v>
      </c>
      <c r="O563" s="170"/>
      <c r="P563" s="26">
        <v>11.05</v>
      </c>
      <c r="Q563" s="111">
        <f t="shared" si="76"/>
        <v>475.15000000000003</v>
      </c>
      <c r="R563" s="28">
        <f t="shared" si="77"/>
        <v>380.12</v>
      </c>
    </row>
    <row r="564" spans="1:18" ht="10.5" customHeight="1" x14ac:dyDescent="0.3">
      <c r="A564" s="79" t="str">
        <f t="shared" si="78"/>
        <v>010554222</v>
      </c>
      <c r="B564" s="184">
        <v>4.2</v>
      </c>
      <c r="C564" s="185" t="s">
        <v>86</v>
      </c>
      <c r="D564" s="186">
        <v>22</v>
      </c>
      <c r="E564" s="170">
        <v>1000</v>
      </c>
      <c r="F564" s="26">
        <v>1.37</v>
      </c>
      <c r="G564" s="111">
        <f t="shared" si="79"/>
        <v>58.910000000000004</v>
      </c>
      <c r="H564" s="28">
        <f t="shared" si="80"/>
        <v>47.128</v>
      </c>
      <c r="I564" s="176"/>
      <c r="J564" s="79" t="str">
        <f t="shared" si="75"/>
        <v>0105563100</v>
      </c>
      <c r="K564" s="184">
        <v>6.3</v>
      </c>
      <c r="L564" s="185" t="s">
        <v>86</v>
      </c>
      <c r="M564" s="186">
        <v>100</v>
      </c>
      <c r="N564" s="170">
        <v>100</v>
      </c>
      <c r="O564" s="170"/>
      <c r="P564" s="26">
        <v>14.11</v>
      </c>
      <c r="Q564" s="111">
        <f t="shared" si="76"/>
        <v>606.73</v>
      </c>
      <c r="R564" s="28">
        <f t="shared" si="77"/>
        <v>485.38400000000001</v>
      </c>
    </row>
    <row r="565" spans="1:18" ht="10.5" customHeight="1" x14ac:dyDescent="0.3">
      <c r="A565" s="79" t="str">
        <f t="shared" si="78"/>
        <v>010554225</v>
      </c>
      <c r="B565" s="184">
        <v>4.2</v>
      </c>
      <c r="C565" s="185" t="s">
        <v>86</v>
      </c>
      <c r="D565" s="186">
        <v>25</v>
      </c>
      <c r="E565" s="170">
        <v>1000</v>
      </c>
      <c r="F565" s="26">
        <v>1.47</v>
      </c>
      <c r="G565" s="111">
        <f t="shared" si="79"/>
        <v>63.21</v>
      </c>
      <c r="H565" s="28">
        <f t="shared" si="80"/>
        <v>50.567999999999998</v>
      </c>
      <c r="I565" s="20"/>
      <c r="J565" s="79" t="str">
        <f t="shared" si="75"/>
        <v>0105563110</v>
      </c>
      <c r="K565" s="184">
        <v>6.3</v>
      </c>
      <c r="L565" s="185" t="s">
        <v>86</v>
      </c>
      <c r="M565" s="186">
        <v>110</v>
      </c>
      <c r="N565" s="170">
        <v>100</v>
      </c>
      <c r="O565" s="170"/>
      <c r="P565" s="26">
        <v>15.94</v>
      </c>
      <c r="Q565" s="111">
        <f t="shared" si="76"/>
        <v>685.42</v>
      </c>
      <c r="R565" s="28">
        <f t="shared" si="77"/>
        <v>548.33600000000001</v>
      </c>
    </row>
    <row r="566" spans="1:18" ht="10.5" customHeight="1" x14ac:dyDescent="0.3">
      <c r="A566" s="79" t="str">
        <f t="shared" si="78"/>
        <v>010554232</v>
      </c>
      <c r="B566" s="184">
        <v>4.2</v>
      </c>
      <c r="C566" s="185" t="s">
        <v>86</v>
      </c>
      <c r="D566" s="186">
        <v>32</v>
      </c>
      <c r="E566" s="170">
        <v>500</v>
      </c>
      <c r="F566" s="26">
        <v>1.79</v>
      </c>
      <c r="G566" s="111">
        <f t="shared" si="79"/>
        <v>76.97</v>
      </c>
      <c r="H566" s="28">
        <f t="shared" si="80"/>
        <v>61.576000000000001</v>
      </c>
      <c r="I566" s="20"/>
      <c r="J566" s="79" t="str">
        <f t="shared" si="75"/>
        <v>0105563120</v>
      </c>
      <c r="K566" s="184">
        <v>6.3</v>
      </c>
      <c r="L566" s="185" t="s">
        <v>86</v>
      </c>
      <c r="M566" s="186">
        <v>120</v>
      </c>
      <c r="N566" s="170">
        <v>100</v>
      </c>
      <c r="O566" s="170"/>
      <c r="P566" s="26">
        <v>17.760000000000002</v>
      </c>
      <c r="Q566" s="111">
        <f t="shared" si="76"/>
        <v>763.68000000000006</v>
      </c>
      <c r="R566" s="28">
        <f t="shared" si="77"/>
        <v>610.94400000000007</v>
      </c>
    </row>
    <row r="567" spans="1:18" ht="10.5" customHeight="1" x14ac:dyDescent="0.3">
      <c r="A567" s="79" t="str">
        <f t="shared" si="78"/>
        <v>010554238</v>
      </c>
      <c r="B567" s="184">
        <v>4.2</v>
      </c>
      <c r="C567" s="185" t="s">
        <v>86</v>
      </c>
      <c r="D567" s="186">
        <v>38</v>
      </c>
      <c r="E567" s="170">
        <v>500</v>
      </c>
      <c r="F567" s="26">
        <v>2</v>
      </c>
      <c r="G567" s="111">
        <f t="shared" si="79"/>
        <v>86</v>
      </c>
      <c r="H567" s="28">
        <f t="shared" si="80"/>
        <v>68.8</v>
      </c>
      <c r="I567" s="18"/>
      <c r="J567" s="194"/>
      <c r="K567" s="90"/>
      <c r="L567" s="33"/>
      <c r="M567" s="147"/>
      <c r="N567" s="195"/>
      <c r="O567" s="195"/>
      <c r="P567" s="149"/>
      <c r="Q567" s="140"/>
      <c r="R567" s="140"/>
    </row>
    <row r="568" spans="1:18" ht="10.5" customHeight="1" x14ac:dyDescent="0.3">
      <c r="A568" s="39"/>
      <c r="B568" s="196"/>
      <c r="C568" s="197"/>
      <c r="D568" s="198"/>
      <c r="E568" s="199"/>
      <c r="F568" s="44"/>
      <c r="G568" s="46"/>
      <c r="H568" s="46"/>
      <c r="I568" s="20"/>
      <c r="J568" s="39"/>
      <c r="K568" s="40"/>
      <c r="L568" s="41"/>
      <c r="M568" s="42"/>
      <c r="N568" s="199"/>
      <c r="O568" s="199"/>
      <c r="P568" s="44"/>
      <c r="Q568" s="46"/>
      <c r="R568" s="46"/>
    </row>
    <row r="569" spans="1:18" ht="10.5" customHeight="1" x14ac:dyDescent="0.3">
      <c r="A569" s="39"/>
      <c r="B569" s="196"/>
      <c r="C569" s="197"/>
      <c r="D569" s="198"/>
      <c r="E569" s="199"/>
      <c r="F569" s="44"/>
      <c r="G569" s="46"/>
      <c r="H569" s="46"/>
      <c r="I569" s="20"/>
      <c r="J569" s="39"/>
      <c r="K569" s="40"/>
      <c r="L569" s="41"/>
      <c r="M569" s="42"/>
      <c r="N569" s="199"/>
      <c r="O569" s="199"/>
      <c r="P569" s="44"/>
      <c r="Q569" s="46"/>
      <c r="R569" s="46"/>
    </row>
    <row r="570" spans="1:18" ht="10.5" customHeight="1" x14ac:dyDescent="0.3">
      <c r="A570" s="39"/>
      <c r="B570" s="196"/>
      <c r="C570" s="197"/>
      <c r="D570" s="198"/>
      <c r="E570" s="199"/>
      <c r="F570" s="44"/>
      <c r="G570" s="46"/>
      <c r="H570" s="46"/>
      <c r="I570" s="20"/>
      <c r="J570" s="39"/>
      <c r="K570" s="40"/>
      <c r="L570" s="41"/>
      <c r="M570" s="42"/>
      <c r="N570" s="199"/>
      <c r="O570" s="199"/>
      <c r="P570" s="44"/>
      <c r="Q570" s="46"/>
      <c r="R570" s="46"/>
    </row>
    <row r="571" spans="1:18" ht="10.5" customHeight="1" x14ac:dyDescent="0.3">
      <c r="A571" s="39"/>
      <c r="B571" s="196"/>
      <c r="C571" s="197"/>
      <c r="D571" s="198"/>
      <c r="E571" s="199"/>
      <c r="F571" s="44"/>
      <c r="G571" s="46"/>
      <c r="H571" s="46"/>
      <c r="I571" s="20"/>
      <c r="J571" s="39"/>
      <c r="K571" s="40"/>
      <c r="L571" s="41"/>
      <c r="M571" s="42"/>
      <c r="N571" s="199"/>
      <c r="O571" s="199"/>
      <c r="P571" s="44"/>
      <c r="Q571" s="46"/>
      <c r="R571" s="46"/>
    </row>
    <row r="572" spans="1:18" ht="10.5" customHeight="1" x14ac:dyDescent="0.3">
      <c r="A572" s="39"/>
      <c r="B572" s="196"/>
      <c r="C572" s="197"/>
      <c r="D572" s="198"/>
      <c r="E572" s="199"/>
      <c r="F572" s="44"/>
      <c r="G572" s="46"/>
      <c r="H572" s="46"/>
      <c r="I572" s="20"/>
      <c r="J572" s="39"/>
      <c r="K572" s="40"/>
      <c r="L572" s="41"/>
      <c r="M572" s="42"/>
      <c r="N572" s="199"/>
      <c r="O572" s="199"/>
      <c r="P572" s="44"/>
      <c r="Q572" s="46"/>
      <c r="R572" s="46"/>
    </row>
    <row r="573" spans="1:18" ht="10.5" customHeight="1" x14ac:dyDescent="0.3">
      <c r="A573" s="39"/>
      <c r="B573" s="196"/>
      <c r="C573" s="197"/>
      <c r="D573" s="198"/>
      <c r="E573" s="199"/>
      <c r="F573" s="44"/>
      <c r="G573" s="46"/>
      <c r="H573" s="46"/>
      <c r="I573" s="20"/>
      <c r="J573" s="39"/>
      <c r="K573" s="40"/>
      <c r="L573" s="41"/>
      <c r="M573" s="42"/>
      <c r="N573" s="199"/>
      <c r="O573" s="199"/>
      <c r="P573" s="44"/>
      <c r="Q573" s="46"/>
      <c r="R573" s="46"/>
    </row>
    <row r="574" spans="1:18" ht="10.5" customHeight="1" x14ac:dyDescent="0.3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</row>
    <row r="575" spans="1:18" ht="10.5" customHeight="1" x14ac:dyDescent="0.3">
      <c r="A575" s="47" t="s">
        <v>733</v>
      </c>
      <c r="B575" s="200" t="s">
        <v>734</v>
      </c>
      <c r="C575" s="49"/>
      <c r="D575" s="49"/>
      <c r="E575" s="49"/>
      <c r="F575" s="49"/>
      <c r="G575" s="49"/>
      <c r="H575" s="49"/>
      <c r="I575" s="49"/>
      <c r="J575" s="446" t="s">
        <v>78</v>
      </c>
      <c r="K575" s="446" t="s">
        <v>79</v>
      </c>
      <c r="L575" s="446"/>
      <c r="M575" s="446"/>
      <c r="N575" s="447" t="s">
        <v>80</v>
      </c>
      <c r="O575" s="434"/>
      <c r="P575" s="61"/>
      <c r="Q575" s="16" t="s">
        <v>81</v>
      </c>
      <c r="R575" s="17" t="s">
        <v>82</v>
      </c>
    </row>
    <row r="576" spans="1:18" ht="10.5" customHeight="1" thickTop="1" x14ac:dyDescent="0.3">
      <c r="A576" s="18"/>
      <c r="B576" s="20"/>
      <c r="C576" s="20"/>
      <c r="D576" s="20"/>
      <c r="E576" s="20"/>
      <c r="F576" s="20"/>
      <c r="G576" s="20"/>
      <c r="H576" s="20"/>
      <c r="I576" s="20"/>
      <c r="J576" s="446"/>
      <c r="K576" s="446"/>
      <c r="L576" s="446"/>
      <c r="M576" s="446"/>
      <c r="N576" s="447"/>
      <c r="O576" s="369"/>
      <c r="P576" s="68" t="s">
        <v>83</v>
      </c>
      <c r="Q576" s="15" t="s">
        <v>735</v>
      </c>
      <c r="R576" s="15" t="s">
        <v>375</v>
      </c>
    </row>
    <row r="577" spans="1:18" ht="10.5" customHeight="1" x14ac:dyDescent="0.3">
      <c r="A577" s="18"/>
      <c r="B577" s="20"/>
      <c r="C577" s="20"/>
      <c r="D577" s="20"/>
      <c r="E577" s="20"/>
      <c r="F577" s="20"/>
      <c r="G577" s="20"/>
      <c r="H577" s="20"/>
      <c r="I577" s="20"/>
      <c r="J577" s="79" t="str">
        <f>0&amp;10600004</f>
        <v>010600004</v>
      </c>
      <c r="K577" s="22">
        <v>10</v>
      </c>
      <c r="L577" s="23" t="s">
        <v>86</v>
      </c>
      <c r="M577" s="24">
        <v>80</v>
      </c>
      <c r="N577" s="25">
        <v>1</v>
      </c>
      <c r="O577" s="25"/>
      <c r="P577" s="26">
        <v>1.0511341463414634</v>
      </c>
      <c r="Q577" s="111">
        <f t="shared" ref="Q577:Q584" si="81">P577*$F$10</f>
        <v>45.198768292682928</v>
      </c>
      <c r="R577" s="28">
        <f t="shared" ref="R577:R584" si="82">Q577-Q577*0.2</f>
        <v>36.159014634146345</v>
      </c>
    </row>
    <row r="578" spans="1:18" ht="10.5" customHeight="1" x14ac:dyDescent="0.3">
      <c r="A578" s="18"/>
      <c r="B578" s="20"/>
      <c r="C578" s="20"/>
      <c r="D578" s="20"/>
      <c r="E578" s="20"/>
      <c r="F578" s="20"/>
      <c r="G578" s="20"/>
      <c r="H578" s="20"/>
      <c r="I578" s="20"/>
      <c r="J578" s="79" t="str">
        <f>0&amp;10600005</f>
        <v>010600005</v>
      </c>
      <c r="K578" s="22">
        <v>10</v>
      </c>
      <c r="L578" s="23" t="s">
        <v>86</v>
      </c>
      <c r="M578" s="24">
        <v>100</v>
      </c>
      <c r="N578" s="25">
        <v>1</v>
      </c>
      <c r="O578" s="25"/>
      <c r="P578" s="26">
        <v>1.1977951219512195</v>
      </c>
      <c r="Q578" s="111">
        <f t="shared" si="81"/>
        <v>51.50519024390244</v>
      </c>
      <c r="R578" s="28">
        <f t="shared" si="82"/>
        <v>41.204152195121949</v>
      </c>
    </row>
    <row r="579" spans="1:18" ht="10.5" customHeight="1" x14ac:dyDescent="0.3">
      <c r="A579" s="18"/>
      <c r="B579" s="20"/>
      <c r="C579" s="20"/>
      <c r="D579" s="20"/>
      <c r="E579" s="20"/>
      <c r="F579" s="20"/>
      <c r="G579" s="20"/>
      <c r="H579" s="20"/>
      <c r="I579" s="20"/>
      <c r="J579" s="79" t="str">
        <f>0&amp;10600006</f>
        <v>010600006</v>
      </c>
      <c r="K579" s="22">
        <v>10</v>
      </c>
      <c r="L579" s="23" t="s">
        <v>86</v>
      </c>
      <c r="M579" s="24">
        <v>120</v>
      </c>
      <c r="N579" s="25">
        <v>1</v>
      </c>
      <c r="O579" s="25"/>
      <c r="P579" s="26">
        <v>1.4451658536585363</v>
      </c>
      <c r="Q579" s="111">
        <f t="shared" si="81"/>
        <v>62.142131707317063</v>
      </c>
      <c r="R579" s="28">
        <f t="shared" si="82"/>
        <v>49.713705365853649</v>
      </c>
    </row>
    <row r="580" spans="1:18" ht="10.5" customHeight="1" x14ac:dyDescent="0.3">
      <c r="A580" s="179" t="s">
        <v>736</v>
      </c>
      <c r="B580" s="20"/>
      <c r="C580" s="20"/>
      <c r="D580" s="20"/>
      <c r="E580" s="20"/>
      <c r="F580" s="20"/>
      <c r="G580" s="20"/>
      <c r="H580" s="20"/>
      <c r="I580" s="20"/>
      <c r="J580" s="79" t="str">
        <f>0&amp;10600007</f>
        <v>010600007</v>
      </c>
      <c r="K580" s="22">
        <v>10</v>
      </c>
      <c r="L580" s="23" t="s">
        <v>86</v>
      </c>
      <c r="M580" s="24">
        <v>140</v>
      </c>
      <c r="N580" s="25">
        <v>1</v>
      </c>
      <c r="O580" s="25"/>
      <c r="P580" s="26">
        <v>1.3099999999999998</v>
      </c>
      <c r="Q580" s="111">
        <f t="shared" si="81"/>
        <v>56.329999999999991</v>
      </c>
      <c r="R580" s="28">
        <f t="shared" si="82"/>
        <v>45.063999999999993</v>
      </c>
    </row>
    <row r="581" spans="1:18" ht="10.5" customHeight="1" thickBot="1" x14ac:dyDescent="0.35">
      <c r="A581" s="446" t="s">
        <v>78</v>
      </c>
      <c r="B581" s="446" t="s">
        <v>79</v>
      </c>
      <c r="C581" s="446"/>
      <c r="D581" s="446"/>
      <c r="E581" s="447" t="s">
        <v>80</v>
      </c>
      <c r="F581" s="61"/>
      <c r="G581" s="16" t="s">
        <v>81</v>
      </c>
      <c r="H581" s="17" t="s">
        <v>82</v>
      </c>
      <c r="I581" s="20"/>
      <c r="J581" s="21" t="str">
        <f>0&amp;10600008</f>
        <v>010600008</v>
      </c>
      <c r="K581" s="22">
        <v>12</v>
      </c>
      <c r="L581" s="23" t="s">
        <v>86</v>
      </c>
      <c r="M581" s="24">
        <v>90</v>
      </c>
      <c r="N581" s="25">
        <v>1</v>
      </c>
      <c r="O581" s="25"/>
      <c r="P581" s="26">
        <v>1.6906219512195122</v>
      </c>
      <c r="Q581" s="111">
        <f t="shared" si="81"/>
        <v>72.696743902439025</v>
      </c>
      <c r="R581" s="28">
        <f t="shared" si="82"/>
        <v>58.157395121951218</v>
      </c>
    </row>
    <row r="582" spans="1:18" ht="10.5" customHeight="1" thickTop="1" x14ac:dyDescent="0.3">
      <c r="A582" s="446"/>
      <c r="B582" s="446"/>
      <c r="C582" s="446"/>
      <c r="D582" s="446"/>
      <c r="E582" s="447"/>
      <c r="F582" s="68" t="s">
        <v>83</v>
      </c>
      <c r="G582" s="15" t="s">
        <v>735</v>
      </c>
      <c r="H582" s="15" t="s">
        <v>375</v>
      </c>
      <c r="I582" s="20"/>
      <c r="J582" s="73" t="str">
        <f>0&amp;10600009</f>
        <v>010600009</v>
      </c>
      <c r="K582" s="22">
        <v>12</v>
      </c>
      <c r="L582" s="23" t="s">
        <v>86</v>
      </c>
      <c r="M582" s="24">
        <v>110</v>
      </c>
      <c r="N582" s="25">
        <v>1</v>
      </c>
      <c r="O582" s="25"/>
      <c r="P582" s="26">
        <v>2.0118975609756098</v>
      </c>
      <c r="Q582" s="111">
        <f t="shared" si="81"/>
        <v>86.511595121951217</v>
      </c>
      <c r="R582" s="28">
        <f t="shared" si="82"/>
        <v>69.209276097560974</v>
      </c>
    </row>
    <row r="583" spans="1:18" ht="10.5" customHeight="1" x14ac:dyDescent="0.3">
      <c r="A583" s="79" t="str">
        <f>0&amp;10600001</f>
        <v>010600001</v>
      </c>
      <c r="B583" s="22">
        <v>8</v>
      </c>
      <c r="C583" s="23" t="s">
        <v>86</v>
      </c>
      <c r="D583" s="24">
        <v>80</v>
      </c>
      <c r="E583" s="25">
        <v>1</v>
      </c>
      <c r="F583" s="26">
        <v>0.45841693732799993</v>
      </c>
      <c r="G583" s="111">
        <f>F583*$F$10</f>
        <v>19.711928305103996</v>
      </c>
      <c r="H583" s="28">
        <f>G583-G583*0.2</f>
        <v>15.769542644083197</v>
      </c>
      <c r="I583" s="20"/>
      <c r="J583" s="79" t="str">
        <f>0&amp;10600010</f>
        <v>010600010</v>
      </c>
      <c r="K583" s="22">
        <v>12</v>
      </c>
      <c r="L583" s="23" t="s">
        <v>86</v>
      </c>
      <c r="M583" s="24">
        <v>130</v>
      </c>
      <c r="N583" s="25">
        <v>1</v>
      </c>
      <c r="O583" s="25"/>
      <c r="P583" s="26">
        <v>2.3232170731707313</v>
      </c>
      <c r="Q583" s="111">
        <f t="shared" si="81"/>
        <v>99.898334146341455</v>
      </c>
      <c r="R583" s="28">
        <f t="shared" si="82"/>
        <v>79.918667317073158</v>
      </c>
    </row>
    <row r="584" spans="1:18" ht="10.5" customHeight="1" x14ac:dyDescent="0.3">
      <c r="A584" s="79" t="str">
        <f>0&amp;10600002</f>
        <v>010600002</v>
      </c>
      <c r="B584" s="22">
        <v>8</v>
      </c>
      <c r="C584" s="23" t="s">
        <v>86</v>
      </c>
      <c r="D584" s="24">
        <v>100</v>
      </c>
      <c r="E584" s="25">
        <v>1</v>
      </c>
      <c r="F584" s="26">
        <v>0.55161679708799993</v>
      </c>
      <c r="G584" s="111">
        <f>F584*$F$10</f>
        <v>23.719522274783998</v>
      </c>
      <c r="H584" s="28">
        <f>G584-G584*0.2</f>
        <v>18.9756178198272</v>
      </c>
      <c r="I584" s="20"/>
      <c r="J584" s="79" t="str">
        <f>0&amp;10600011</f>
        <v>010600011</v>
      </c>
      <c r="K584" s="22">
        <v>16</v>
      </c>
      <c r="L584" s="23" t="s">
        <v>86</v>
      </c>
      <c r="M584" s="24">
        <v>90</v>
      </c>
      <c r="N584" s="25">
        <v>1</v>
      </c>
      <c r="O584" s="25"/>
      <c r="P584" s="26">
        <v>2.7811470015839994</v>
      </c>
      <c r="Q584" s="111">
        <f t="shared" si="81"/>
        <v>119.58932106811197</v>
      </c>
      <c r="R584" s="28">
        <f t="shared" si="82"/>
        <v>95.671456854489577</v>
      </c>
    </row>
    <row r="585" spans="1:18" ht="10.5" customHeight="1" x14ac:dyDescent="0.3">
      <c r="A585" s="79" t="str">
        <f>0&amp;10600003</f>
        <v>010600003</v>
      </c>
      <c r="B585" s="22">
        <v>8</v>
      </c>
      <c r="C585" s="23" t="s">
        <v>86</v>
      </c>
      <c r="D585" s="24">
        <v>120</v>
      </c>
      <c r="E585" s="25">
        <v>1</v>
      </c>
      <c r="F585" s="26">
        <v>0.68588778148799989</v>
      </c>
      <c r="G585" s="111">
        <f>F585*$F$10</f>
        <v>29.493174603983995</v>
      </c>
      <c r="H585" s="28">
        <f>G585-G585*0.2</f>
        <v>23.594539683187197</v>
      </c>
      <c r="I585" s="83"/>
      <c r="J585" s="83"/>
      <c r="K585" s="83"/>
      <c r="L585" s="83"/>
      <c r="M585" s="83"/>
      <c r="N585" s="83"/>
      <c r="O585" s="83"/>
      <c r="P585" s="83"/>
      <c r="Q585" s="83"/>
      <c r="R585" s="116"/>
    </row>
    <row r="586" spans="1:18" ht="15" customHeight="1" x14ac:dyDescent="0.3">
      <c r="A586" s="448" t="s">
        <v>737</v>
      </c>
      <c r="B586" s="448"/>
      <c r="C586" s="448"/>
      <c r="D586" s="448"/>
      <c r="E586" s="448"/>
      <c r="F586" s="448"/>
      <c r="G586" s="448"/>
      <c r="H586" s="448"/>
      <c r="I586" s="448"/>
      <c r="J586" s="448"/>
      <c r="K586" s="448"/>
      <c r="L586" s="448"/>
      <c r="M586" s="448"/>
      <c r="N586" s="448"/>
      <c r="O586" s="448"/>
      <c r="P586" s="448"/>
      <c r="Q586" s="448"/>
      <c r="R586" s="448"/>
    </row>
    <row r="587" spans="1:18" ht="10.5" customHeight="1" x14ac:dyDescent="0.3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</row>
    <row r="588" spans="1:18" ht="10.5" customHeight="1" x14ac:dyDescent="0.3">
      <c r="A588" s="47" t="s">
        <v>738</v>
      </c>
      <c r="B588" s="200" t="s">
        <v>739</v>
      </c>
      <c r="C588" s="49"/>
      <c r="D588" s="49"/>
      <c r="E588" s="49"/>
      <c r="F588" s="49"/>
      <c r="G588" s="49"/>
      <c r="H588" s="50"/>
      <c r="I588" s="49"/>
      <c r="J588" s="47" t="s">
        <v>740</v>
      </c>
      <c r="K588" s="49"/>
      <c r="L588" s="49"/>
      <c r="M588" s="49"/>
      <c r="N588" s="49"/>
      <c r="O588" s="49"/>
      <c r="P588" s="49"/>
      <c r="Q588" s="49"/>
      <c r="R588" s="50"/>
    </row>
    <row r="589" spans="1:18" ht="10.5" customHeight="1" x14ac:dyDescent="0.3">
      <c r="A589" s="18"/>
      <c r="B589" s="20"/>
      <c r="C589" s="20"/>
      <c r="D589" s="20"/>
      <c r="E589" s="20"/>
      <c r="F589" s="20"/>
      <c r="G589" s="20"/>
      <c r="H589" s="101"/>
      <c r="I589" s="20"/>
      <c r="J589" s="201"/>
      <c r="K589" s="20"/>
      <c r="L589" s="20"/>
      <c r="M589" s="20"/>
      <c r="N589" s="20"/>
      <c r="O589" s="20"/>
      <c r="P589" s="20"/>
      <c r="Q589" s="20"/>
      <c r="R589" s="101"/>
    </row>
    <row r="590" spans="1:18" ht="10.5" customHeight="1" x14ac:dyDescent="0.3">
      <c r="A590" s="99"/>
      <c r="B590" s="20"/>
      <c r="C590" s="20"/>
      <c r="D590" s="20"/>
      <c r="E590" s="20"/>
      <c r="F590" s="20"/>
      <c r="G590" s="20"/>
      <c r="H590" s="101"/>
      <c r="I590" s="20"/>
      <c r="J590" s="201"/>
      <c r="K590" s="20"/>
      <c r="L590" s="20"/>
      <c r="M590" s="20"/>
      <c r="N590" s="20"/>
      <c r="O590" s="20"/>
      <c r="P590" s="20"/>
      <c r="Q590" s="20"/>
      <c r="R590" s="101"/>
    </row>
    <row r="591" spans="1:18" ht="10.5" customHeight="1" x14ac:dyDescent="0.3">
      <c r="A591" s="18"/>
      <c r="B591" s="20"/>
      <c r="C591" s="20"/>
      <c r="D591" s="20"/>
      <c r="E591" s="20"/>
      <c r="F591" s="20"/>
      <c r="G591" s="20"/>
      <c r="H591" s="101"/>
      <c r="I591" s="20"/>
      <c r="J591" s="18"/>
      <c r="K591" s="20"/>
      <c r="L591" s="20"/>
      <c r="M591" s="20"/>
      <c r="N591" s="20"/>
      <c r="O591" s="20"/>
      <c r="P591" s="20"/>
      <c r="Q591" s="20"/>
      <c r="R591" s="101"/>
    </row>
    <row r="592" spans="1:18" ht="10.5" customHeight="1" x14ac:dyDescent="0.3">
      <c r="A592" s="18"/>
      <c r="B592" s="20"/>
      <c r="C592" s="20"/>
      <c r="D592" s="20"/>
      <c r="E592" s="20"/>
      <c r="F592" s="20"/>
      <c r="G592" s="20"/>
      <c r="H592" s="101"/>
      <c r="I592" s="20"/>
      <c r="J592" s="18"/>
      <c r="K592" s="20"/>
      <c r="L592" s="20"/>
      <c r="M592" s="20"/>
      <c r="N592" s="20"/>
      <c r="O592" s="20"/>
      <c r="P592" s="20"/>
      <c r="Q592" s="20"/>
      <c r="R592" s="101"/>
    </row>
    <row r="593" spans="1:18" ht="10.5" customHeight="1" x14ac:dyDescent="0.3">
      <c r="A593" s="139" t="s">
        <v>741</v>
      </c>
      <c r="B593" s="83"/>
      <c r="C593" s="20"/>
      <c r="D593" s="20"/>
      <c r="E593" s="20"/>
      <c r="F593" s="20"/>
      <c r="G593" s="20"/>
      <c r="H593" s="101"/>
      <c r="I593" s="20"/>
      <c r="J593" s="118" t="s">
        <v>741</v>
      </c>
      <c r="K593" s="20"/>
      <c r="L593" s="20"/>
      <c r="M593" s="20"/>
      <c r="N593" s="20"/>
      <c r="O593" s="20"/>
      <c r="P593" s="20"/>
      <c r="Q593" s="20"/>
      <c r="R593" s="101"/>
    </row>
    <row r="594" spans="1:18" ht="10.5" customHeight="1" x14ac:dyDescent="0.3">
      <c r="A594" s="446" t="s">
        <v>78</v>
      </c>
      <c r="B594" s="446" t="s">
        <v>79</v>
      </c>
      <c r="C594" s="446"/>
      <c r="D594" s="446"/>
      <c r="E594" s="447" t="s">
        <v>80</v>
      </c>
      <c r="F594" s="61"/>
      <c r="G594" s="16" t="s">
        <v>81</v>
      </c>
      <c r="H594" s="17" t="s">
        <v>82</v>
      </c>
      <c r="I594" s="20"/>
      <c r="J594" s="446" t="s">
        <v>78</v>
      </c>
      <c r="K594" s="446" t="s">
        <v>79</v>
      </c>
      <c r="L594" s="446"/>
      <c r="M594" s="446"/>
      <c r="N594" s="447" t="s">
        <v>80</v>
      </c>
      <c r="O594" s="434"/>
      <c r="P594" s="61"/>
      <c r="Q594" s="16" t="s">
        <v>81</v>
      </c>
      <c r="R594" s="17" t="s">
        <v>82</v>
      </c>
    </row>
    <row r="595" spans="1:18" ht="10.5" customHeight="1" x14ac:dyDescent="0.3">
      <c r="A595" s="446"/>
      <c r="B595" s="446"/>
      <c r="C595" s="446"/>
      <c r="D595" s="446"/>
      <c r="E595" s="447"/>
      <c r="F595" s="68" t="s">
        <v>83</v>
      </c>
      <c r="G595" s="15" t="s">
        <v>742</v>
      </c>
      <c r="H595" s="15" t="s">
        <v>84</v>
      </c>
      <c r="I595" s="20"/>
      <c r="J595" s="446"/>
      <c r="K595" s="446"/>
      <c r="L595" s="446"/>
      <c r="M595" s="446"/>
      <c r="N595" s="447"/>
      <c r="O595" s="369"/>
      <c r="P595" s="68" t="s">
        <v>83</v>
      </c>
      <c r="Q595" s="15" t="s">
        <v>742</v>
      </c>
      <c r="R595" s="15" t="s">
        <v>84</v>
      </c>
    </row>
    <row r="596" spans="1:18" ht="10.5" customHeight="1" x14ac:dyDescent="0.3">
      <c r="A596" s="21" t="s">
        <v>743</v>
      </c>
      <c r="B596" s="22">
        <v>6</v>
      </c>
      <c r="C596" s="23" t="s">
        <v>86</v>
      </c>
      <c r="D596" s="24">
        <v>30</v>
      </c>
      <c r="E596" s="170">
        <v>1000</v>
      </c>
      <c r="F596" s="26">
        <v>0.31624285714285705</v>
      </c>
      <c r="G596" s="111">
        <f t="shared" ref="G596:G604" si="83">F596*$F$10</f>
        <v>13.598442857142853</v>
      </c>
      <c r="H596" s="28">
        <f t="shared" ref="H596:H604" si="84">G596-G596*0.2</f>
        <v>10.878754285714283</v>
      </c>
      <c r="I596" s="20"/>
      <c r="J596" s="30" t="s">
        <v>744</v>
      </c>
      <c r="K596" s="74">
        <v>5</v>
      </c>
      <c r="L596" s="75" t="s">
        <v>86</v>
      </c>
      <c r="M596" s="76">
        <v>25</v>
      </c>
      <c r="N596" s="87" t="s">
        <v>126</v>
      </c>
      <c r="O596" s="87"/>
      <c r="P596" s="78">
        <v>0.62014999999999998</v>
      </c>
      <c r="Q596" s="202">
        <f t="shared" ref="Q596:Q603" si="85">P596*$F$10</f>
        <v>26.666449999999998</v>
      </c>
      <c r="R596" s="72">
        <f t="shared" ref="R596:R603" si="86">Q596-Q596*0.2</f>
        <v>21.333159999999999</v>
      </c>
    </row>
    <row r="597" spans="1:18" ht="10.5" customHeight="1" x14ac:dyDescent="0.3">
      <c r="A597" s="21" t="s">
        <v>745</v>
      </c>
      <c r="B597" s="22">
        <v>8</v>
      </c>
      <c r="C597" s="23" t="s">
        <v>86</v>
      </c>
      <c r="D597" s="24">
        <v>40</v>
      </c>
      <c r="E597" s="170">
        <v>500</v>
      </c>
      <c r="F597" s="26">
        <v>0.59884285714285712</v>
      </c>
      <c r="G597" s="111">
        <f t="shared" si="83"/>
        <v>25.750242857142855</v>
      </c>
      <c r="H597" s="28">
        <f t="shared" si="84"/>
        <v>20.600194285714284</v>
      </c>
      <c r="I597" s="20"/>
      <c r="J597" s="21" t="s">
        <v>746</v>
      </c>
      <c r="K597" s="22">
        <v>6</v>
      </c>
      <c r="L597" s="23" t="s">
        <v>86</v>
      </c>
      <c r="M597" s="24">
        <v>30</v>
      </c>
      <c r="N597" s="94" t="s">
        <v>170</v>
      </c>
      <c r="O597" s="94"/>
      <c r="P597" s="26">
        <v>0.62171999999999994</v>
      </c>
      <c r="Q597" s="111">
        <f t="shared" si="85"/>
        <v>26.733959999999996</v>
      </c>
      <c r="R597" s="28">
        <f t="shared" si="86"/>
        <v>21.387167999999996</v>
      </c>
    </row>
    <row r="598" spans="1:18" ht="10.5" customHeight="1" x14ac:dyDescent="0.3">
      <c r="A598" s="21" t="s">
        <v>747</v>
      </c>
      <c r="B598" s="22">
        <v>8</v>
      </c>
      <c r="C598" s="23" t="s">
        <v>86</v>
      </c>
      <c r="D598" s="24">
        <v>50</v>
      </c>
      <c r="E598" s="170">
        <v>400</v>
      </c>
      <c r="F598" s="26">
        <v>0.75359999999999994</v>
      </c>
      <c r="G598" s="111">
        <f t="shared" si="83"/>
        <v>32.404799999999994</v>
      </c>
      <c r="H598" s="28">
        <f t="shared" si="84"/>
        <v>25.923839999999995</v>
      </c>
      <c r="I598" s="20"/>
      <c r="J598" s="21" t="s">
        <v>748</v>
      </c>
      <c r="K598" s="22">
        <v>6</v>
      </c>
      <c r="L598" s="23" t="s">
        <v>86</v>
      </c>
      <c r="M598" s="24">
        <v>35</v>
      </c>
      <c r="N598" s="94" t="s">
        <v>170</v>
      </c>
      <c r="O598" s="94"/>
      <c r="P598" s="26">
        <v>0.28966499999999995</v>
      </c>
      <c r="Q598" s="202">
        <f t="shared" si="85"/>
        <v>12.455594999999997</v>
      </c>
      <c r="R598" s="28">
        <f t="shared" si="86"/>
        <v>9.9644759999999977</v>
      </c>
    </row>
    <row r="599" spans="1:18" ht="10.5" customHeight="1" x14ac:dyDescent="0.3">
      <c r="A599" s="21" t="s">
        <v>749</v>
      </c>
      <c r="B599" s="22">
        <v>10</v>
      </c>
      <c r="C599" s="23" t="s">
        <v>86</v>
      </c>
      <c r="D599" s="24">
        <v>50</v>
      </c>
      <c r="E599" s="170">
        <v>200</v>
      </c>
      <c r="F599" s="26">
        <v>0.97564285714285703</v>
      </c>
      <c r="G599" s="111">
        <f t="shared" si="83"/>
        <v>41.952642857142855</v>
      </c>
      <c r="H599" s="28">
        <f t="shared" si="84"/>
        <v>33.562114285714287</v>
      </c>
      <c r="I599" s="20"/>
      <c r="J599" s="79" t="s">
        <v>750</v>
      </c>
      <c r="K599" s="22">
        <v>8</v>
      </c>
      <c r="L599" s="23" t="s">
        <v>86</v>
      </c>
      <c r="M599" s="24">
        <v>40</v>
      </c>
      <c r="N599" s="94" t="s">
        <v>88</v>
      </c>
      <c r="O599" s="94"/>
      <c r="P599" s="26">
        <v>0.47099999999999992</v>
      </c>
      <c r="Q599" s="111">
        <f t="shared" si="85"/>
        <v>20.252999999999997</v>
      </c>
      <c r="R599" s="28">
        <f t="shared" si="86"/>
        <v>16.202399999999997</v>
      </c>
    </row>
    <row r="600" spans="1:18" ht="10.5" customHeight="1" x14ac:dyDescent="0.3">
      <c r="A600" s="21" t="s">
        <v>751</v>
      </c>
      <c r="B600" s="22">
        <v>10</v>
      </c>
      <c r="C600" s="23" t="s">
        <v>86</v>
      </c>
      <c r="D600" s="24">
        <v>60</v>
      </c>
      <c r="E600" s="170">
        <v>200</v>
      </c>
      <c r="F600" s="26">
        <v>1.2178714285714285</v>
      </c>
      <c r="G600" s="111">
        <f t="shared" si="83"/>
        <v>52.368471428571425</v>
      </c>
      <c r="H600" s="28">
        <f t="shared" si="84"/>
        <v>41.894777142857137</v>
      </c>
      <c r="I600" s="20"/>
      <c r="J600" s="79" t="s">
        <v>752</v>
      </c>
      <c r="K600" s="22">
        <v>8</v>
      </c>
      <c r="L600" s="23" t="s">
        <v>86</v>
      </c>
      <c r="M600" s="24">
        <v>50</v>
      </c>
      <c r="N600" s="94" t="s">
        <v>88</v>
      </c>
      <c r="O600" s="94"/>
      <c r="P600" s="26">
        <v>0.59884285714285712</v>
      </c>
      <c r="Q600" s="202">
        <f t="shared" si="85"/>
        <v>25.750242857142855</v>
      </c>
      <c r="R600" s="28">
        <f t="shared" si="86"/>
        <v>20.600194285714284</v>
      </c>
    </row>
    <row r="601" spans="1:18" ht="10.5" customHeight="1" x14ac:dyDescent="0.3">
      <c r="A601" s="21" t="s">
        <v>753</v>
      </c>
      <c r="B601" s="22">
        <v>12</v>
      </c>
      <c r="C601" s="23" t="s">
        <v>86</v>
      </c>
      <c r="D601" s="24">
        <v>60</v>
      </c>
      <c r="E601" s="170">
        <v>100</v>
      </c>
      <c r="F601" s="26">
        <v>1.7965285714285713</v>
      </c>
      <c r="G601" s="111">
        <f t="shared" si="83"/>
        <v>77.250728571428567</v>
      </c>
      <c r="H601" s="28">
        <f t="shared" si="84"/>
        <v>61.800582857142857</v>
      </c>
      <c r="I601" s="20"/>
      <c r="J601" s="79" t="s">
        <v>754</v>
      </c>
      <c r="K601" s="22">
        <v>10</v>
      </c>
      <c r="L601" s="23" t="s">
        <v>86</v>
      </c>
      <c r="M601" s="24">
        <v>50</v>
      </c>
      <c r="N601" s="94" t="s">
        <v>94</v>
      </c>
      <c r="O601" s="94"/>
      <c r="P601" s="26">
        <v>0.80069999999999997</v>
      </c>
      <c r="Q601" s="111">
        <f t="shared" si="85"/>
        <v>34.430099999999996</v>
      </c>
      <c r="R601" s="28">
        <f t="shared" si="86"/>
        <v>27.544079999999997</v>
      </c>
    </row>
    <row r="602" spans="1:18" ht="10.5" customHeight="1" x14ac:dyDescent="0.3">
      <c r="A602" s="21" t="s">
        <v>755</v>
      </c>
      <c r="B602" s="22">
        <v>12</v>
      </c>
      <c r="C602" s="23" t="s">
        <v>86</v>
      </c>
      <c r="D602" s="24">
        <v>80</v>
      </c>
      <c r="E602" s="170">
        <v>100</v>
      </c>
      <c r="F602" s="26">
        <v>2.0791285714285714</v>
      </c>
      <c r="G602" s="111">
        <f t="shared" si="83"/>
        <v>89.402528571428576</v>
      </c>
      <c r="H602" s="28">
        <f t="shared" si="84"/>
        <v>71.522022857142858</v>
      </c>
      <c r="I602" s="20"/>
      <c r="J602" s="79" t="s">
        <v>756</v>
      </c>
      <c r="K602" s="22">
        <v>12</v>
      </c>
      <c r="L602" s="23" t="s">
        <v>86</v>
      </c>
      <c r="M602" s="24">
        <v>60</v>
      </c>
      <c r="N602" s="94" t="s">
        <v>101</v>
      </c>
      <c r="O602" s="94"/>
      <c r="P602" s="26">
        <v>1.6821428571428569</v>
      </c>
      <c r="Q602" s="202">
        <f t="shared" si="85"/>
        <v>72.332142857142856</v>
      </c>
      <c r="R602" s="28">
        <f t="shared" si="86"/>
        <v>57.865714285714283</v>
      </c>
    </row>
    <row r="603" spans="1:18" ht="10.5" customHeight="1" x14ac:dyDescent="0.3">
      <c r="A603" s="21" t="s">
        <v>757</v>
      </c>
      <c r="B603" s="22">
        <v>14</v>
      </c>
      <c r="C603" s="23" t="s">
        <v>86</v>
      </c>
      <c r="D603" s="24">
        <v>100</v>
      </c>
      <c r="E603" s="170">
        <v>50</v>
      </c>
      <c r="F603" s="26">
        <v>3.5661428571428568</v>
      </c>
      <c r="G603" s="111">
        <f t="shared" si="83"/>
        <v>153.34414285714286</v>
      </c>
      <c r="H603" s="28">
        <f t="shared" si="84"/>
        <v>122.67531428571428</v>
      </c>
      <c r="I603" s="20"/>
      <c r="J603" s="79" t="s">
        <v>758</v>
      </c>
      <c r="K603" s="22">
        <v>14</v>
      </c>
      <c r="L603" s="23" t="s">
        <v>86</v>
      </c>
      <c r="M603" s="24">
        <v>80</v>
      </c>
      <c r="N603" s="94">
        <v>100</v>
      </c>
      <c r="O603" s="94"/>
      <c r="P603" s="26">
        <v>2.4155571428571423</v>
      </c>
      <c r="Q603" s="111">
        <f t="shared" si="85"/>
        <v>103.86895714285711</v>
      </c>
      <c r="R603" s="28">
        <f t="shared" si="86"/>
        <v>83.095165714285685</v>
      </c>
    </row>
    <row r="604" spans="1:18" ht="10.5" customHeight="1" x14ac:dyDescent="0.3">
      <c r="A604" s="21" t="s">
        <v>759</v>
      </c>
      <c r="B604" s="22">
        <v>16</v>
      </c>
      <c r="C604" s="23" t="s">
        <v>86</v>
      </c>
      <c r="D604" s="24">
        <v>100</v>
      </c>
      <c r="E604" s="170">
        <v>50</v>
      </c>
      <c r="F604" s="26">
        <v>5.8538571428571426</v>
      </c>
      <c r="G604" s="111">
        <f t="shared" si="83"/>
        <v>251.71585714285715</v>
      </c>
      <c r="H604" s="28">
        <f t="shared" si="84"/>
        <v>201.37268571428572</v>
      </c>
      <c r="I604" s="83"/>
      <c r="J604" s="83"/>
      <c r="K604" s="83"/>
      <c r="L604" s="83"/>
      <c r="M604" s="83"/>
      <c r="N604" s="83"/>
      <c r="O604" s="83"/>
      <c r="P604" s="83"/>
      <c r="Q604" s="83"/>
      <c r="R604" s="116"/>
    </row>
    <row r="605" spans="1:18" ht="10.5" customHeight="1" x14ac:dyDescent="0.3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</row>
    <row r="606" spans="1:18" ht="10.5" customHeight="1" x14ac:dyDescent="0.3">
      <c r="A606" s="47" t="s">
        <v>760</v>
      </c>
      <c r="B606" s="48" t="s">
        <v>761</v>
      </c>
      <c r="C606" s="49"/>
      <c r="D606" s="49"/>
      <c r="E606" s="49"/>
      <c r="F606" s="49"/>
      <c r="G606" s="49"/>
      <c r="H606" s="50"/>
      <c r="I606" s="20"/>
      <c r="J606" s="47" t="s">
        <v>762</v>
      </c>
      <c r="K606" s="48" t="s">
        <v>763</v>
      </c>
      <c r="L606" s="49"/>
      <c r="M606" s="49"/>
      <c r="N606" s="49"/>
      <c r="O606" s="49"/>
      <c r="P606" s="49"/>
      <c r="Q606" s="49"/>
      <c r="R606" s="50"/>
    </row>
    <row r="607" spans="1:18" ht="10.5" customHeight="1" x14ac:dyDescent="0.3">
      <c r="A607" s="18"/>
      <c r="B607" s="20"/>
      <c r="C607" s="20"/>
      <c r="D607" s="20"/>
      <c r="E607" s="20"/>
      <c r="F607" s="20"/>
      <c r="G607" s="20"/>
      <c r="H607" s="101"/>
      <c r="I607" s="20"/>
      <c r="J607" s="18"/>
      <c r="K607" s="20"/>
      <c r="L607" s="20"/>
      <c r="M607" s="20"/>
      <c r="N607" s="20"/>
      <c r="O607" s="20"/>
      <c r="P607" s="20"/>
      <c r="Q607" s="20"/>
      <c r="R607" s="101"/>
    </row>
    <row r="608" spans="1:18" ht="10.5" customHeight="1" x14ac:dyDescent="0.3">
      <c r="A608" s="18"/>
      <c r="B608" s="20"/>
      <c r="C608" s="20"/>
      <c r="D608" s="20"/>
      <c r="E608" s="20"/>
      <c r="F608" s="20"/>
      <c r="G608" s="20"/>
      <c r="H608" s="101"/>
      <c r="I608" s="20"/>
      <c r="J608" s="178"/>
      <c r="K608" s="20"/>
      <c r="L608" s="20"/>
      <c r="M608" s="20"/>
      <c r="N608" s="20"/>
      <c r="O608" s="20"/>
      <c r="P608" s="20"/>
      <c r="Q608" s="20"/>
      <c r="R608" s="101"/>
    </row>
    <row r="609" spans="1:18" ht="10.5" customHeight="1" x14ac:dyDescent="0.3">
      <c r="A609" s="18"/>
      <c r="B609" s="20"/>
      <c r="C609" s="20"/>
      <c r="D609" s="20"/>
      <c r="E609" s="20"/>
      <c r="F609" s="20"/>
      <c r="G609" s="20"/>
      <c r="H609" s="101"/>
      <c r="I609" s="20"/>
      <c r="J609" s="178"/>
      <c r="K609" s="20"/>
      <c r="L609" s="20"/>
      <c r="M609" s="20"/>
      <c r="N609" s="20"/>
      <c r="O609" s="20"/>
      <c r="P609" s="20"/>
      <c r="Q609" s="20"/>
      <c r="R609" s="101"/>
    </row>
    <row r="610" spans="1:18" ht="10.5" customHeight="1" x14ac:dyDescent="0.3">
      <c r="A610" s="118" t="s">
        <v>764</v>
      </c>
      <c r="B610" s="20"/>
      <c r="C610" s="20"/>
      <c r="D610" s="20"/>
      <c r="E610" s="20"/>
      <c r="F610" s="20"/>
      <c r="G610" s="20"/>
      <c r="H610" s="101"/>
      <c r="I610" s="20"/>
      <c r="J610" s="118" t="s">
        <v>412</v>
      </c>
      <c r="K610" s="20"/>
      <c r="L610" s="20"/>
      <c r="M610" s="20"/>
      <c r="N610" s="20"/>
      <c r="O610" s="20"/>
      <c r="P610" s="20"/>
      <c r="Q610" s="20"/>
      <c r="R610" s="101"/>
    </row>
    <row r="611" spans="1:18" ht="10.5" customHeight="1" x14ac:dyDescent="0.3">
      <c r="A611" s="446" t="s">
        <v>78</v>
      </c>
      <c r="B611" s="446" t="s">
        <v>79</v>
      </c>
      <c r="C611" s="446"/>
      <c r="D611" s="446"/>
      <c r="E611" s="447" t="s">
        <v>80</v>
      </c>
      <c r="F611" s="61"/>
      <c r="G611" s="16" t="s">
        <v>81</v>
      </c>
      <c r="H611" s="17" t="s">
        <v>82</v>
      </c>
      <c r="I611" s="20"/>
      <c r="J611" s="452" t="s">
        <v>78</v>
      </c>
      <c r="K611" s="452" t="s">
        <v>79</v>
      </c>
      <c r="L611" s="452"/>
      <c r="M611" s="452"/>
      <c r="N611" s="453" t="s">
        <v>80</v>
      </c>
      <c r="O611" s="434"/>
      <c r="P611" s="61"/>
      <c r="Q611" s="16" t="s">
        <v>81</v>
      </c>
      <c r="R611" s="17" t="s">
        <v>82</v>
      </c>
    </row>
    <row r="612" spans="1:18" ht="10.5" customHeight="1" thickTop="1" x14ac:dyDescent="0.3">
      <c r="A612" s="446"/>
      <c r="B612" s="446"/>
      <c r="C612" s="446"/>
      <c r="D612" s="446"/>
      <c r="E612" s="447"/>
      <c r="F612" s="68" t="s">
        <v>83</v>
      </c>
      <c r="G612" s="15" t="s">
        <v>742</v>
      </c>
      <c r="H612" s="104" t="s">
        <v>84</v>
      </c>
      <c r="I612" s="20"/>
      <c r="J612" s="452"/>
      <c r="K612" s="452"/>
      <c r="L612" s="452"/>
      <c r="M612" s="452"/>
      <c r="N612" s="453"/>
      <c r="O612" s="171"/>
      <c r="P612" s="103" t="s">
        <v>83</v>
      </c>
      <c r="Q612" s="104" t="s">
        <v>742</v>
      </c>
      <c r="R612" s="104" t="s">
        <v>84</v>
      </c>
    </row>
    <row r="613" spans="1:18" ht="10.5" customHeight="1" x14ac:dyDescent="0.3">
      <c r="A613" s="203" t="s">
        <v>765</v>
      </c>
      <c r="B613" s="22" t="s">
        <v>766</v>
      </c>
      <c r="C613" s="23" t="s">
        <v>86</v>
      </c>
      <c r="D613" s="24">
        <v>20</v>
      </c>
      <c r="E613" s="170">
        <v>100</v>
      </c>
      <c r="F613" s="26">
        <v>8.74</v>
      </c>
      <c r="G613" s="28">
        <f>F613*$F$10</f>
        <v>375.82</v>
      </c>
      <c r="H613" s="28">
        <f>G613-G613*0.2</f>
        <v>300.65600000000001</v>
      </c>
      <c r="I613" s="20"/>
      <c r="J613" s="203" t="s">
        <v>767</v>
      </c>
      <c r="K613" s="204">
        <v>5</v>
      </c>
      <c r="L613" s="23" t="s">
        <v>86</v>
      </c>
      <c r="M613" s="24">
        <v>30</v>
      </c>
      <c r="N613" s="170">
        <v>250</v>
      </c>
      <c r="O613" s="170"/>
      <c r="P613" s="26">
        <v>3.22</v>
      </c>
      <c r="Q613" s="28">
        <f>P613*$F$10</f>
        <v>138.46</v>
      </c>
      <c r="R613" s="28">
        <f>Q613-Q613*0.2</f>
        <v>110.768</v>
      </c>
    </row>
    <row r="614" spans="1:18" ht="10.5" customHeight="1" x14ac:dyDescent="0.3">
      <c r="A614" s="205" t="s">
        <v>768</v>
      </c>
      <c r="B614" s="22" t="s">
        <v>769</v>
      </c>
      <c r="C614" s="23" t="s">
        <v>86</v>
      </c>
      <c r="D614" s="24">
        <v>24</v>
      </c>
      <c r="E614" s="170">
        <v>100</v>
      </c>
      <c r="F614" s="26">
        <v>9.84</v>
      </c>
      <c r="G614" s="28">
        <f>F614*$F$10</f>
        <v>423.12</v>
      </c>
      <c r="H614" s="28">
        <f>G614-G614*0.2</f>
        <v>338.49599999999998</v>
      </c>
      <c r="I614" s="20"/>
      <c r="J614" s="203" t="s">
        <v>770</v>
      </c>
      <c r="K614" s="204">
        <v>6</v>
      </c>
      <c r="L614" s="23" t="s">
        <v>86</v>
      </c>
      <c r="M614" s="24">
        <v>32</v>
      </c>
      <c r="N614" s="170">
        <v>250</v>
      </c>
      <c r="O614" s="170"/>
      <c r="P614" s="26">
        <v>3.5199999999999996</v>
      </c>
      <c r="Q614" s="28">
        <f>P614*$F$10</f>
        <v>151.35999999999999</v>
      </c>
      <c r="R614" s="28">
        <f>Q614-Q614*0.2</f>
        <v>121.08799999999999</v>
      </c>
    </row>
    <row r="615" spans="1:18" ht="10.5" customHeight="1" x14ac:dyDescent="0.3">
      <c r="A615" s="205" t="s">
        <v>771</v>
      </c>
      <c r="B615" s="22" t="s">
        <v>772</v>
      </c>
      <c r="C615" s="23" t="s">
        <v>86</v>
      </c>
      <c r="D615" s="24">
        <v>31</v>
      </c>
      <c r="E615" s="170">
        <v>100</v>
      </c>
      <c r="F615" s="26">
        <v>17.100000000000001</v>
      </c>
      <c r="G615" s="28">
        <f>F615*$F$10</f>
        <v>735.30000000000007</v>
      </c>
      <c r="H615" s="28">
        <f>G615-G615*0.2</f>
        <v>588.24</v>
      </c>
      <c r="I615" s="20"/>
      <c r="J615" s="203" t="s">
        <v>773</v>
      </c>
      <c r="K615" s="204">
        <v>8</v>
      </c>
      <c r="L615" s="23" t="s">
        <v>86</v>
      </c>
      <c r="M615" s="24">
        <v>38</v>
      </c>
      <c r="N615" s="170">
        <v>100</v>
      </c>
      <c r="O615" s="170"/>
      <c r="P615" s="26">
        <v>6.0915999999999988</v>
      </c>
      <c r="Q615" s="28">
        <f>P615*$F$10</f>
        <v>261.93879999999996</v>
      </c>
      <c r="R615" s="28">
        <f>Q615-Q615*0.2</f>
        <v>209.55103999999997</v>
      </c>
    </row>
    <row r="616" spans="1:18" ht="10.5" customHeight="1" x14ac:dyDescent="0.3">
      <c r="A616" s="203" t="s">
        <v>774</v>
      </c>
      <c r="B616" s="22" t="s">
        <v>775</v>
      </c>
      <c r="C616" s="23" t="s">
        <v>86</v>
      </c>
      <c r="D616" s="24">
        <v>34</v>
      </c>
      <c r="E616" s="170">
        <v>50</v>
      </c>
      <c r="F616" s="26">
        <v>29.52</v>
      </c>
      <c r="G616" s="28">
        <f>F616*$F$10</f>
        <v>1269.3599999999999</v>
      </c>
      <c r="H616" s="28">
        <f>G616-G616*0.2</f>
        <v>1015.4879999999999</v>
      </c>
      <c r="I616" s="20"/>
      <c r="J616" s="206" t="s">
        <v>776</v>
      </c>
      <c r="K616" s="207">
        <v>8</v>
      </c>
      <c r="L616" s="33" t="s">
        <v>86</v>
      </c>
      <c r="M616" s="34">
        <v>60</v>
      </c>
      <c r="N616" s="193">
        <v>100</v>
      </c>
      <c r="O616" s="193"/>
      <c r="P616" s="36">
        <v>9.2472999999999992</v>
      </c>
      <c r="Q616" s="28">
        <f>P616*$F$10</f>
        <v>397.63389999999998</v>
      </c>
      <c r="R616" s="28">
        <f>Q616-Q616*0.2</f>
        <v>318.10712000000001</v>
      </c>
    </row>
    <row r="617" spans="1:18" ht="10.5" customHeight="1" x14ac:dyDescent="0.3">
      <c r="A617" s="205" t="s">
        <v>777</v>
      </c>
      <c r="B617" s="22" t="s">
        <v>778</v>
      </c>
      <c r="C617" s="23" t="s">
        <v>86</v>
      </c>
      <c r="D617" s="24">
        <v>41</v>
      </c>
      <c r="E617" s="170">
        <v>50</v>
      </c>
      <c r="F617" s="26">
        <v>55.98</v>
      </c>
      <c r="G617" s="28">
        <f>F617*$F$10</f>
        <v>2407.14</v>
      </c>
      <c r="H617" s="28">
        <f>G617-G617*0.2</f>
        <v>1925.712</v>
      </c>
      <c r="I617" s="20"/>
      <c r="J617" s="205" t="s">
        <v>779</v>
      </c>
      <c r="K617" s="204">
        <v>10</v>
      </c>
      <c r="L617" s="23" t="s">
        <v>86</v>
      </c>
      <c r="M617" s="24">
        <v>60</v>
      </c>
      <c r="N617" s="170">
        <v>75</v>
      </c>
      <c r="O617" s="170"/>
      <c r="P617" s="26">
        <v>11.0999</v>
      </c>
      <c r="Q617" s="28">
        <f>P617*$F$10</f>
        <v>477.29570000000001</v>
      </c>
      <c r="R617" s="28">
        <f>Q617-Q617*0.2</f>
        <v>381.83656000000002</v>
      </c>
    </row>
    <row r="618" spans="1:18" ht="10.5" customHeight="1" x14ac:dyDescent="0.3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</row>
    <row r="619" spans="1:18" ht="10.5" customHeight="1" x14ac:dyDescent="0.3">
      <c r="A619" s="47" t="s">
        <v>780</v>
      </c>
      <c r="B619" s="49"/>
      <c r="C619" s="49"/>
      <c r="D619" s="49"/>
      <c r="E619" s="49"/>
      <c r="F619" s="49"/>
      <c r="G619" s="49"/>
      <c r="H619" s="50"/>
      <c r="I619" s="20"/>
      <c r="J619" s="47" t="s">
        <v>780</v>
      </c>
      <c r="K619" s="49"/>
      <c r="L619" s="49"/>
      <c r="M619" s="49"/>
      <c r="N619" s="49"/>
      <c r="O619" s="49"/>
      <c r="P619" s="49"/>
      <c r="Q619" s="49"/>
      <c r="R619" s="50"/>
    </row>
    <row r="620" spans="1:18" ht="10.5" customHeight="1" x14ac:dyDescent="0.3">
      <c r="A620" s="99"/>
      <c r="B620" s="20"/>
      <c r="C620" s="20"/>
      <c r="D620" s="20"/>
      <c r="E620" s="20"/>
      <c r="F620" s="20"/>
      <c r="G620" s="20"/>
      <c r="H620" s="101"/>
      <c r="I620" s="20"/>
      <c r="J620" s="18"/>
      <c r="K620" s="20"/>
      <c r="L620" s="20"/>
      <c r="M620" s="20"/>
      <c r="N620" s="20"/>
      <c r="O620" s="20"/>
      <c r="P620" s="20"/>
      <c r="Q620" s="20"/>
      <c r="R620" s="101"/>
    </row>
    <row r="621" spans="1:18" ht="10.5" customHeight="1" x14ac:dyDescent="0.3">
      <c r="A621" s="18"/>
      <c r="B621" s="20"/>
      <c r="C621" s="20"/>
      <c r="D621" s="20"/>
      <c r="E621" s="20"/>
      <c r="F621" s="20"/>
      <c r="G621" s="20"/>
      <c r="H621" s="101"/>
      <c r="I621" s="20"/>
      <c r="J621" s="18"/>
      <c r="K621" s="20"/>
      <c r="L621" s="20"/>
      <c r="M621" s="20"/>
      <c r="N621" s="20"/>
      <c r="O621" s="20"/>
      <c r="P621" s="20"/>
      <c r="Q621" s="20"/>
      <c r="R621" s="101"/>
    </row>
    <row r="622" spans="1:18" ht="10.5" customHeight="1" x14ac:dyDescent="0.3">
      <c r="A622" s="18"/>
      <c r="B622" s="20"/>
      <c r="C622" s="20"/>
      <c r="D622" s="20"/>
      <c r="E622" s="20"/>
      <c r="F622" s="20"/>
      <c r="G622" s="20"/>
      <c r="H622" s="101"/>
      <c r="I622" s="20"/>
      <c r="J622" s="18"/>
      <c r="K622" s="20"/>
      <c r="L622" s="20"/>
      <c r="M622" s="20"/>
      <c r="N622" s="20"/>
      <c r="O622" s="20"/>
      <c r="P622" s="20"/>
      <c r="Q622" s="20"/>
      <c r="R622" s="101"/>
    </row>
    <row r="623" spans="1:18" ht="10.5" customHeight="1" x14ac:dyDescent="0.3">
      <c r="A623" s="118" t="s">
        <v>781</v>
      </c>
      <c r="B623" s="20"/>
      <c r="C623" s="20"/>
      <c r="D623" s="20"/>
      <c r="E623" s="20"/>
      <c r="F623" s="20"/>
      <c r="G623" s="20"/>
      <c r="H623" s="101"/>
      <c r="I623" s="20"/>
      <c r="J623" s="118" t="s">
        <v>782</v>
      </c>
      <c r="K623" s="20"/>
      <c r="L623" s="20"/>
      <c r="M623" s="20"/>
      <c r="N623" s="20"/>
      <c r="O623" s="20"/>
      <c r="P623" s="20"/>
      <c r="Q623" s="20"/>
      <c r="R623" s="101"/>
    </row>
    <row r="624" spans="1:18" ht="10.5" customHeight="1" x14ac:dyDescent="0.3">
      <c r="A624" s="446" t="s">
        <v>78</v>
      </c>
      <c r="B624" s="446" t="s">
        <v>79</v>
      </c>
      <c r="C624" s="446"/>
      <c r="D624" s="446"/>
      <c r="E624" s="447" t="s">
        <v>80</v>
      </c>
      <c r="F624" s="61"/>
      <c r="G624" s="16" t="s">
        <v>81</v>
      </c>
      <c r="H624" s="17" t="s">
        <v>82</v>
      </c>
      <c r="I624" s="20"/>
      <c r="J624" s="446" t="s">
        <v>78</v>
      </c>
      <c r="K624" s="446" t="s">
        <v>79</v>
      </c>
      <c r="L624" s="446"/>
      <c r="M624" s="446"/>
      <c r="N624" s="447" t="s">
        <v>80</v>
      </c>
      <c r="O624" s="434"/>
      <c r="P624" s="61"/>
      <c r="Q624" s="16" t="s">
        <v>81</v>
      </c>
      <c r="R624" s="17" t="s">
        <v>82</v>
      </c>
    </row>
    <row r="625" spans="1:18" ht="10.5" customHeight="1" x14ac:dyDescent="0.3">
      <c r="A625" s="446"/>
      <c r="B625" s="446"/>
      <c r="C625" s="446"/>
      <c r="D625" s="446"/>
      <c r="E625" s="447"/>
      <c r="F625" s="68" t="s">
        <v>83</v>
      </c>
      <c r="G625" s="15" t="s">
        <v>742</v>
      </c>
      <c r="H625" s="15" t="s">
        <v>84</v>
      </c>
      <c r="I625" s="20"/>
      <c r="J625" s="446"/>
      <c r="K625" s="446"/>
      <c r="L625" s="446"/>
      <c r="M625" s="446"/>
      <c r="N625" s="447"/>
      <c r="O625" s="369"/>
      <c r="P625" s="68" t="s">
        <v>83</v>
      </c>
      <c r="Q625" s="15" t="s">
        <v>742</v>
      </c>
      <c r="R625" s="15" t="s">
        <v>84</v>
      </c>
    </row>
    <row r="626" spans="1:18" ht="10.5" customHeight="1" x14ac:dyDescent="0.3">
      <c r="A626" s="205" t="s">
        <v>783</v>
      </c>
      <c r="B626" s="208">
        <v>6</v>
      </c>
      <c r="C626" s="75" t="s">
        <v>86</v>
      </c>
      <c r="D626" s="76">
        <v>30</v>
      </c>
      <c r="E626" s="87" t="s">
        <v>126</v>
      </c>
      <c r="F626" s="78">
        <v>1.34</v>
      </c>
      <c r="G626" s="72">
        <f>F626*$F$10</f>
        <v>57.620000000000005</v>
      </c>
      <c r="H626" s="28">
        <f>G626-G626*0.2</f>
        <v>46.096000000000004</v>
      </c>
      <c r="I626" s="20"/>
      <c r="J626" s="205" t="s">
        <v>784</v>
      </c>
      <c r="K626" s="204">
        <v>14</v>
      </c>
      <c r="L626" s="23" t="s">
        <v>86</v>
      </c>
      <c r="M626" s="24">
        <v>28</v>
      </c>
      <c r="N626" s="94">
        <v>100</v>
      </c>
      <c r="O626" s="94"/>
      <c r="P626" s="26">
        <v>9.58</v>
      </c>
      <c r="Q626" s="111">
        <f>P626*$F$10</f>
        <v>411.94</v>
      </c>
      <c r="R626" s="28">
        <f>Q626-Q626*0.2</f>
        <v>329.55200000000002</v>
      </c>
    </row>
    <row r="627" spans="1:18" ht="10.5" customHeight="1" x14ac:dyDescent="0.3">
      <c r="A627" s="20"/>
      <c r="B627" s="20"/>
      <c r="C627" s="20"/>
      <c r="D627" s="20"/>
      <c r="E627" s="20"/>
      <c r="F627" s="20"/>
      <c r="G627" s="20"/>
      <c r="H627" s="20"/>
      <c r="I627" s="20"/>
      <c r="J627" s="209"/>
      <c r="K627" s="49"/>
      <c r="L627" s="49"/>
      <c r="M627" s="49"/>
      <c r="N627" s="49"/>
      <c r="O627" s="49"/>
      <c r="P627" s="49"/>
      <c r="Q627" s="49"/>
      <c r="R627" s="50"/>
    </row>
    <row r="628" spans="1:18" ht="10.5" customHeight="1" x14ac:dyDescent="0.3">
      <c r="A628" s="47" t="s">
        <v>785</v>
      </c>
      <c r="B628" s="49"/>
      <c r="C628" s="49"/>
      <c r="D628" s="49"/>
      <c r="E628" s="49"/>
      <c r="F628" s="49"/>
      <c r="G628" s="49"/>
      <c r="H628" s="50"/>
      <c r="I628" s="20"/>
      <c r="J628" s="18"/>
      <c r="K628" s="20"/>
      <c r="L628" s="20"/>
      <c r="M628" s="20"/>
      <c r="N628" s="210" t="s">
        <v>786</v>
      </c>
      <c r="O628" s="210"/>
      <c r="P628" s="20"/>
      <c r="Q628" s="20"/>
      <c r="R628" s="101"/>
    </row>
    <row r="629" spans="1:18" ht="10.5" customHeight="1" x14ac:dyDescent="0.3">
      <c r="A629" s="99"/>
      <c r="B629" s="20"/>
      <c r="C629" s="20"/>
      <c r="D629" s="20"/>
      <c r="E629" s="20"/>
      <c r="F629" s="20"/>
      <c r="G629" s="20"/>
      <c r="H629" s="101"/>
      <c r="I629" s="20"/>
      <c r="J629" s="18"/>
      <c r="K629" s="20"/>
      <c r="L629" s="20"/>
      <c r="M629" s="20"/>
      <c r="N629" s="20"/>
      <c r="O629" s="20"/>
      <c r="P629" s="20"/>
      <c r="Q629" s="20"/>
      <c r="R629" s="101"/>
    </row>
    <row r="630" spans="1:18" ht="10.5" customHeight="1" x14ac:dyDescent="0.3">
      <c r="A630" s="18"/>
      <c r="B630" s="20"/>
      <c r="C630" s="20"/>
      <c r="D630" s="20"/>
      <c r="E630" s="20"/>
      <c r="F630" s="20"/>
      <c r="G630" s="20"/>
      <c r="H630" s="101"/>
      <c r="I630" s="20"/>
      <c r="J630" s="18"/>
      <c r="K630" s="20"/>
      <c r="L630" s="20"/>
      <c r="M630" s="20"/>
      <c r="N630" s="20"/>
      <c r="O630" s="20"/>
      <c r="P630" s="20"/>
      <c r="Q630" s="20"/>
      <c r="R630" s="101"/>
    </row>
    <row r="631" spans="1:18" ht="10.5" customHeight="1" x14ac:dyDescent="0.3">
      <c r="A631" s="18"/>
      <c r="B631" s="20"/>
      <c r="C631" s="20"/>
      <c r="D631" s="20"/>
      <c r="E631" s="20"/>
      <c r="F631" s="20"/>
      <c r="G631" s="20"/>
      <c r="H631" s="101"/>
      <c r="I631" s="20"/>
      <c r="J631" s="18"/>
      <c r="K631" s="20"/>
      <c r="L631" s="20"/>
      <c r="M631" s="20"/>
      <c r="N631" s="20"/>
      <c r="O631" s="20"/>
      <c r="P631" s="20"/>
      <c r="Q631" s="20"/>
      <c r="R631" s="101"/>
    </row>
    <row r="632" spans="1:18" ht="10.5" customHeight="1" x14ac:dyDescent="0.3">
      <c r="A632" s="118" t="s">
        <v>787</v>
      </c>
      <c r="B632" s="20"/>
      <c r="C632" s="20"/>
      <c r="D632" s="20"/>
      <c r="E632" s="20"/>
      <c r="F632" s="20"/>
      <c r="G632" s="20"/>
      <c r="H632" s="101"/>
      <c r="I632" s="20"/>
      <c r="J632" s="118" t="s">
        <v>787</v>
      </c>
      <c r="K632" s="20"/>
      <c r="L632" s="20"/>
      <c r="M632" s="20"/>
      <c r="N632" s="20"/>
      <c r="O632" s="20"/>
      <c r="P632" s="20"/>
      <c r="Q632" s="20"/>
      <c r="R632" s="101"/>
    </row>
    <row r="633" spans="1:18" ht="10.5" customHeight="1" x14ac:dyDescent="0.3">
      <c r="A633" s="452" t="s">
        <v>78</v>
      </c>
      <c r="B633" s="452" t="s">
        <v>79</v>
      </c>
      <c r="C633" s="452"/>
      <c r="D633" s="452"/>
      <c r="E633" s="453" t="s">
        <v>80</v>
      </c>
      <c r="F633" s="61"/>
      <c r="G633" s="16" t="s">
        <v>81</v>
      </c>
      <c r="H633" s="17" t="s">
        <v>82</v>
      </c>
      <c r="I633" s="20"/>
      <c r="J633" s="452" t="s">
        <v>78</v>
      </c>
      <c r="K633" s="452" t="s">
        <v>79</v>
      </c>
      <c r="L633" s="452"/>
      <c r="M633" s="452"/>
      <c r="N633" s="453" t="s">
        <v>80</v>
      </c>
      <c r="O633" s="434"/>
      <c r="P633" s="61"/>
      <c r="Q633" s="16" t="s">
        <v>81</v>
      </c>
      <c r="R633" s="17" t="s">
        <v>82</v>
      </c>
    </row>
    <row r="634" spans="1:18" ht="10.5" customHeight="1" x14ac:dyDescent="0.3">
      <c r="A634" s="452"/>
      <c r="B634" s="452"/>
      <c r="C634" s="452"/>
      <c r="D634" s="452"/>
      <c r="E634" s="453"/>
      <c r="F634" s="103" t="s">
        <v>83</v>
      </c>
      <c r="G634" s="104" t="s">
        <v>742</v>
      </c>
      <c r="H634" s="104" t="s">
        <v>84</v>
      </c>
      <c r="I634" s="20"/>
      <c r="J634" s="452"/>
      <c r="K634" s="452"/>
      <c r="L634" s="452"/>
      <c r="M634" s="452"/>
      <c r="N634" s="453"/>
      <c r="O634" s="171"/>
      <c r="P634" s="103" t="s">
        <v>83</v>
      </c>
      <c r="Q634" s="104" t="s">
        <v>742</v>
      </c>
      <c r="R634" s="104" t="s">
        <v>84</v>
      </c>
    </row>
    <row r="635" spans="1:18" ht="10.5" customHeight="1" x14ac:dyDescent="0.3">
      <c r="A635" s="205" t="s">
        <v>788</v>
      </c>
      <c r="B635" s="204">
        <v>6</v>
      </c>
      <c r="C635" s="23" t="s">
        <v>86</v>
      </c>
      <c r="D635" s="24">
        <v>22</v>
      </c>
      <c r="E635" s="94" t="s">
        <v>126</v>
      </c>
      <c r="F635" s="26">
        <v>1.41</v>
      </c>
      <c r="G635" s="28">
        <f>F635*$F$10</f>
        <v>60.629999999999995</v>
      </c>
      <c r="H635" s="28">
        <f>G635-G635*0.2</f>
        <v>48.503999999999998</v>
      </c>
      <c r="I635" s="20"/>
      <c r="J635" s="205" t="s">
        <v>789</v>
      </c>
      <c r="K635" s="204">
        <v>8</v>
      </c>
      <c r="L635" s="23" t="s">
        <v>86</v>
      </c>
      <c r="M635" s="24">
        <v>50</v>
      </c>
      <c r="N635" s="211">
        <v>100</v>
      </c>
      <c r="O635" s="211"/>
      <c r="P635" s="26">
        <v>1.18</v>
      </c>
      <c r="Q635" s="28">
        <f>P635*$F$10</f>
        <v>50.739999999999995</v>
      </c>
      <c r="R635" s="72">
        <f>Q635-Q635*0.2</f>
        <v>40.591999999999999</v>
      </c>
    </row>
    <row r="636" spans="1:18" ht="10.5" customHeight="1" x14ac:dyDescent="0.3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</row>
    <row r="637" spans="1:18" ht="10.5" customHeight="1" x14ac:dyDescent="0.3">
      <c r="A637" s="47" t="s">
        <v>790</v>
      </c>
      <c r="B637" s="48" t="s">
        <v>791</v>
      </c>
      <c r="C637" s="49"/>
      <c r="D637" s="49"/>
      <c r="E637" s="49"/>
      <c r="F637" s="49"/>
      <c r="G637" s="49"/>
      <c r="H637" s="49"/>
      <c r="I637" s="49"/>
      <c r="J637" s="452" t="s">
        <v>78</v>
      </c>
      <c r="K637" s="452" t="s">
        <v>79</v>
      </c>
      <c r="L637" s="452"/>
      <c r="M637" s="452"/>
      <c r="N637" s="453" t="s">
        <v>80</v>
      </c>
      <c r="O637" s="434"/>
      <c r="P637" s="61"/>
      <c r="Q637" s="16" t="s">
        <v>81</v>
      </c>
      <c r="R637" s="17" t="s">
        <v>82</v>
      </c>
    </row>
    <row r="638" spans="1:18" ht="10.5" customHeight="1" x14ac:dyDescent="0.3">
      <c r="A638" s="18"/>
      <c r="B638" s="20"/>
      <c r="C638" s="20"/>
      <c r="D638" s="20"/>
      <c r="E638" s="20"/>
      <c r="F638" s="20"/>
      <c r="G638" s="20"/>
      <c r="H638" s="20"/>
      <c r="I638" s="20"/>
      <c r="J638" s="452"/>
      <c r="K638" s="452"/>
      <c r="L638" s="452"/>
      <c r="M638" s="452"/>
      <c r="N638" s="453"/>
      <c r="O638" s="171"/>
      <c r="P638" s="103" t="s">
        <v>83</v>
      </c>
      <c r="Q638" s="104" t="s">
        <v>742</v>
      </c>
      <c r="R638" s="104" t="s">
        <v>84</v>
      </c>
    </row>
    <row r="639" spans="1:18" ht="10.5" customHeight="1" x14ac:dyDescent="0.3">
      <c r="A639" s="18"/>
      <c r="B639" s="20"/>
      <c r="C639" s="20"/>
      <c r="D639" s="20"/>
      <c r="E639" s="20"/>
      <c r="F639" s="20"/>
      <c r="G639" s="20"/>
      <c r="H639" s="20"/>
      <c r="I639" s="20"/>
      <c r="J639" s="205" t="s">
        <v>792</v>
      </c>
      <c r="K639" s="184" t="s">
        <v>20</v>
      </c>
      <c r="L639" s="23" t="s">
        <v>86</v>
      </c>
      <c r="M639" s="24">
        <v>50</v>
      </c>
      <c r="N639" s="170">
        <v>100</v>
      </c>
      <c r="O639" s="170"/>
      <c r="P639" s="26">
        <v>6.5373678571428568</v>
      </c>
      <c r="Q639" s="28">
        <f>P639*$F$10</f>
        <v>281.10681785714286</v>
      </c>
      <c r="R639" s="28">
        <f>Q639-Q639*0.2</f>
        <v>224.88545428571427</v>
      </c>
    </row>
    <row r="640" spans="1:18" ht="10.5" customHeight="1" x14ac:dyDescent="0.3">
      <c r="A640" s="55"/>
      <c r="B640" s="83"/>
      <c r="C640" s="83"/>
      <c r="D640" s="83"/>
      <c r="E640" s="83"/>
      <c r="F640" s="83"/>
      <c r="G640" s="83"/>
      <c r="H640" s="83"/>
      <c r="I640" s="83"/>
      <c r="J640" s="212" t="s">
        <v>793</v>
      </c>
      <c r="K640" s="184" t="s">
        <v>23</v>
      </c>
      <c r="L640" s="23" t="s">
        <v>86</v>
      </c>
      <c r="M640" s="24">
        <v>60</v>
      </c>
      <c r="N640" s="170">
        <v>100</v>
      </c>
      <c r="O640" s="170"/>
      <c r="P640" s="26">
        <v>7.2803142857142848</v>
      </c>
      <c r="Q640" s="28">
        <f>P640*$F$10</f>
        <v>313.05351428571424</v>
      </c>
      <c r="R640" s="28">
        <f>Q640-Q640*0.2</f>
        <v>250.44281142857139</v>
      </c>
    </row>
    <row r="641" spans="1:18" ht="10.5" customHeight="1" x14ac:dyDescent="0.3">
      <c r="A641" s="20"/>
      <c r="B641" s="20"/>
      <c r="C641" s="20"/>
      <c r="D641" s="20"/>
      <c r="E641" s="20"/>
      <c r="F641" s="20"/>
      <c r="G641" s="20"/>
      <c r="H641" s="20"/>
      <c r="I641" s="20"/>
      <c r="J641" s="213"/>
      <c r="K641" s="196"/>
      <c r="L641" s="41"/>
      <c r="M641" s="42"/>
      <c r="N641" s="199"/>
      <c r="O641" s="199"/>
      <c r="P641" s="44"/>
      <c r="Q641" s="46"/>
      <c r="R641" s="46"/>
    </row>
    <row r="642" spans="1:18" ht="10.5" customHeight="1" x14ac:dyDescent="0.3">
      <c r="A642" s="20"/>
      <c r="B642" s="20"/>
      <c r="C642" s="20"/>
      <c r="D642" s="20"/>
      <c r="E642" s="20"/>
      <c r="F642" s="20"/>
      <c r="G642" s="20"/>
      <c r="H642" s="20"/>
      <c r="I642" s="20"/>
      <c r="J642" s="213"/>
      <c r="K642" s="196"/>
      <c r="L642" s="41"/>
      <c r="M642" s="42"/>
      <c r="N642" s="199"/>
      <c r="O642" s="199"/>
      <c r="P642" s="44"/>
      <c r="Q642" s="46"/>
      <c r="R642" s="46"/>
    </row>
    <row r="643" spans="1:18" ht="10.5" customHeight="1" x14ac:dyDescent="0.3">
      <c r="A643" s="20"/>
      <c r="B643" s="20"/>
      <c r="C643" s="20"/>
      <c r="D643" s="20"/>
      <c r="E643" s="20"/>
      <c r="F643" s="20"/>
      <c r="G643" s="20"/>
      <c r="H643" s="20"/>
      <c r="I643" s="20"/>
      <c r="J643" s="213"/>
      <c r="K643" s="196"/>
      <c r="L643" s="41"/>
      <c r="M643" s="42"/>
      <c r="N643" s="199"/>
      <c r="O643" s="199"/>
      <c r="P643" s="44"/>
      <c r="Q643" s="46"/>
      <c r="R643" s="46"/>
    </row>
    <row r="644" spans="1:18" ht="10.5" customHeight="1" x14ac:dyDescent="0.3">
      <c r="A644" s="20"/>
      <c r="B644" s="20"/>
      <c r="C644" s="20"/>
      <c r="D644" s="20"/>
      <c r="E644" s="20"/>
      <c r="F644" s="20"/>
      <c r="G644" s="20"/>
      <c r="H644" s="20"/>
      <c r="I644" s="20"/>
      <c r="J644" s="213"/>
      <c r="K644" s="196"/>
      <c r="L644" s="41"/>
      <c r="M644" s="42"/>
      <c r="N644" s="199"/>
      <c r="O644" s="199"/>
      <c r="P644" s="44"/>
      <c r="Q644" s="46"/>
      <c r="R644" s="46"/>
    </row>
    <row r="645" spans="1:18" ht="10.5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213"/>
      <c r="K645" s="196"/>
      <c r="L645" s="41"/>
      <c r="M645" s="42"/>
      <c r="N645" s="199"/>
      <c r="O645" s="199"/>
      <c r="P645" s="44"/>
      <c r="Q645" s="46"/>
      <c r="R645" s="46"/>
    </row>
    <row r="646" spans="1:18" ht="10.5" customHeight="1" x14ac:dyDescent="0.3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</row>
    <row r="647" spans="1:18" ht="15" customHeight="1" x14ac:dyDescent="0.3">
      <c r="A647" s="448" t="s">
        <v>794</v>
      </c>
      <c r="B647" s="448"/>
      <c r="C647" s="448"/>
      <c r="D647" s="448"/>
      <c r="E647" s="448"/>
      <c r="F647" s="448"/>
      <c r="G647" s="448"/>
      <c r="H647" s="448"/>
      <c r="I647" s="448"/>
      <c r="J647" s="448"/>
      <c r="K647" s="448"/>
      <c r="L647" s="448"/>
      <c r="M647" s="448"/>
      <c r="N647" s="448"/>
      <c r="O647" s="448"/>
      <c r="P647" s="448"/>
      <c r="Q647" s="448"/>
      <c r="R647" s="448"/>
    </row>
    <row r="648" spans="1:18" ht="10.5" customHeight="1" x14ac:dyDescent="0.3">
      <c r="A648" s="47" t="s">
        <v>795</v>
      </c>
      <c r="B648" s="49"/>
      <c r="C648" s="49"/>
      <c r="D648" s="49"/>
      <c r="E648" s="49"/>
      <c r="F648" s="49"/>
      <c r="G648" s="49"/>
      <c r="H648" s="50"/>
      <c r="I648" s="49"/>
      <c r="J648" s="47" t="s">
        <v>796</v>
      </c>
      <c r="K648" s="49"/>
      <c r="L648" s="49"/>
      <c r="M648" s="49"/>
      <c r="N648" s="49"/>
      <c r="O648" s="49"/>
      <c r="P648" s="49"/>
      <c r="Q648" s="49"/>
      <c r="R648" s="50"/>
    </row>
    <row r="649" spans="1:18" ht="10.5" customHeight="1" x14ac:dyDescent="0.3">
      <c r="A649" s="99" t="s">
        <v>797</v>
      </c>
      <c r="B649" s="20"/>
      <c r="C649" s="20"/>
      <c r="D649" s="20"/>
      <c r="E649" s="20"/>
      <c r="F649" s="20"/>
      <c r="G649" s="20"/>
      <c r="H649" s="101"/>
      <c r="I649" s="20"/>
      <c r="J649" s="99" t="s">
        <v>797</v>
      </c>
      <c r="K649" s="20"/>
      <c r="L649" s="20"/>
      <c r="M649" s="20"/>
      <c r="N649" s="20"/>
      <c r="O649" s="20"/>
      <c r="P649" s="20"/>
      <c r="Q649" s="20"/>
      <c r="R649" s="101"/>
    </row>
    <row r="650" spans="1:18" ht="10.5" customHeight="1" x14ac:dyDescent="0.3">
      <c r="A650" s="18"/>
      <c r="B650" s="20"/>
      <c r="C650" s="20"/>
      <c r="D650" s="20"/>
      <c r="E650" s="20"/>
      <c r="F650" s="20"/>
      <c r="G650" s="20"/>
      <c r="H650" s="101"/>
      <c r="I650" s="20"/>
      <c r="J650" s="18"/>
      <c r="K650" s="20"/>
      <c r="L650" s="20"/>
      <c r="M650" s="20"/>
      <c r="N650" s="20"/>
      <c r="O650" s="20"/>
      <c r="P650" s="20"/>
      <c r="Q650" s="20"/>
      <c r="R650" s="101"/>
    </row>
    <row r="651" spans="1:18" ht="10.5" customHeight="1" x14ac:dyDescent="0.3">
      <c r="A651" s="18"/>
      <c r="B651" s="20"/>
      <c r="C651" s="20"/>
      <c r="D651" s="20"/>
      <c r="E651" s="20"/>
      <c r="F651" s="20"/>
      <c r="G651" s="20"/>
      <c r="H651" s="101"/>
      <c r="I651" s="20"/>
      <c r="J651" s="18"/>
      <c r="K651" s="20"/>
      <c r="L651" s="20"/>
      <c r="M651" s="20"/>
      <c r="N651" s="20"/>
      <c r="O651" s="20"/>
      <c r="P651" s="20"/>
      <c r="Q651" s="20"/>
      <c r="R651" s="101"/>
    </row>
    <row r="652" spans="1:18" ht="10.5" customHeight="1" x14ac:dyDescent="0.3">
      <c r="A652" s="18"/>
      <c r="B652" s="20"/>
      <c r="C652" s="20"/>
      <c r="D652" s="20"/>
      <c r="E652" s="20"/>
      <c r="F652" s="20"/>
      <c r="G652" s="20"/>
      <c r="H652" s="101"/>
      <c r="I652" s="20"/>
      <c r="J652" s="18"/>
      <c r="K652" s="20"/>
      <c r="L652" s="20"/>
      <c r="M652" s="20"/>
      <c r="N652" s="20"/>
      <c r="O652" s="20"/>
      <c r="P652" s="20"/>
      <c r="Q652" s="20"/>
      <c r="R652" s="101"/>
    </row>
    <row r="653" spans="1:18" ht="10.5" customHeight="1" x14ac:dyDescent="0.3">
      <c r="A653" s="18" t="s">
        <v>798</v>
      </c>
      <c r="B653" s="20"/>
      <c r="C653" s="20"/>
      <c r="D653" s="20"/>
      <c r="E653" s="20"/>
      <c r="F653" s="20"/>
      <c r="G653" s="20"/>
      <c r="H653" s="101"/>
      <c r="I653" s="20"/>
      <c r="J653" s="18" t="s">
        <v>799</v>
      </c>
      <c r="K653" s="20"/>
      <c r="L653" s="20"/>
      <c r="M653" s="20"/>
      <c r="N653" s="20"/>
      <c r="O653" s="20"/>
      <c r="P653" s="20"/>
      <c r="Q653" s="20"/>
      <c r="R653" s="101"/>
    </row>
    <row r="654" spans="1:18" ht="10.5" customHeight="1" x14ac:dyDescent="0.3">
      <c r="A654" s="446" t="s">
        <v>78</v>
      </c>
      <c r="B654" s="446" t="s">
        <v>79</v>
      </c>
      <c r="C654" s="446"/>
      <c r="D654" s="446"/>
      <c r="E654" s="447" t="s">
        <v>80</v>
      </c>
      <c r="F654" s="61"/>
      <c r="G654" s="16" t="s">
        <v>81</v>
      </c>
      <c r="H654" s="17" t="s">
        <v>82</v>
      </c>
      <c r="I654" s="20"/>
      <c r="J654" s="446" t="s">
        <v>78</v>
      </c>
      <c r="K654" s="446" t="s">
        <v>79</v>
      </c>
      <c r="L654" s="446"/>
      <c r="M654" s="446"/>
      <c r="N654" s="447" t="s">
        <v>80</v>
      </c>
      <c r="O654" s="434"/>
      <c r="P654" s="61"/>
      <c r="Q654" s="16" t="s">
        <v>81</v>
      </c>
      <c r="R654" s="17" t="s">
        <v>82</v>
      </c>
    </row>
    <row r="655" spans="1:18" ht="10.5" customHeight="1" thickTop="1" x14ac:dyDescent="0.3">
      <c r="A655" s="446"/>
      <c r="B655" s="446"/>
      <c r="C655" s="446"/>
      <c r="D655" s="446"/>
      <c r="E655" s="447"/>
      <c r="F655" s="68" t="s">
        <v>83</v>
      </c>
      <c r="G655" s="15" t="s">
        <v>742</v>
      </c>
      <c r="H655" s="15" t="s">
        <v>84</v>
      </c>
      <c r="I655" s="20"/>
      <c r="J655" s="446"/>
      <c r="K655" s="446"/>
      <c r="L655" s="446"/>
      <c r="M655" s="446"/>
      <c r="N655" s="447"/>
      <c r="O655" s="369"/>
      <c r="P655" s="68" t="s">
        <v>83</v>
      </c>
      <c r="Q655" s="15" t="s">
        <v>742</v>
      </c>
      <c r="R655" s="15" t="s">
        <v>84</v>
      </c>
    </row>
    <row r="656" spans="1:18" ht="10.5" customHeight="1" x14ac:dyDescent="0.3">
      <c r="A656" s="73" t="str">
        <f t="shared" ref="A656:A668" si="87">0&amp;2303&amp;B656*10&amp;D656</f>
        <v>023036040</v>
      </c>
      <c r="B656" s="74">
        <v>6</v>
      </c>
      <c r="C656" s="75" t="s">
        <v>86</v>
      </c>
      <c r="D656" s="76">
        <v>40</v>
      </c>
      <c r="E656" s="87">
        <v>100</v>
      </c>
      <c r="F656" s="78">
        <v>1.07</v>
      </c>
      <c r="G656" s="113">
        <f t="shared" ref="G656:G668" si="88">F656*$F$10</f>
        <v>46.010000000000005</v>
      </c>
      <c r="H656" s="72">
        <f t="shared" ref="H656:H668" si="89">G656-G656*0.2</f>
        <v>36.808000000000007</v>
      </c>
      <c r="I656" s="20"/>
      <c r="J656" s="214" t="s">
        <v>800</v>
      </c>
      <c r="K656" s="74">
        <v>6</v>
      </c>
      <c r="L656" s="75" t="s">
        <v>86</v>
      </c>
      <c r="M656" s="76">
        <v>40</v>
      </c>
      <c r="N656" s="87">
        <v>100</v>
      </c>
      <c r="O656" s="87"/>
      <c r="P656" s="78">
        <v>1.02</v>
      </c>
      <c r="Q656" s="113">
        <f t="shared" ref="Q656:Q662" si="90">P656*$F$10</f>
        <v>43.86</v>
      </c>
      <c r="R656" s="28">
        <f t="shared" ref="R656:R662" si="91">Q656-Q656*0.2</f>
        <v>35.088000000000001</v>
      </c>
    </row>
    <row r="657" spans="1:18" ht="10.5" customHeight="1" x14ac:dyDescent="0.3">
      <c r="A657" s="79" t="str">
        <f t="shared" si="87"/>
        <v>023036060</v>
      </c>
      <c r="B657" s="22">
        <v>6</v>
      </c>
      <c r="C657" s="23" t="s">
        <v>86</v>
      </c>
      <c r="D657" s="24">
        <v>60</v>
      </c>
      <c r="E657" s="94">
        <v>100</v>
      </c>
      <c r="F657" s="26">
        <v>1.7</v>
      </c>
      <c r="G657" s="111">
        <f t="shared" si="88"/>
        <v>73.099999999999994</v>
      </c>
      <c r="H657" s="28">
        <f t="shared" si="89"/>
        <v>58.48</v>
      </c>
      <c r="I657" s="20"/>
      <c r="J657" s="205" t="s">
        <v>801</v>
      </c>
      <c r="K657" s="22">
        <v>6</v>
      </c>
      <c r="L657" s="23" t="s">
        <v>86</v>
      </c>
      <c r="M657" s="24">
        <v>60</v>
      </c>
      <c r="N657" s="94">
        <v>100</v>
      </c>
      <c r="O657" s="94"/>
      <c r="P657" s="26">
        <v>1.45</v>
      </c>
      <c r="Q657" s="111">
        <f t="shared" si="90"/>
        <v>62.35</v>
      </c>
      <c r="R657" s="28">
        <f t="shared" si="91"/>
        <v>49.88</v>
      </c>
    </row>
    <row r="658" spans="1:18" ht="10.5" customHeight="1" x14ac:dyDescent="0.3">
      <c r="A658" s="79" t="str">
        <f t="shared" si="87"/>
        <v>023036080</v>
      </c>
      <c r="B658" s="22">
        <v>6</v>
      </c>
      <c r="C658" s="23" t="s">
        <v>86</v>
      </c>
      <c r="D658" s="24">
        <v>80</v>
      </c>
      <c r="E658" s="94">
        <v>100</v>
      </c>
      <c r="F658" s="26">
        <v>2.2400000000000002</v>
      </c>
      <c r="G658" s="111">
        <f t="shared" si="88"/>
        <v>96.320000000000007</v>
      </c>
      <c r="H658" s="28">
        <f t="shared" si="89"/>
        <v>77.056000000000012</v>
      </c>
      <c r="I658" s="20"/>
      <c r="J658" s="205" t="s">
        <v>802</v>
      </c>
      <c r="K658" s="22">
        <v>6</v>
      </c>
      <c r="L658" s="23" t="s">
        <v>86</v>
      </c>
      <c r="M658" s="24">
        <v>80</v>
      </c>
      <c r="N658" s="94">
        <v>100</v>
      </c>
      <c r="O658" s="94"/>
      <c r="P658" s="26">
        <v>1.99</v>
      </c>
      <c r="Q658" s="111">
        <f t="shared" si="90"/>
        <v>85.57</v>
      </c>
      <c r="R658" s="28">
        <f t="shared" si="91"/>
        <v>68.455999999999989</v>
      </c>
    </row>
    <row r="659" spans="1:18" ht="10.5" customHeight="1" x14ac:dyDescent="0.3">
      <c r="A659" s="79" t="str">
        <f t="shared" si="87"/>
        <v>023038060</v>
      </c>
      <c r="B659" s="22">
        <v>8</v>
      </c>
      <c r="C659" s="23" t="s">
        <v>86</v>
      </c>
      <c r="D659" s="24">
        <v>60</v>
      </c>
      <c r="E659" s="94">
        <v>100</v>
      </c>
      <c r="F659" s="26">
        <v>2.96</v>
      </c>
      <c r="G659" s="111">
        <f t="shared" si="88"/>
        <v>127.28</v>
      </c>
      <c r="H659" s="28">
        <f t="shared" si="89"/>
        <v>101.824</v>
      </c>
      <c r="I659" s="20"/>
      <c r="J659" s="205" t="s">
        <v>803</v>
      </c>
      <c r="K659" s="22">
        <v>8</v>
      </c>
      <c r="L659" s="23" t="s">
        <v>86</v>
      </c>
      <c r="M659" s="24">
        <v>60</v>
      </c>
      <c r="N659" s="94">
        <v>100</v>
      </c>
      <c r="O659" s="94"/>
      <c r="P659" s="26">
        <v>2.66</v>
      </c>
      <c r="Q659" s="111">
        <f t="shared" si="90"/>
        <v>114.38000000000001</v>
      </c>
      <c r="R659" s="28">
        <f t="shared" si="91"/>
        <v>91.504000000000005</v>
      </c>
    </row>
    <row r="660" spans="1:18" ht="10.5" customHeight="1" x14ac:dyDescent="0.3">
      <c r="A660" s="79" t="str">
        <f t="shared" si="87"/>
        <v>023038080</v>
      </c>
      <c r="B660" s="22">
        <v>8</v>
      </c>
      <c r="C660" s="23" t="s">
        <v>86</v>
      </c>
      <c r="D660" s="24">
        <v>80</v>
      </c>
      <c r="E660" s="94">
        <v>50</v>
      </c>
      <c r="F660" s="26">
        <v>3.88</v>
      </c>
      <c r="G660" s="111">
        <f t="shared" si="88"/>
        <v>166.84</v>
      </c>
      <c r="H660" s="28">
        <f t="shared" si="89"/>
        <v>133.47200000000001</v>
      </c>
      <c r="I660" s="20"/>
      <c r="J660" s="205" t="s">
        <v>804</v>
      </c>
      <c r="K660" s="22">
        <v>8</v>
      </c>
      <c r="L660" s="23" t="s">
        <v>86</v>
      </c>
      <c r="M660" s="24">
        <v>80</v>
      </c>
      <c r="N660" s="94">
        <v>50</v>
      </c>
      <c r="O660" s="94"/>
      <c r="P660" s="26">
        <v>3.51</v>
      </c>
      <c r="Q660" s="111">
        <f t="shared" si="90"/>
        <v>150.92999999999998</v>
      </c>
      <c r="R660" s="28">
        <f t="shared" si="91"/>
        <v>120.74399999999999</v>
      </c>
    </row>
    <row r="661" spans="1:18" ht="10.5" customHeight="1" x14ac:dyDescent="0.3">
      <c r="A661" s="134" t="str">
        <f t="shared" si="87"/>
        <v>0230380100</v>
      </c>
      <c r="B661" s="32">
        <v>8</v>
      </c>
      <c r="C661" s="33" t="s">
        <v>86</v>
      </c>
      <c r="D661" s="34">
        <v>100</v>
      </c>
      <c r="E661" s="93">
        <v>50</v>
      </c>
      <c r="F661" s="36">
        <v>4.84</v>
      </c>
      <c r="G661" s="111">
        <f t="shared" si="88"/>
        <v>208.12</v>
      </c>
      <c r="H661" s="28">
        <f t="shared" si="89"/>
        <v>166.49600000000001</v>
      </c>
      <c r="I661" s="20"/>
      <c r="J661" s="205" t="s">
        <v>805</v>
      </c>
      <c r="K661" s="32">
        <v>8</v>
      </c>
      <c r="L661" s="33" t="s">
        <v>86</v>
      </c>
      <c r="M661" s="34">
        <v>100</v>
      </c>
      <c r="N661" s="93">
        <v>50</v>
      </c>
      <c r="O661" s="93"/>
      <c r="P661" s="36">
        <v>4.38</v>
      </c>
      <c r="Q661" s="111">
        <f t="shared" si="90"/>
        <v>188.34</v>
      </c>
      <c r="R661" s="28">
        <f t="shared" si="91"/>
        <v>150.672</v>
      </c>
    </row>
    <row r="662" spans="1:18" ht="10.5" customHeight="1" x14ac:dyDescent="0.3">
      <c r="A662" s="21" t="str">
        <f t="shared" si="87"/>
        <v>0230380120</v>
      </c>
      <c r="B662" s="22">
        <v>8</v>
      </c>
      <c r="C662" s="23" t="s">
        <v>86</v>
      </c>
      <c r="D662" s="24">
        <v>120</v>
      </c>
      <c r="E662" s="94">
        <v>50</v>
      </c>
      <c r="F662" s="26">
        <v>5.85</v>
      </c>
      <c r="G662" s="111">
        <f t="shared" si="88"/>
        <v>251.54999999999998</v>
      </c>
      <c r="H662" s="28">
        <f t="shared" si="89"/>
        <v>201.23999999999998</v>
      </c>
      <c r="I662" s="20"/>
      <c r="J662" s="205" t="s">
        <v>806</v>
      </c>
      <c r="K662" s="22">
        <v>8</v>
      </c>
      <c r="L662" s="23" t="s">
        <v>86</v>
      </c>
      <c r="M662" s="24">
        <v>120</v>
      </c>
      <c r="N662" s="94">
        <v>50</v>
      </c>
      <c r="O662" s="94"/>
      <c r="P662" s="26">
        <v>5.2</v>
      </c>
      <c r="Q662" s="111">
        <f t="shared" si="90"/>
        <v>223.6</v>
      </c>
      <c r="R662" s="28">
        <f t="shared" si="91"/>
        <v>178.88</v>
      </c>
    </row>
    <row r="663" spans="1:18" ht="10.5" customHeight="1" x14ac:dyDescent="0.3">
      <c r="A663" s="79" t="str">
        <f t="shared" si="87"/>
        <v>0230380140</v>
      </c>
      <c r="B663" s="22">
        <v>8</v>
      </c>
      <c r="C663" s="23" t="s">
        <v>86</v>
      </c>
      <c r="D663" s="24">
        <v>140</v>
      </c>
      <c r="E663" s="94">
        <v>50</v>
      </c>
      <c r="F663" s="26">
        <v>8.6480833333333322</v>
      </c>
      <c r="G663" s="111">
        <f t="shared" si="88"/>
        <v>371.8675833333333</v>
      </c>
      <c r="H663" s="28">
        <f t="shared" si="89"/>
        <v>297.49406666666664</v>
      </c>
      <c r="I663" s="20"/>
      <c r="J663" s="20"/>
      <c r="K663" s="20"/>
      <c r="L663" s="20"/>
      <c r="M663" s="20"/>
      <c r="N663" s="20"/>
      <c r="O663" s="20"/>
      <c r="P663" s="20"/>
      <c r="Q663" s="20"/>
      <c r="R663" s="101"/>
    </row>
    <row r="664" spans="1:18" ht="10.5" customHeight="1" x14ac:dyDescent="0.3">
      <c r="A664" s="79" t="str">
        <f t="shared" si="87"/>
        <v>0230380160</v>
      </c>
      <c r="B664" s="22">
        <v>8</v>
      </c>
      <c r="C664" s="23" t="s">
        <v>86</v>
      </c>
      <c r="D664" s="24">
        <v>160</v>
      </c>
      <c r="E664" s="94">
        <v>50</v>
      </c>
      <c r="F664" s="26">
        <v>9.8582916666666662</v>
      </c>
      <c r="G664" s="111">
        <f t="shared" si="88"/>
        <v>423.90654166666667</v>
      </c>
      <c r="H664" s="28">
        <f t="shared" si="89"/>
        <v>339.12523333333331</v>
      </c>
      <c r="I664" s="20"/>
      <c r="J664" s="20"/>
      <c r="K664" s="20"/>
      <c r="L664" s="20"/>
      <c r="M664" s="20"/>
      <c r="N664" s="20"/>
      <c r="O664" s="20"/>
      <c r="P664" s="20"/>
      <c r="Q664" s="20"/>
      <c r="R664" s="101"/>
    </row>
    <row r="665" spans="1:18" ht="10.5" customHeight="1" x14ac:dyDescent="0.3">
      <c r="A665" s="79" t="str">
        <f t="shared" si="87"/>
        <v>02303100100</v>
      </c>
      <c r="B665" s="22">
        <v>10</v>
      </c>
      <c r="C665" s="23" t="s">
        <v>86</v>
      </c>
      <c r="D665" s="24">
        <v>100</v>
      </c>
      <c r="E665" s="94">
        <v>50</v>
      </c>
      <c r="F665" s="26">
        <v>10.963833333333332</v>
      </c>
      <c r="G665" s="111">
        <f t="shared" si="88"/>
        <v>471.44483333333329</v>
      </c>
      <c r="H665" s="28">
        <f t="shared" si="89"/>
        <v>377.15586666666661</v>
      </c>
      <c r="I665" s="20"/>
      <c r="J665" s="20"/>
      <c r="K665" s="20"/>
      <c r="L665" s="20"/>
      <c r="M665" s="20"/>
      <c r="N665" s="20"/>
      <c r="O665" s="20"/>
      <c r="P665" s="20"/>
      <c r="Q665" s="20"/>
      <c r="R665" s="101"/>
    </row>
    <row r="666" spans="1:18" ht="10.5" customHeight="1" x14ac:dyDescent="0.3">
      <c r="A666" s="79" t="str">
        <f t="shared" si="87"/>
        <v>02303100120</v>
      </c>
      <c r="B666" s="22">
        <v>10</v>
      </c>
      <c r="C666" s="23" t="s">
        <v>86</v>
      </c>
      <c r="D666" s="24">
        <v>120</v>
      </c>
      <c r="E666" s="94">
        <v>50</v>
      </c>
      <c r="F666" s="26">
        <v>12.873999999999997</v>
      </c>
      <c r="G666" s="111">
        <f t="shared" si="88"/>
        <v>553.58199999999988</v>
      </c>
      <c r="H666" s="28">
        <f t="shared" si="89"/>
        <v>442.86559999999992</v>
      </c>
      <c r="I666" s="20"/>
      <c r="J666" s="20"/>
      <c r="K666" s="20"/>
      <c r="L666" s="20"/>
      <c r="M666" s="20"/>
      <c r="N666" s="20"/>
      <c r="O666" s="20"/>
      <c r="P666" s="20"/>
      <c r="Q666" s="20"/>
      <c r="R666" s="101"/>
    </row>
    <row r="667" spans="1:18" ht="10.5" customHeight="1" x14ac:dyDescent="0.3">
      <c r="A667" s="79" t="str">
        <f t="shared" si="87"/>
        <v>02303100140</v>
      </c>
      <c r="B667" s="22">
        <v>10</v>
      </c>
      <c r="C667" s="23" t="s">
        <v>86</v>
      </c>
      <c r="D667" s="24">
        <v>140</v>
      </c>
      <c r="E667" s="94">
        <v>50</v>
      </c>
      <c r="F667" s="26">
        <v>15.366374999999998</v>
      </c>
      <c r="G667" s="111">
        <f t="shared" si="88"/>
        <v>660.75412499999993</v>
      </c>
      <c r="H667" s="28">
        <f t="shared" si="89"/>
        <v>528.60329999999999</v>
      </c>
      <c r="I667" s="20"/>
      <c r="J667" s="20"/>
      <c r="K667" s="20"/>
      <c r="L667" s="20"/>
      <c r="M667" s="20"/>
      <c r="N667" s="20"/>
      <c r="O667" s="20"/>
      <c r="P667" s="20"/>
      <c r="Q667" s="20"/>
      <c r="R667" s="101"/>
    </row>
    <row r="668" spans="1:18" ht="10.5" customHeight="1" x14ac:dyDescent="0.3">
      <c r="A668" s="79" t="str">
        <f t="shared" si="87"/>
        <v>02303100160</v>
      </c>
      <c r="B668" s="22">
        <v>10</v>
      </c>
      <c r="C668" s="23" t="s">
        <v>86</v>
      </c>
      <c r="D668" s="24">
        <v>160</v>
      </c>
      <c r="E668" s="94">
        <v>50</v>
      </c>
      <c r="F668" s="26">
        <v>18.126958333333331</v>
      </c>
      <c r="G668" s="111">
        <f t="shared" si="88"/>
        <v>779.45920833333321</v>
      </c>
      <c r="H668" s="28">
        <f t="shared" si="89"/>
        <v>623.56736666666654</v>
      </c>
      <c r="I668" s="83"/>
      <c r="J668" s="83"/>
      <c r="K668" s="83"/>
      <c r="L668" s="83"/>
      <c r="M668" s="83"/>
      <c r="N668" s="83"/>
      <c r="O668" s="83"/>
      <c r="P668" s="83"/>
      <c r="Q668" s="83"/>
      <c r="R668" s="116"/>
    </row>
    <row r="669" spans="1:18" ht="10.5" customHeight="1" x14ac:dyDescent="0.3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</row>
    <row r="670" spans="1:18" ht="10.5" customHeight="1" x14ac:dyDescent="0.3">
      <c r="A670" s="47" t="s">
        <v>807</v>
      </c>
      <c r="B670" s="49"/>
      <c r="C670" s="49"/>
      <c r="D670" s="49"/>
      <c r="E670" s="49"/>
      <c r="F670" s="49"/>
      <c r="G670" s="49"/>
      <c r="H670" s="49"/>
      <c r="I670" s="49"/>
      <c r="J670" s="452" t="s">
        <v>78</v>
      </c>
      <c r="K670" s="452" t="s">
        <v>79</v>
      </c>
      <c r="L670" s="452"/>
      <c r="M670" s="452"/>
      <c r="N670" s="453" t="s">
        <v>80</v>
      </c>
      <c r="O670" s="434"/>
      <c r="P670" s="61"/>
      <c r="Q670" s="16" t="s">
        <v>81</v>
      </c>
      <c r="R670" s="17" t="s">
        <v>82</v>
      </c>
    </row>
    <row r="671" spans="1:18" ht="10.5" customHeight="1" x14ac:dyDescent="0.3">
      <c r="A671" s="99" t="s">
        <v>797</v>
      </c>
      <c r="B671" s="20"/>
      <c r="C671" s="20"/>
      <c r="D671" s="20"/>
      <c r="E671" s="20"/>
      <c r="F671" s="20"/>
      <c r="G671" s="20"/>
      <c r="H671" s="20"/>
      <c r="I671" s="20"/>
      <c r="J671" s="452"/>
      <c r="K671" s="452"/>
      <c r="L671" s="452"/>
      <c r="M671" s="452"/>
      <c r="N671" s="453"/>
      <c r="O671" s="171"/>
      <c r="P671" s="103" t="s">
        <v>83</v>
      </c>
      <c r="Q671" s="104" t="s">
        <v>742</v>
      </c>
      <c r="R671" s="15" t="s">
        <v>84</v>
      </c>
    </row>
    <row r="672" spans="1:18" ht="10.5" customHeight="1" x14ac:dyDescent="0.3">
      <c r="A672" s="18"/>
      <c r="B672" s="20"/>
      <c r="C672" s="20"/>
      <c r="D672" s="20"/>
      <c r="E672" s="20"/>
      <c r="F672" s="20"/>
      <c r="G672" s="20"/>
      <c r="H672" s="20"/>
      <c r="I672" s="20"/>
      <c r="J672" s="79" t="str">
        <f t="shared" ref="J672:J678" si="92">0&amp;2305&amp;K672*10&amp;M672</f>
        <v>023056040</v>
      </c>
      <c r="K672" s="22">
        <v>6</v>
      </c>
      <c r="L672" s="23" t="s">
        <v>86</v>
      </c>
      <c r="M672" s="24">
        <v>40</v>
      </c>
      <c r="N672" s="94">
        <v>100</v>
      </c>
      <c r="O672" s="94"/>
      <c r="P672" s="26">
        <v>2.04</v>
      </c>
      <c r="Q672" s="28">
        <f t="shared" ref="Q672:Q678" si="93">P672*$F$10</f>
        <v>87.72</v>
      </c>
      <c r="R672" s="28">
        <f t="shared" ref="R672:R678" si="94">Q672-Q672*0.2</f>
        <v>70.176000000000002</v>
      </c>
    </row>
    <row r="673" spans="1:18" ht="10.5" customHeight="1" x14ac:dyDescent="0.3">
      <c r="A673" s="18"/>
      <c r="B673" s="20"/>
      <c r="C673" s="20"/>
      <c r="D673" s="20"/>
      <c r="E673" s="20"/>
      <c r="F673" s="20"/>
      <c r="G673" s="20"/>
      <c r="H673" s="20"/>
      <c r="I673" s="20"/>
      <c r="J673" s="79" t="str">
        <f t="shared" si="92"/>
        <v>023056060</v>
      </c>
      <c r="K673" s="22">
        <v>6</v>
      </c>
      <c r="L673" s="23" t="s">
        <v>86</v>
      </c>
      <c r="M673" s="24">
        <v>60</v>
      </c>
      <c r="N673" s="94">
        <v>100</v>
      </c>
      <c r="O673" s="94"/>
      <c r="P673" s="26">
        <v>2.82</v>
      </c>
      <c r="Q673" s="111">
        <f t="shared" si="93"/>
        <v>121.25999999999999</v>
      </c>
      <c r="R673" s="28">
        <f t="shared" si="94"/>
        <v>97.007999999999996</v>
      </c>
    </row>
    <row r="674" spans="1:18" ht="10.5" customHeight="1" x14ac:dyDescent="0.3">
      <c r="A674" s="18"/>
      <c r="B674" s="20"/>
      <c r="C674" s="20"/>
      <c r="D674" s="20"/>
      <c r="E674" s="20"/>
      <c r="F674" s="20"/>
      <c r="G674" s="20"/>
      <c r="H674" s="20"/>
      <c r="I674" s="20"/>
      <c r="J674" s="79" t="str">
        <f t="shared" si="92"/>
        <v>023056080</v>
      </c>
      <c r="K674" s="22">
        <v>6</v>
      </c>
      <c r="L674" s="23" t="s">
        <v>86</v>
      </c>
      <c r="M674" s="24">
        <v>80</v>
      </c>
      <c r="N674" s="94">
        <v>100</v>
      </c>
      <c r="O674" s="94"/>
      <c r="P674" s="26">
        <v>3.53</v>
      </c>
      <c r="Q674" s="111">
        <f t="shared" si="93"/>
        <v>151.79</v>
      </c>
      <c r="R674" s="28">
        <f t="shared" si="94"/>
        <v>121.43199999999999</v>
      </c>
    </row>
    <row r="675" spans="1:18" ht="10.5" customHeight="1" x14ac:dyDescent="0.3">
      <c r="B675" s="20"/>
      <c r="C675" s="20"/>
      <c r="D675" s="20"/>
      <c r="E675" s="20"/>
      <c r="F675" s="20"/>
      <c r="G675" s="20"/>
      <c r="H675" s="20"/>
      <c r="I675" s="20"/>
      <c r="J675" s="79" t="str">
        <f t="shared" si="92"/>
        <v>023058060</v>
      </c>
      <c r="K675" s="22">
        <v>8</v>
      </c>
      <c r="L675" s="23" t="s">
        <v>86</v>
      </c>
      <c r="M675" s="24">
        <v>60</v>
      </c>
      <c r="N675" s="94">
        <v>100</v>
      </c>
      <c r="O675" s="94"/>
      <c r="P675" s="26">
        <v>4.93</v>
      </c>
      <c r="Q675" s="111">
        <f t="shared" si="93"/>
        <v>211.98999999999998</v>
      </c>
      <c r="R675" s="28">
        <f t="shared" si="94"/>
        <v>169.59199999999998</v>
      </c>
    </row>
    <row r="676" spans="1:18" ht="10.5" customHeight="1" x14ac:dyDescent="0.3">
      <c r="A676" s="18"/>
      <c r="B676" s="20"/>
      <c r="C676" s="20"/>
      <c r="D676" s="20"/>
      <c r="E676" s="20"/>
      <c r="F676" s="20"/>
      <c r="G676" s="20"/>
      <c r="H676" s="20"/>
      <c r="I676" s="20"/>
      <c r="J676" s="79" t="str">
        <f t="shared" si="92"/>
        <v>023058080</v>
      </c>
      <c r="K676" s="22">
        <v>8</v>
      </c>
      <c r="L676" s="23" t="s">
        <v>86</v>
      </c>
      <c r="M676" s="24">
        <v>80</v>
      </c>
      <c r="N676" s="94">
        <v>50</v>
      </c>
      <c r="O676" s="94"/>
      <c r="P676" s="26">
        <v>6.15</v>
      </c>
      <c r="Q676" s="111">
        <f t="shared" si="93"/>
        <v>264.45</v>
      </c>
      <c r="R676" s="28">
        <f t="shared" si="94"/>
        <v>211.56</v>
      </c>
    </row>
    <row r="677" spans="1:18" ht="10.5" customHeight="1" x14ac:dyDescent="0.3">
      <c r="A677" s="18"/>
      <c r="B677" s="20"/>
      <c r="C677" s="20"/>
      <c r="D677" s="20"/>
      <c r="E677" s="20"/>
      <c r="F677" s="20"/>
      <c r="G677" s="20"/>
      <c r="H677" s="20"/>
      <c r="I677" s="20"/>
      <c r="J677" s="134" t="str">
        <f t="shared" si="92"/>
        <v>0230580100</v>
      </c>
      <c r="K677" s="32">
        <v>8</v>
      </c>
      <c r="L677" s="33" t="s">
        <v>86</v>
      </c>
      <c r="M677" s="34">
        <v>100</v>
      </c>
      <c r="N677" s="93">
        <v>50</v>
      </c>
      <c r="O677" s="93"/>
      <c r="P677" s="36">
        <v>7.92</v>
      </c>
      <c r="Q677" s="111">
        <f t="shared" si="93"/>
        <v>340.56</v>
      </c>
      <c r="R677" s="28">
        <f t="shared" si="94"/>
        <v>272.44799999999998</v>
      </c>
    </row>
    <row r="678" spans="1:18" ht="10.5" customHeight="1" x14ac:dyDescent="0.3">
      <c r="A678" s="18" t="s">
        <v>808</v>
      </c>
      <c r="B678" s="83"/>
      <c r="C678" s="83"/>
      <c r="D678" s="83"/>
      <c r="E678" s="83"/>
      <c r="F678" s="83"/>
      <c r="G678" s="83"/>
      <c r="H678" s="83"/>
      <c r="I678" s="83"/>
      <c r="J678" s="21" t="str">
        <f t="shared" si="92"/>
        <v>0230580120</v>
      </c>
      <c r="K678" s="22">
        <v>8</v>
      </c>
      <c r="L678" s="23" t="s">
        <v>86</v>
      </c>
      <c r="M678" s="24">
        <v>120</v>
      </c>
      <c r="N678" s="94">
        <v>50</v>
      </c>
      <c r="O678" s="94"/>
      <c r="P678" s="26">
        <v>8.82</v>
      </c>
      <c r="Q678" s="111">
        <f t="shared" si="93"/>
        <v>379.26</v>
      </c>
      <c r="R678" s="28">
        <f t="shared" si="94"/>
        <v>303.40800000000002</v>
      </c>
    </row>
    <row r="679" spans="1:18" ht="10.5" customHeight="1" x14ac:dyDescent="0.3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</row>
    <row r="680" spans="1:18" ht="10.5" customHeight="1" x14ac:dyDescent="0.3">
      <c r="A680" s="47" t="s">
        <v>809</v>
      </c>
      <c r="B680" s="49"/>
      <c r="C680" s="49"/>
      <c r="D680" s="49"/>
      <c r="E680" s="49"/>
      <c r="F680" s="49"/>
      <c r="G680" s="49"/>
      <c r="H680" s="49"/>
      <c r="I680" s="49"/>
      <c r="J680" s="452" t="s">
        <v>78</v>
      </c>
      <c r="K680" s="452" t="s">
        <v>79</v>
      </c>
      <c r="L680" s="452"/>
      <c r="M680" s="452"/>
      <c r="N680" s="453" t="s">
        <v>80</v>
      </c>
      <c r="O680" s="434"/>
      <c r="P680" s="61"/>
      <c r="Q680" s="16" t="s">
        <v>81</v>
      </c>
      <c r="R680" s="17" t="s">
        <v>82</v>
      </c>
    </row>
    <row r="681" spans="1:18" ht="10.5" customHeight="1" x14ac:dyDescent="0.3">
      <c r="A681" s="99"/>
      <c r="B681" s="20"/>
      <c r="C681" s="20"/>
      <c r="D681" s="20"/>
      <c r="E681" s="20"/>
      <c r="F681" s="20"/>
      <c r="G681" s="20"/>
      <c r="H681" s="20"/>
      <c r="I681" s="20"/>
      <c r="J681" s="452"/>
      <c r="K681" s="452"/>
      <c r="L681" s="452"/>
      <c r="M681" s="452"/>
      <c r="N681" s="453"/>
      <c r="O681" s="171"/>
      <c r="P681" s="103" t="s">
        <v>83</v>
      </c>
      <c r="Q681" s="104" t="s">
        <v>742</v>
      </c>
      <c r="R681" s="104" t="s">
        <v>84</v>
      </c>
    </row>
    <row r="682" spans="1:18" ht="10.5" customHeight="1" x14ac:dyDescent="0.3">
      <c r="A682" s="215"/>
      <c r="B682" s="20"/>
      <c r="C682" s="20"/>
      <c r="D682" s="20"/>
      <c r="E682" s="20"/>
      <c r="F682" s="20"/>
      <c r="G682" s="20"/>
      <c r="H682" s="20"/>
      <c r="I682" s="20"/>
      <c r="J682" s="62" t="s">
        <v>810</v>
      </c>
      <c r="K682" s="216">
        <v>6</v>
      </c>
      <c r="L682" s="217" t="s">
        <v>359</v>
      </c>
      <c r="M682" s="218">
        <v>40</v>
      </c>
      <c r="N682" s="219">
        <v>50</v>
      </c>
      <c r="O682" s="219"/>
      <c r="P682" s="62">
        <v>12.032</v>
      </c>
      <c r="Q682" s="111">
        <f>P682*$F$10</f>
        <v>517.37599999999998</v>
      </c>
      <c r="R682" s="28">
        <f>Q682-Q682*0.15</f>
        <v>439.76959999999997</v>
      </c>
    </row>
    <row r="683" spans="1:18" ht="10.5" customHeight="1" x14ac:dyDescent="0.3">
      <c r="A683" s="178"/>
      <c r="B683" s="20"/>
      <c r="C683" s="20"/>
      <c r="D683" s="20"/>
      <c r="E683" s="20"/>
      <c r="F683" s="20"/>
      <c r="G683" s="20"/>
      <c r="H683" s="20"/>
      <c r="I683" s="20"/>
      <c r="J683" s="62" t="s">
        <v>811</v>
      </c>
      <c r="K683" s="216">
        <v>6</v>
      </c>
      <c r="L683" s="217" t="s">
        <v>359</v>
      </c>
      <c r="M683" s="218">
        <v>65</v>
      </c>
      <c r="N683" s="219">
        <v>50</v>
      </c>
      <c r="O683" s="219"/>
      <c r="P683" s="62">
        <v>17.23</v>
      </c>
      <c r="Q683" s="111">
        <f>P683*$F$10</f>
        <v>740.89</v>
      </c>
      <c r="R683" s="28">
        <f>Q683-Q683*0.15</f>
        <v>629.75649999999996</v>
      </c>
    </row>
    <row r="684" spans="1:18" ht="10.5" customHeight="1" x14ac:dyDescent="0.3">
      <c r="A684" s="139" t="s">
        <v>812</v>
      </c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116"/>
    </row>
    <row r="685" spans="1:18" ht="10.5" customHeight="1" x14ac:dyDescent="0.3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</row>
    <row r="686" spans="1:18" ht="10.5" customHeight="1" x14ac:dyDescent="0.3">
      <c r="A686" s="47" t="s">
        <v>813</v>
      </c>
      <c r="B686" s="48" t="s">
        <v>814</v>
      </c>
      <c r="C686" s="49"/>
      <c r="D686" s="49"/>
      <c r="E686" s="49"/>
      <c r="F686" s="49"/>
      <c r="G686" s="49"/>
      <c r="H686" s="50"/>
      <c r="I686" s="49"/>
      <c r="J686" s="47" t="s">
        <v>813</v>
      </c>
      <c r="K686" s="48" t="s">
        <v>815</v>
      </c>
      <c r="L686" s="49"/>
      <c r="M686" s="49"/>
      <c r="N686" s="49"/>
      <c r="O686" s="49"/>
      <c r="P686" s="49"/>
      <c r="Q686" s="49"/>
      <c r="R686" s="50"/>
    </row>
    <row r="687" spans="1:18" ht="10.5" customHeight="1" x14ac:dyDescent="0.3">
      <c r="A687" s="18"/>
      <c r="B687" s="20"/>
      <c r="C687" s="20"/>
      <c r="D687" s="20"/>
      <c r="E687" s="20"/>
      <c r="F687" s="20"/>
      <c r="G687" s="20"/>
      <c r="H687" s="101"/>
      <c r="I687" s="20"/>
      <c r="J687" s="99"/>
      <c r="K687" s="20"/>
      <c r="L687" s="20"/>
      <c r="M687" s="20"/>
      <c r="N687" s="20"/>
      <c r="O687" s="20"/>
      <c r="P687" s="20"/>
      <c r="Q687" s="20"/>
      <c r="R687" s="101"/>
    </row>
    <row r="688" spans="1:18" ht="10.5" customHeight="1" x14ac:dyDescent="0.3">
      <c r="A688" s="18"/>
      <c r="B688" s="20"/>
      <c r="C688" s="20"/>
      <c r="D688" s="20"/>
      <c r="E688" s="20"/>
      <c r="F688" s="20"/>
      <c r="G688" s="20"/>
      <c r="H688" s="101"/>
      <c r="I688" s="20"/>
      <c r="J688" s="18"/>
      <c r="K688" s="20"/>
      <c r="L688" s="20"/>
      <c r="M688" s="20"/>
      <c r="N688" s="20"/>
      <c r="O688" s="20"/>
      <c r="P688" s="20"/>
      <c r="Q688" s="20"/>
      <c r="R688" s="101"/>
    </row>
    <row r="689" spans="1:18" ht="10.5" customHeight="1" x14ac:dyDescent="0.3">
      <c r="A689" s="18"/>
      <c r="B689" s="20"/>
      <c r="C689" s="20"/>
      <c r="D689" s="20"/>
      <c r="E689" s="20"/>
      <c r="F689" s="20"/>
      <c r="G689" s="20"/>
      <c r="H689" s="101"/>
      <c r="I689" s="20"/>
      <c r="J689" s="18"/>
      <c r="K689" s="20"/>
      <c r="L689" s="20"/>
      <c r="M689" s="20"/>
      <c r="N689" s="20"/>
      <c r="O689" s="20"/>
      <c r="P689" s="20"/>
      <c r="Q689" s="20"/>
      <c r="R689" s="101"/>
    </row>
    <row r="690" spans="1:18" ht="10.5" customHeight="1" x14ac:dyDescent="0.3">
      <c r="A690" s="18"/>
      <c r="B690" s="20"/>
      <c r="C690" s="20"/>
      <c r="D690" s="20"/>
      <c r="E690" s="20"/>
      <c r="F690" s="20"/>
      <c r="G690" s="20"/>
      <c r="H690" s="101"/>
      <c r="I690" s="20"/>
      <c r="J690" s="18"/>
      <c r="K690" s="20"/>
      <c r="L690" s="20"/>
      <c r="M690" s="20"/>
      <c r="N690" s="20"/>
      <c r="O690" s="20"/>
      <c r="P690" s="20"/>
      <c r="Q690" s="20"/>
      <c r="R690" s="101"/>
    </row>
    <row r="691" spans="1:18" ht="10.5" customHeight="1" x14ac:dyDescent="0.3">
      <c r="A691" s="446" t="s">
        <v>78</v>
      </c>
      <c r="B691" s="446" t="s">
        <v>79</v>
      </c>
      <c r="C691" s="446"/>
      <c r="D691" s="446"/>
      <c r="E691" s="447" t="s">
        <v>80</v>
      </c>
      <c r="F691" s="61"/>
      <c r="G691" s="16" t="s">
        <v>81</v>
      </c>
      <c r="H691" s="17" t="s">
        <v>82</v>
      </c>
      <c r="I691" s="20"/>
      <c r="J691" s="446" t="s">
        <v>78</v>
      </c>
      <c r="K691" s="446" t="s">
        <v>79</v>
      </c>
      <c r="L691" s="446"/>
      <c r="M691" s="446"/>
      <c r="N691" s="447" t="s">
        <v>80</v>
      </c>
      <c r="O691" s="434"/>
      <c r="P691" s="61"/>
      <c r="Q691" s="16" t="s">
        <v>81</v>
      </c>
      <c r="R691" s="17" t="s">
        <v>82</v>
      </c>
    </row>
    <row r="692" spans="1:18" ht="10.5" customHeight="1" x14ac:dyDescent="0.3">
      <c r="A692" s="446"/>
      <c r="B692" s="446"/>
      <c r="C692" s="446"/>
      <c r="D692" s="446"/>
      <c r="E692" s="447"/>
      <c r="F692" s="68" t="s">
        <v>83</v>
      </c>
      <c r="G692" s="15" t="s">
        <v>742</v>
      </c>
      <c r="H692" s="15" t="s">
        <v>84</v>
      </c>
      <c r="I692" s="20"/>
      <c r="J692" s="446"/>
      <c r="K692" s="446"/>
      <c r="L692" s="446"/>
      <c r="M692" s="446"/>
      <c r="N692" s="447"/>
      <c r="O692" s="369"/>
      <c r="P692" s="68" t="s">
        <v>83</v>
      </c>
      <c r="Q692" s="15" t="s">
        <v>742</v>
      </c>
      <c r="R692" s="15" t="s">
        <v>84</v>
      </c>
    </row>
    <row r="693" spans="1:18" ht="10.5" customHeight="1" x14ac:dyDescent="0.3">
      <c r="A693" s="73" t="s">
        <v>816</v>
      </c>
      <c r="B693" s="74">
        <v>6</v>
      </c>
      <c r="C693" s="75" t="s">
        <v>86</v>
      </c>
      <c r="D693" s="76">
        <v>30</v>
      </c>
      <c r="E693" s="169">
        <v>100</v>
      </c>
      <c r="F693" s="78">
        <v>2.85</v>
      </c>
      <c r="G693" s="113">
        <f t="shared" ref="G693:G698" si="95">F693*$F$10</f>
        <v>122.55</v>
      </c>
      <c r="H693" s="28">
        <f t="shared" ref="H693:H698" si="96">G693-G693*0.2</f>
        <v>98.039999999999992</v>
      </c>
      <c r="I693" s="20"/>
      <c r="J693" s="73" t="s">
        <v>816</v>
      </c>
      <c r="K693" s="74">
        <v>6</v>
      </c>
      <c r="L693" s="75" t="s">
        <v>86</v>
      </c>
      <c r="M693" s="76">
        <v>30</v>
      </c>
      <c r="N693" s="169">
        <v>100</v>
      </c>
      <c r="O693" s="169"/>
      <c r="P693" s="78">
        <v>3.61</v>
      </c>
      <c r="Q693" s="113">
        <f>P693*$F$10</f>
        <v>155.22999999999999</v>
      </c>
      <c r="R693" s="72">
        <f>Q693-Q693*0.2</f>
        <v>124.184</v>
      </c>
    </row>
    <row r="694" spans="1:18" ht="10.5" customHeight="1" x14ac:dyDescent="0.3">
      <c r="A694" s="79" t="s">
        <v>817</v>
      </c>
      <c r="B694" s="22">
        <v>8</v>
      </c>
      <c r="C694" s="23" t="s">
        <v>86</v>
      </c>
      <c r="D694" s="24">
        <v>40</v>
      </c>
      <c r="E694" s="170">
        <v>100</v>
      </c>
      <c r="F694" s="26">
        <v>4.45</v>
      </c>
      <c r="G694" s="111">
        <f t="shared" si="95"/>
        <v>191.35</v>
      </c>
      <c r="H694" s="28">
        <f t="shared" si="96"/>
        <v>153.07999999999998</v>
      </c>
      <c r="I694" s="20"/>
      <c r="J694" s="79" t="s">
        <v>817</v>
      </c>
      <c r="K694" s="22">
        <v>8</v>
      </c>
      <c r="L694" s="23" t="s">
        <v>86</v>
      </c>
      <c r="M694" s="24">
        <v>40</v>
      </c>
      <c r="N694" s="170">
        <v>100</v>
      </c>
      <c r="O694" s="170"/>
      <c r="P694" s="26">
        <v>5.89</v>
      </c>
      <c r="Q694" s="111">
        <f>P694*$F$10</f>
        <v>253.26999999999998</v>
      </c>
      <c r="R694" s="28">
        <f>Q694-Q694*0.2</f>
        <v>202.61599999999999</v>
      </c>
    </row>
    <row r="695" spans="1:18" ht="10.5" customHeight="1" x14ac:dyDescent="0.3">
      <c r="A695" s="79" t="s">
        <v>818</v>
      </c>
      <c r="B695" s="22">
        <v>10</v>
      </c>
      <c r="C695" s="23" t="s">
        <v>86</v>
      </c>
      <c r="D695" s="24">
        <v>50</v>
      </c>
      <c r="E695" s="170">
        <v>100</v>
      </c>
      <c r="F695" s="26">
        <v>7.14</v>
      </c>
      <c r="G695" s="111">
        <f t="shared" si="95"/>
        <v>307.02</v>
      </c>
      <c r="H695" s="28">
        <f t="shared" si="96"/>
        <v>245.61599999999999</v>
      </c>
      <c r="I695" s="20"/>
      <c r="J695" s="79" t="s">
        <v>818</v>
      </c>
      <c r="K695" s="22">
        <v>10</v>
      </c>
      <c r="L695" s="23" t="s">
        <v>86</v>
      </c>
      <c r="M695" s="24">
        <v>50</v>
      </c>
      <c r="N695" s="170">
        <v>100</v>
      </c>
      <c r="O695" s="170"/>
      <c r="P695" s="26">
        <v>10.45</v>
      </c>
      <c r="Q695" s="111">
        <f>P695*$F$10</f>
        <v>449.34999999999997</v>
      </c>
      <c r="R695" s="28">
        <f>Q695-Q695*0.2</f>
        <v>359.47999999999996</v>
      </c>
    </row>
    <row r="696" spans="1:18" ht="10.5" customHeight="1" x14ac:dyDescent="0.3">
      <c r="A696" s="79" t="s">
        <v>819</v>
      </c>
      <c r="B696" s="22">
        <v>10</v>
      </c>
      <c r="C696" s="23" t="s">
        <v>86</v>
      </c>
      <c r="D696" s="24">
        <v>60</v>
      </c>
      <c r="E696" s="170">
        <v>100</v>
      </c>
      <c r="F696" s="26">
        <v>8.679671428571428</v>
      </c>
      <c r="G696" s="111">
        <f t="shared" si="95"/>
        <v>373.22587142857139</v>
      </c>
      <c r="H696" s="28">
        <f t="shared" si="96"/>
        <v>298.5806971428571</v>
      </c>
      <c r="I696" s="20"/>
      <c r="J696" s="79" t="s">
        <v>820</v>
      </c>
      <c r="K696" s="22">
        <v>12</v>
      </c>
      <c r="L696" s="23" t="s">
        <v>86</v>
      </c>
      <c r="M696" s="24">
        <v>60</v>
      </c>
      <c r="N696" s="170">
        <v>100</v>
      </c>
      <c r="O696" s="170"/>
      <c r="P696" s="26">
        <v>21.81832857142857</v>
      </c>
      <c r="Q696" s="111">
        <f>P696*$F$10</f>
        <v>938.18812857142848</v>
      </c>
      <c r="R696" s="28">
        <f>Q696-Q696*0.2</f>
        <v>750.55050285714276</v>
      </c>
    </row>
    <row r="697" spans="1:18" ht="10.5" customHeight="1" x14ac:dyDescent="0.3">
      <c r="A697" s="79" t="s">
        <v>820</v>
      </c>
      <c r="B697" s="22">
        <v>12</v>
      </c>
      <c r="C697" s="23" t="s">
        <v>86</v>
      </c>
      <c r="D697" s="24">
        <v>60</v>
      </c>
      <c r="E697" s="170">
        <v>100</v>
      </c>
      <c r="F697" s="26">
        <v>14.91032857142857</v>
      </c>
      <c r="G697" s="111">
        <f t="shared" si="95"/>
        <v>641.1441285714285</v>
      </c>
      <c r="H697" s="28">
        <f t="shared" si="96"/>
        <v>512.91530285714282</v>
      </c>
      <c r="I697" s="20"/>
      <c r="J697" s="20"/>
      <c r="K697" s="20"/>
      <c r="L697" s="20"/>
      <c r="M697" s="20"/>
      <c r="N697" s="20"/>
      <c r="O697" s="20"/>
      <c r="P697" s="20"/>
      <c r="Q697" s="20"/>
      <c r="R697" s="101"/>
    </row>
    <row r="698" spans="1:18" ht="10.5" customHeight="1" x14ac:dyDescent="0.3">
      <c r="A698" s="79" t="s">
        <v>821</v>
      </c>
      <c r="B698" s="22">
        <v>12</v>
      </c>
      <c r="C698" s="23" t="s">
        <v>86</v>
      </c>
      <c r="D698" s="24">
        <v>80</v>
      </c>
      <c r="E698" s="170">
        <v>50</v>
      </c>
      <c r="F698" s="26">
        <v>21.34</v>
      </c>
      <c r="G698" s="111">
        <f t="shared" si="95"/>
        <v>917.62</v>
      </c>
      <c r="H698" s="28">
        <f t="shared" si="96"/>
        <v>734.096</v>
      </c>
      <c r="I698" s="83"/>
      <c r="J698" s="83"/>
      <c r="K698" s="83"/>
      <c r="L698" s="83"/>
      <c r="M698" s="83"/>
      <c r="N698" s="83"/>
      <c r="O698" s="83"/>
      <c r="P698" s="83"/>
      <c r="Q698" s="83"/>
      <c r="R698" s="116"/>
    </row>
    <row r="699" spans="1:18" ht="10.5" customHeight="1" x14ac:dyDescent="0.3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</row>
    <row r="700" spans="1:18" ht="10.5" customHeight="1" x14ac:dyDescent="0.3">
      <c r="A700" s="47" t="s">
        <v>822</v>
      </c>
      <c r="B700" s="200" t="s">
        <v>823</v>
      </c>
      <c r="C700" s="49"/>
      <c r="D700" s="49"/>
      <c r="E700" s="49"/>
      <c r="F700" s="49"/>
      <c r="G700" s="49"/>
      <c r="H700" s="50"/>
      <c r="I700" s="49"/>
      <c r="J700" s="47" t="s">
        <v>824</v>
      </c>
      <c r="K700" s="200" t="s">
        <v>825</v>
      </c>
      <c r="L700" s="49"/>
      <c r="M700" s="49"/>
      <c r="N700" s="49"/>
      <c r="O700" s="49"/>
      <c r="P700" s="49"/>
      <c r="Q700" s="49"/>
      <c r="R700" s="50"/>
    </row>
    <row r="701" spans="1:18" ht="10.5" customHeight="1" x14ac:dyDescent="0.3">
      <c r="A701" s="84"/>
      <c r="B701" s="20"/>
      <c r="C701" s="20"/>
      <c r="D701" s="20"/>
      <c r="E701" s="20"/>
      <c r="F701" s="20"/>
      <c r="G701" s="20"/>
      <c r="H701" s="101"/>
      <c r="I701" s="20"/>
      <c r="J701" s="18"/>
      <c r="K701" s="20"/>
      <c r="L701" s="20"/>
      <c r="M701" s="20"/>
      <c r="N701" s="20"/>
      <c r="O701" s="20"/>
      <c r="P701" s="20"/>
      <c r="Q701" s="20"/>
      <c r="R701" s="101"/>
    </row>
    <row r="702" spans="1:18" ht="10.5" customHeight="1" x14ac:dyDescent="0.3">
      <c r="A702" s="18"/>
      <c r="B702" s="20"/>
      <c r="C702" s="20"/>
      <c r="D702" s="20"/>
      <c r="E702" s="20"/>
      <c r="F702" s="20"/>
      <c r="G702" s="20"/>
      <c r="H702" s="101"/>
      <c r="I702" s="20"/>
      <c r="J702" s="18"/>
      <c r="K702" s="20"/>
      <c r="L702" s="20"/>
      <c r="M702" s="20"/>
      <c r="N702" s="20"/>
      <c r="O702" s="20"/>
      <c r="P702" s="20"/>
      <c r="Q702" s="20"/>
      <c r="R702" s="101"/>
    </row>
    <row r="703" spans="1:18" ht="10.5" customHeight="1" x14ac:dyDescent="0.3">
      <c r="A703" s="18"/>
      <c r="B703" s="20"/>
      <c r="C703" s="20"/>
      <c r="D703" s="20"/>
      <c r="E703" s="20"/>
      <c r="F703" s="20"/>
      <c r="G703" s="20"/>
      <c r="H703" s="101"/>
      <c r="I703" s="20"/>
      <c r="J703" s="18"/>
      <c r="K703" s="20"/>
      <c r="L703" s="20"/>
      <c r="M703" s="20"/>
      <c r="N703" s="20"/>
      <c r="O703" s="20"/>
      <c r="P703" s="20"/>
      <c r="Q703" s="20"/>
      <c r="R703" s="101"/>
    </row>
    <row r="704" spans="1:18" ht="10.5" customHeight="1" x14ac:dyDescent="0.3">
      <c r="A704" s="18"/>
      <c r="B704" s="20"/>
      <c r="C704" s="20"/>
      <c r="D704" s="20"/>
      <c r="E704" s="20"/>
      <c r="F704" s="20"/>
      <c r="G704" s="20"/>
      <c r="H704" s="101"/>
      <c r="I704" s="20"/>
      <c r="J704" s="18"/>
      <c r="K704" s="20"/>
      <c r="L704" s="20"/>
      <c r="M704" s="20"/>
      <c r="N704" s="20"/>
      <c r="O704" s="20"/>
      <c r="P704" s="20"/>
      <c r="Q704" s="20"/>
      <c r="R704" s="101"/>
    </row>
    <row r="705" spans="1:18" ht="10.5" customHeight="1" x14ac:dyDescent="0.3">
      <c r="A705" s="18"/>
      <c r="B705" s="20"/>
      <c r="C705" s="20"/>
      <c r="D705" s="20"/>
      <c r="E705" s="20"/>
      <c r="F705" s="20"/>
      <c r="G705" s="20"/>
      <c r="H705" s="101"/>
      <c r="I705" s="20"/>
      <c r="J705" s="18"/>
      <c r="K705" s="20"/>
      <c r="L705" s="20"/>
      <c r="M705" s="20"/>
      <c r="N705" s="20"/>
      <c r="O705" s="20"/>
      <c r="P705" s="20"/>
      <c r="Q705" s="20"/>
      <c r="R705" s="101"/>
    </row>
    <row r="706" spans="1:18" ht="10.5" customHeight="1" x14ac:dyDescent="0.3">
      <c r="A706" s="118" t="s">
        <v>826</v>
      </c>
      <c r="B706" s="20"/>
      <c r="C706" s="20"/>
      <c r="D706" s="20"/>
      <c r="E706" s="20"/>
      <c r="F706" s="20"/>
      <c r="G706" s="20"/>
      <c r="H706" s="101"/>
      <c r="I706" s="20"/>
      <c r="J706" s="118" t="s">
        <v>826</v>
      </c>
      <c r="K706" s="20"/>
      <c r="L706" s="20"/>
      <c r="M706" s="20"/>
      <c r="N706" s="20"/>
      <c r="O706" s="20"/>
      <c r="P706" s="20"/>
      <c r="Q706" s="20"/>
      <c r="R706" s="101"/>
    </row>
    <row r="707" spans="1:18" ht="10.5" customHeight="1" x14ac:dyDescent="0.3">
      <c r="A707" s="452" t="s">
        <v>78</v>
      </c>
      <c r="B707" s="452" t="s">
        <v>79</v>
      </c>
      <c r="C707" s="452"/>
      <c r="D707" s="452"/>
      <c r="E707" s="453" t="s">
        <v>80</v>
      </c>
      <c r="F707" s="61"/>
      <c r="G707" s="16" t="s">
        <v>81</v>
      </c>
      <c r="H707" s="17" t="s">
        <v>82</v>
      </c>
      <c r="I707" s="20"/>
      <c r="J707" s="452" t="s">
        <v>78</v>
      </c>
      <c r="K707" s="452" t="s">
        <v>79</v>
      </c>
      <c r="L707" s="452"/>
      <c r="M707" s="452"/>
      <c r="N707" s="453" t="s">
        <v>80</v>
      </c>
      <c r="O707" s="434"/>
      <c r="P707" s="61"/>
      <c r="Q707" s="16" t="s">
        <v>81</v>
      </c>
      <c r="R707" s="17" t="s">
        <v>82</v>
      </c>
    </row>
    <row r="708" spans="1:18" ht="10.5" customHeight="1" x14ac:dyDescent="0.3">
      <c r="A708" s="452"/>
      <c r="B708" s="452"/>
      <c r="C708" s="452"/>
      <c r="D708" s="452"/>
      <c r="E708" s="453"/>
      <c r="F708" s="103" t="s">
        <v>83</v>
      </c>
      <c r="G708" s="104" t="s">
        <v>742</v>
      </c>
      <c r="H708" s="104" t="s">
        <v>84</v>
      </c>
      <c r="I708" s="20"/>
      <c r="J708" s="452"/>
      <c r="K708" s="452"/>
      <c r="L708" s="452"/>
      <c r="M708" s="452"/>
      <c r="N708" s="453"/>
      <c r="O708" s="171"/>
      <c r="P708" s="103" t="s">
        <v>83</v>
      </c>
      <c r="Q708" s="104" t="s">
        <v>742</v>
      </c>
      <c r="R708" s="104" t="s">
        <v>84</v>
      </c>
    </row>
    <row r="709" spans="1:18" ht="10.5" customHeight="1" x14ac:dyDescent="0.3">
      <c r="A709" s="79" t="s">
        <v>827</v>
      </c>
      <c r="B709" s="22">
        <v>10</v>
      </c>
      <c r="C709" s="23" t="s">
        <v>86</v>
      </c>
      <c r="D709" s="24">
        <v>70</v>
      </c>
      <c r="E709" s="94">
        <v>100</v>
      </c>
      <c r="F709" s="26">
        <v>4.7332714285714284</v>
      </c>
      <c r="G709" s="111">
        <f t="shared" ref="G709:G718" si="97">F709*$F$10</f>
        <v>203.53067142857142</v>
      </c>
      <c r="H709" s="28">
        <f t="shared" ref="H709:H718" si="98">G709-G709*0.15</f>
        <v>173.0010707142857</v>
      </c>
      <c r="I709" s="20"/>
      <c r="J709" s="79" t="s">
        <v>828</v>
      </c>
      <c r="K709" s="22">
        <v>10</v>
      </c>
      <c r="L709" s="23" t="s">
        <v>86</v>
      </c>
      <c r="M709" s="24">
        <v>70</v>
      </c>
      <c r="N709" s="94">
        <v>100</v>
      </c>
      <c r="O709" s="94"/>
      <c r="P709" s="26">
        <v>2.7895535714285709</v>
      </c>
      <c r="Q709" s="111">
        <f t="shared" ref="Q709:Q718" si="99">P709*$F$10</f>
        <v>119.95080357142855</v>
      </c>
      <c r="R709" s="28">
        <f t="shared" ref="R709:R718" si="100">Q709-Q709*0.15</f>
        <v>101.95818303571427</v>
      </c>
    </row>
    <row r="710" spans="1:18" ht="10.5" customHeight="1" x14ac:dyDescent="0.3">
      <c r="A710" s="79" t="s">
        <v>829</v>
      </c>
      <c r="B710" s="22">
        <v>10</v>
      </c>
      <c r="C710" s="23" t="s">
        <v>86</v>
      </c>
      <c r="D710" s="24">
        <v>80</v>
      </c>
      <c r="E710" s="94">
        <v>100</v>
      </c>
      <c r="F710" s="26">
        <v>4.9283999999999999</v>
      </c>
      <c r="G710" s="111">
        <f t="shared" si="97"/>
        <v>211.9212</v>
      </c>
      <c r="H710" s="72">
        <f t="shared" si="98"/>
        <v>180.13301999999999</v>
      </c>
      <c r="I710" s="20"/>
      <c r="J710" s="79" t="s">
        <v>830</v>
      </c>
      <c r="K710" s="22">
        <v>10</v>
      </c>
      <c r="L710" s="23" t="s">
        <v>86</v>
      </c>
      <c r="M710" s="24">
        <v>80</v>
      </c>
      <c r="N710" s="94">
        <v>100</v>
      </c>
      <c r="O710" s="94"/>
      <c r="P710" s="26">
        <v>2.9106678571428568</v>
      </c>
      <c r="Q710" s="111">
        <f t="shared" si="99"/>
        <v>125.15871785714285</v>
      </c>
      <c r="R710" s="72">
        <f t="shared" si="100"/>
        <v>106.38491017857142</v>
      </c>
    </row>
    <row r="711" spans="1:18" ht="10.5" customHeight="1" x14ac:dyDescent="0.3">
      <c r="A711" s="79" t="s">
        <v>831</v>
      </c>
      <c r="B711" s="22">
        <v>10</v>
      </c>
      <c r="C711" s="23" t="s">
        <v>86</v>
      </c>
      <c r="D711" s="24">
        <v>90</v>
      </c>
      <c r="E711" s="94">
        <v>100</v>
      </c>
      <c r="F711" s="26">
        <v>5.2580999999999989</v>
      </c>
      <c r="G711" s="111">
        <f t="shared" si="97"/>
        <v>226.09829999999994</v>
      </c>
      <c r="H711" s="72">
        <f t="shared" si="98"/>
        <v>192.18355499999996</v>
      </c>
      <c r="I711" s="20"/>
      <c r="J711" s="79" t="s">
        <v>832</v>
      </c>
      <c r="K711" s="22">
        <v>10</v>
      </c>
      <c r="L711" s="23" t="s">
        <v>86</v>
      </c>
      <c r="M711" s="24">
        <v>90</v>
      </c>
      <c r="N711" s="94">
        <v>100</v>
      </c>
      <c r="O711" s="94"/>
      <c r="P711" s="26">
        <v>3.0323428571428566</v>
      </c>
      <c r="Q711" s="111">
        <f t="shared" si="99"/>
        <v>130.39074285714284</v>
      </c>
      <c r="R711" s="72">
        <f t="shared" si="100"/>
        <v>110.83213142857142</v>
      </c>
    </row>
    <row r="712" spans="1:18" ht="10.5" customHeight="1" x14ac:dyDescent="0.3">
      <c r="A712" s="79" t="s">
        <v>833</v>
      </c>
      <c r="B712" s="22">
        <v>10</v>
      </c>
      <c r="C712" s="23" t="s">
        <v>86</v>
      </c>
      <c r="D712" s="24">
        <v>100</v>
      </c>
      <c r="E712" s="94">
        <v>100</v>
      </c>
      <c r="F712" s="26">
        <v>5.547428571428572</v>
      </c>
      <c r="G712" s="111">
        <f t="shared" si="97"/>
        <v>238.5394285714286</v>
      </c>
      <c r="H712" s="72">
        <f t="shared" si="98"/>
        <v>202.75851428571431</v>
      </c>
      <c r="I712" s="20"/>
      <c r="J712" s="79" t="s">
        <v>834</v>
      </c>
      <c r="K712" s="22">
        <v>10</v>
      </c>
      <c r="L712" s="23" t="s">
        <v>86</v>
      </c>
      <c r="M712" s="24">
        <v>100</v>
      </c>
      <c r="N712" s="94">
        <v>100</v>
      </c>
      <c r="O712" s="94"/>
      <c r="P712" s="26">
        <v>3.2745714285714285</v>
      </c>
      <c r="Q712" s="111">
        <f t="shared" si="99"/>
        <v>140.80657142857143</v>
      </c>
      <c r="R712" s="72">
        <f t="shared" si="100"/>
        <v>119.68558571428572</v>
      </c>
    </row>
    <row r="713" spans="1:18" ht="10.5" customHeight="1" x14ac:dyDescent="0.3">
      <c r="A713" s="79" t="s">
        <v>835</v>
      </c>
      <c r="B713" s="22">
        <v>10</v>
      </c>
      <c r="C713" s="23" t="s">
        <v>86</v>
      </c>
      <c r="D713" s="24">
        <v>110</v>
      </c>
      <c r="E713" s="94">
        <v>100</v>
      </c>
      <c r="F713" s="26">
        <v>5.8973142857142857</v>
      </c>
      <c r="G713" s="111">
        <f t="shared" si="97"/>
        <v>253.58451428571428</v>
      </c>
      <c r="H713" s="72">
        <f t="shared" si="98"/>
        <v>215.54683714285713</v>
      </c>
      <c r="I713" s="20"/>
      <c r="J713" s="79" t="s">
        <v>836</v>
      </c>
      <c r="K713" s="22">
        <v>10</v>
      </c>
      <c r="L713" s="23" t="s">
        <v>86</v>
      </c>
      <c r="M713" s="24">
        <v>110</v>
      </c>
      <c r="N713" s="94">
        <v>100</v>
      </c>
      <c r="O713" s="94"/>
      <c r="P713" s="26">
        <v>3.5184821428571422</v>
      </c>
      <c r="Q713" s="111">
        <f t="shared" si="99"/>
        <v>151.29473214285713</v>
      </c>
      <c r="R713" s="72">
        <f t="shared" si="100"/>
        <v>128.60052232142857</v>
      </c>
    </row>
    <row r="714" spans="1:18" ht="10.5" customHeight="1" x14ac:dyDescent="0.3">
      <c r="A714" s="79" t="s">
        <v>837</v>
      </c>
      <c r="B714" s="22">
        <v>10</v>
      </c>
      <c r="C714" s="23" t="s">
        <v>86</v>
      </c>
      <c r="D714" s="24">
        <v>120</v>
      </c>
      <c r="E714" s="94">
        <v>100</v>
      </c>
      <c r="F714" s="26">
        <v>6.0722571428571426</v>
      </c>
      <c r="G714" s="111">
        <f t="shared" si="97"/>
        <v>261.10705714285712</v>
      </c>
      <c r="H714" s="72">
        <f t="shared" si="98"/>
        <v>221.94099857142857</v>
      </c>
      <c r="I714" s="20"/>
      <c r="J714" s="79" t="s">
        <v>838</v>
      </c>
      <c r="K714" s="22">
        <v>10</v>
      </c>
      <c r="L714" s="23" t="s">
        <v>86</v>
      </c>
      <c r="M714" s="24">
        <v>120</v>
      </c>
      <c r="N714" s="94">
        <v>100</v>
      </c>
      <c r="O714" s="94"/>
      <c r="P714" s="26">
        <v>3.7595892857142847</v>
      </c>
      <c r="Q714" s="111">
        <f t="shared" si="99"/>
        <v>161.66233928571424</v>
      </c>
      <c r="R714" s="72">
        <f t="shared" si="100"/>
        <v>137.4129883928571</v>
      </c>
    </row>
    <row r="715" spans="1:18" ht="10.5" customHeight="1" x14ac:dyDescent="0.3">
      <c r="A715" s="79" t="s">
        <v>839</v>
      </c>
      <c r="B715" s="22">
        <v>10</v>
      </c>
      <c r="C715" s="23" t="s">
        <v>86</v>
      </c>
      <c r="D715" s="24">
        <v>140</v>
      </c>
      <c r="E715" s="94">
        <v>100</v>
      </c>
      <c r="F715" s="26">
        <v>6.6105428571428568</v>
      </c>
      <c r="G715" s="111">
        <f t="shared" si="97"/>
        <v>284.25334285714285</v>
      </c>
      <c r="H715" s="72">
        <f t="shared" si="98"/>
        <v>241.61534142857141</v>
      </c>
      <c r="I715" s="20"/>
      <c r="J715" s="79" t="s">
        <v>840</v>
      </c>
      <c r="K715" s="22">
        <v>10</v>
      </c>
      <c r="L715" s="23" t="s">
        <v>86</v>
      </c>
      <c r="M715" s="24">
        <v>140</v>
      </c>
      <c r="N715" s="94">
        <v>100</v>
      </c>
      <c r="O715" s="94"/>
      <c r="P715" s="26">
        <v>4.1234928571428568</v>
      </c>
      <c r="Q715" s="111">
        <f t="shared" si="99"/>
        <v>177.31019285714285</v>
      </c>
      <c r="R715" s="72">
        <f t="shared" si="100"/>
        <v>150.71366392857144</v>
      </c>
    </row>
    <row r="716" spans="1:18" ht="10.5" customHeight="1" x14ac:dyDescent="0.3">
      <c r="A716" s="79" t="s">
        <v>841</v>
      </c>
      <c r="B716" s="22">
        <v>10</v>
      </c>
      <c r="C716" s="23" t="s">
        <v>86</v>
      </c>
      <c r="D716" s="24">
        <v>160</v>
      </c>
      <c r="E716" s="94">
        <v>100</v>
      </c>
      <c r="F716" s="26">
        <v>7.1690142857142849</v>
      </c>
      <c r="G716" s="111">
        <f t="shared" si="97"/>
        <v>308.26761428571427</v>
      </c>
      <c r="H716" s="72">
        <f t="shared" si="98"/>
        <v>262.02747214285716</v>
      </c>
      <c r="I716" s="20"/>
      <c r="J716" s="79" t="s">
        <v>842</v>
      </c>
      <c r="K716" s="22">
        <v>10</v>
      </c>
      <c r="L716" s="23" t="s">
        <v>86</v>
      </c>
      <c r="M716" s="24">
        <v>160</v>
      </c>
      <c r="N716" s="94">
        <v>100</v>
      </c>
      <c r="O716" s="94"/>
      <c r="P716" s="26">
        <v>4.4873964285714285</v>
      </c>
      <c r="Q716" s="111">
        <f t="shared" si="99"/>
        <v>192.95804642857144</v>
      </c>
      <c r="R716" s="72">
        <f t="shared" si="100"/>
        <v>164.01433946428571</v>
      </c>
    </row>
    <row r="717" spans="1:18" ht="10.5" customHeight="1" x14ac:dyDescent="0.3">
      <c r="A717" s="79" t="s">
        <v>843</v>
      </c>
      <c r="B717" s="22">
        <v>10</v>
      </c>
      <c r="C717" s="23" t="s">
        <v>86</v>
      </c>
      <c r="D717" s="24">
        <v>180</v>
      </c>
      <c r="E717" s="94">
        <v>50</v>
      </c>
      <c r="F717" s="26">
        <v>7.9189714285714272</v>
      </c>
      <c r="G717" s="111">
        <f t="shared" si="97"/>
        <v>340.51577142857138</v>
      </c>
      <c r="H717" s="72">
        <f t="shared" si="98"/>
        <v>289.43840571428569</v>
      </c>
      <c r="I717" s="20"/>
      <c r="J717" s="79" t="s">
        <v>844</v>
      </c>
      <c r="K717" s="22">
        <v>10</v>
      </c>
      <c r="L717" s="23" t="s">
        <v>86</v>
      </c>
      <c r="M717" s="24">
        <v>180</v>
      </c>
      <c r="N717" s="94">
        <v>50</v>
      </c>
      <c r="O717" s="94"/>
      <c r="P717" s="26">
        <v>5.2152035714285709</v>
      </c>
      <c r="Q717" s="111">
        <f t="shared" si="99"/>
        <v>224.25375357142855</v>
      </c>
      <c r="R717" s="72">
        <f t="shared" si="100"/>
        <v>190.61569053571426</v>
      </c>
    </row>
    <row r="718" spans="1:18" ht="10.5" customHeight="1" x14ac:dyDescent="0.3">
      <c r="A718" s="79" t="s">
        <v>845</v>
      </c>
      <c r="B718" s="22">
        <v>10</v>
      </c>
      <c r="C718" s="23" t="s">
        <v>86</v>
      </c>
      <c r="D718" s="24">
        <v>200</v>
      </c>
      <c r="E718" s="94">
        <v>50</v>
      </c>
      <c r="F718" s="26">
        <v>8.6254714285714282</v>
      </c>
      <c r="G718" s="111">
        <f t="shared" si="97"/>
        <v>370.89527142857139</v>
      </c>
      <c r="H718" s="72">
        <f t="shared" si="98"/>
        <v>315.26098071428567</v>
      </c>
      <c r="I718" s="83"/>
      <c r="J718" s="79" t="s">
        <v>846</v>
      </c>
      <c r="K718" s="22">
        <v>10</v>
      </c>
      <c r="L718" s="23" t="s">
        <v>86</v>
      </c>
      <c r="M718" s="24">
        <v>200</v>
      </c>
      <c r="N718" s="94">
        <v>50</v>
      </c>
      <c r="O718" s="94"/>
      <c r="P718" s="26">
        <v>5.7002214285714281</v>
      </c>
      <c r="Q718" s="111">
        <f t="shared" si="99"/>
        <v>245.10952142857141</v>
      </c>
      <c r="R718" s="28">
        <f t="shared" si="100"/>
        <v>208.34309321428572</v>
      </c>
    </row>
    <row r="719" spans="1:18" ht="10.5" customHeight="1" x14ac:dyDescent="0.3">
      <c r="A719" s="39"/>
      <c r="B719" s="40"/>
      <c r="C719" s="41"/>
      <c r="D719" s="42"/>
      <c r="E719" s="97"/>
      <c r="F719" s="44"/>
      <c r="G719" s="46"/>
      <c r="H719" s="46"/>
      <c r="I719" s="20"/>
      <c r="J719" s="39"/>
      <c r="K719" s="40"/>
      <c r="L719" s="41"/>
      <c r="M719" s="42"/>
      <c r="N719" s="97"/>
      <c r="O719" s="97"/>
      <c r="P719" s="44"/>
      <c r="Q719" s="46"/>
      <c r="R719" s="46"/>
    </row>
    <row r="720" spans="1:18" ht="10.5" customHeight="1" x14ac:dyDescent="0.3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</row>
    <row r="721" spans="1:18" ht="10.5" customHeight="1" x14ac:dyDescent="0.3">
      <c r="A721" s="47" t="s">
        <v>847</v>
      </c>
      <c r="B721" s="200" t="s">
        <v>823</v>
      </c>
      <c r="C721" s="49"/>
      <c r="D721" s="49"/>
      <c r="E721" s="49"/>
      <c r="F721" s="49"/>
      <c r="G721" s="49"/>
      <c r="H721" s="50"/>
      <c r="I721" s="49"/>
      <c r="J721" s="47" t="s">
        <v>848</v>
      </c>
      <c r="K721" s="200" t="s">
        <v>825</v>
      </c>
      <c r="L721" s="49"/>
      <c r="M721" s="49"/>
      <c r="N721" s="49"/>
      <c r="O721" s="49"/>
      <c r="P721" s="49"/>
      <c r="Q721" s="49"/>
      <c r="R721" s="50"/>
    </row>
    <row r="722" spans="1:18" ht="10.5" customHeight="1" x14ac:dyDescent="0.3">
      <c r="A722" s="18"/>
      <c r="B722" s="20"/>
      <c r="C722" s="20"/>
      <c r="D722" s="20"/>
      <c r="E722" s="20"/>
      <c r="F722" s="20"/>
      <c r="G722" s="20"/>
      <c r="H722" s="101"/>
      <c r="I722" s="20"/>
      <c r="J722" s="18"/>
      <c r="K722" s="20"/>
      <c r="L722" s="20"/>
      <c r="M722" s="20"/>
      <c r="N722" s="20"/>
      <c r="O722" s="20"/>
      <c r="P722" s="20"/>
      <c r="Q722" s="20"/>
      <c r="R722" s="101"/>
    </row>
    <row r="723" spans="1:18" ht="10.5" customHeight="1" x14ac:dyDescent="0.3">
      <c r="A723" s="18"/>
      <c r="B723" s="20"/>
      <c r="C723" s="20"/>
      <c r="D723" s="20"/>
      <c r="E723" s="20"/>
      <c r="F723" s="20"/>
      <c r="G723" s="20"/>
      <c r="H723" s="101"/>
      <c r="I723" s="20"/>
      <c r="J723" s="18"/>
      <c r="K723" s="20"/>
      <c r="L723" s="20"/>
      <c r="M723" s="20"/>
      <c r="N723" s="20"/>
      <c r="O723" s="20"/>
      <c r="P723" s="20"/>
      <c r="Q723" s="20"/>
      <c r="R723" s="101"/>
    </row>
    <row r="724" spans="1:18" ht="10.5" customHeight="1" x14ac:dyDescent="0.3">
      <c r="A724" s="18"/>
      <c r="B724" s="20"/>
      <c r="C724" s="20"/>
      <c r="D724" s="20"/>
      <c r="E724" s="20"/>
      <c r="F724" s="20"/>
      <c r="G724" s="20"/>
      <c r="H724" s="101"/>
      <c r="I724" s="20"/>
      <c r="J724" s="18"/>
      <c r="K724" s="20"/>
      <c r="L724" s="20"/>
      <c r="M724" s="20"/>
      <c r="N724" s="20"/>
      <c r="O724" s="20"/>
      <c r="P724" s="20"/>
      <c r="Q724" s="20"/>
      <c r="R724" s="101"/>
    </row>
    <row r="725" spans="1:18" ht="10.5" customHeight="1" x14ac:dyDescent="0.3">
      <c r="A725" s="18"/>
      <c r="B725" s="20"/>
      <c r="C725" s="20"/>
      <c r="D725" s="20"/>
      <c r="E725" s="20"/>
      <c r="F725" s="20"/>
      <c r="G725" s="20"/>
      <c r="H725" s="101"/>
      <c r="I725" s="20"/>
      <c r="J725" s="18"/>
      <c r="K725" s="20"/>
      <c r="L725" s="20"/>
      <c r="M725" s="20"/>
      <c r="N725" s="20"/>
      <c r="O725" s="20"/>
      <c r="P725" s="20"/>
      <c r="Q725" s="20"/>
      <c r="R725" s="101"/>
    </row>
    <row r="726" spans="1:18" ht="10.5" customHeight="1" x14ac:dyDescent="0.3">
      <c r="A726" s="220"/>
      <c r="B726" s="20"/>
      <c r="C726" s="20"/>
      <c r="D726" s="20"/>
      <c r="E726" s="20"/>
      <c r="F726" s="20"/>
      <c r="G726" s="20"/>
      <c r="H726" s="101"/>
      <c r="I726" s="20"/>
      <c r="J726" s="18"/>
      <c r="K726" s="20"/>
      <c r="L726" s="20"/>
      <c r="M726" s="20"/>
      <c r="N726" s="20"/>
      <c r="O726" s="20"/>
      <c r="P726" s="20"/>
      <c r="Q726" s="20"/>
      <c r="R726" s="101"/>
    </row>
    <row r="727" spans="1:18" ht="10.5" customHeight="1" x14ac:dyDescent="0.3">
      <c r="A727" s="118" t="s">
        <v>849</v>
      </c>
      <c r="B727" s="20"/>
      <c r="C727" s="20"/>
      <c r="D727" s="20"/>
      <c r="E727" s="20"/>
      <c r="F727" s="20"/>
      <c r="G727" s="20"/>
      <c r="H727" s="101"/>
      <c r="I727" s="20"/>
      <c r="J727" s="118" t="s">
        <v>849</v>
      </c>
      <c r="K727" s="20"/>
      <c r="L727" s="20"/>
      <c r="M727" s="20"/>
      <c r="N727" s="20"/>
      <c r="O727" s="20"/>
      <c r="P727" s="20"/>
      <c r="Q727" s="20"/>
      <c r="R727" s="101"/>
    </row>
    <row r="728" spans="1:18" ht="10.5" customHeight="1" x14ac:dyDescent="0.3">
      <c r="A728" s="452" t="s">
        <v>78</v>
      </c>
      <c r="B728" s="452" t="s">
        <v>79</v>
      </c>
      <c r="C728" s="452"/>
      <c r="D728" s="452"/>
      <c r="E728" s="453" t="s">
        <v>80</v>
      </c>
      <c r="F728" s="61"/>
      <c r="G728" s="16" t="s">
        <v>81</v>
      </c>
      <c r="H728" s="17" t="s">
        <v>82</v>
      </c>
      <c r="I728" s="20"/>
      <c r="J728" s="452" t="s">
        <v>78</v>
      </c>
      <c r="K728" s="452" t="s">
        <v>79</v>
      </c>
      <c r="L728" s="452"/>
      <c r="M728" s="452"/>
      <c r="N728" s="453" t="s">
        <v>80</v>
      </c>
      <c r="O728" s="434"/>
      <c r="P728" s="61"/>
      <c r="Q728" s="16" t="s">
        <v>81</v>
      </c>
      <c r="R728" s="17" t="s">
        <v>82</v>
      </c>
    </row>
    <row r="729" spans="1:18" ht="10.5" customHeight="1" x14ac:dyDescent="0.3">
      <c r="A729" s="452"/>
      <c r="B729" s="452"/>
      <c r="C729" s="452"/>
      <c r="D729" s="452"/>
      <c r="E729" s="453"/>
      <c r="F729" s="103" t="s">
        <v>83</v>
      </c>
      <c r="G729" s="104" t="s">
        <v>742</v>
      </c>
      <c r="H729" s="104" t="s">
        <v>84</v>
      </c>
      <c r="I729" s="20"/>
      <c r="J729" s="452"/>
      <c r="K729" s="452"/>
      <c r="L729" s="452"/>
      <c r="M729" s="452"/>
      <c r="N729" s="453"/>
      <c r="O729" s="171"/>
      <c r="P729" s="103" t="s">
        <v>83</v>
      </c>
      <c r="Q729" s="15" t="s">
        <v>742</v>
      </c>
      <c r="R729" s="15" t="s">
        <v>84</v>
      </c>
    </row>
    <row r="730" spans="1:18" ht="10.5" customHeight="1" x14ac:dyDescent="0.3">
      <c r="A730" s="21" t="s">
        <v>850</v>
      </c>
      <c r="B730" s="22">
        <v>10</v>
      </c>
      <c r="C730" s="23" t="s">
        <v>86</v>
      </c>
      <c r="D730" s="24">
        <v>80</v>
      </c>
      <c r="E730" s="94">
        <v>100</v>
      </c>
      <c r="F730" s="151">
        <v>7.0341607142857132</v>
      </c>
      <c r="G730" s="113">
        <f t="shared" ref="G730:G739" si="101">F730*$F$10</f>
        <v>302.46891071428564</v>
      </c>
      <c r="H730" s="72">
        <f t="shared" ref="H730:H739" si="102">G730-G730*0.15</f>
        <v>257.09857410714278</v>
      </c>
      <c r="I730" s="20"/>
      <c r="J730" s="21" t="s">
        <v>851</v>
      </c>
      <c r="K730" s="22">
        <v>10</v>
      </c>
      <c r="L730" s="23" t="s">
        <v>86</v>
      </c>
      <c r="M730" s="24">
        <v>90</v>
      </c>
      <c r="N730" s="94">
        <v>100</v>
      </c>
      <c r="O730" s="87"/>
      <c r="P730" s="151">
        <v>8.8682571428571428</v>
      </c>
      <c r="Q730" s="113">
        <f t="shared" ref="Q730:Q739" si="103">P730*$F$10</f>
        <v>381.33505714285712</v>
      </c>
      <c r="R730" s="72">
        <f t="shared" ref="R730:R739" si="104">Q730-Q730*0.15</f>
        <v>324.13479857142858</v>
      </c>
    </row>
    <row r="731" spans="1:18" ht="10.5" customHeight="1" x14ac:dyDescent="0.3">
      <c r="A731" s="21" t="s">
        <v>852</v>
      </c>
      <c r="B731" s="22">
        <v>10</v>
      </c>
      <c r="C731" s="23" t="s">
        <v>86</v>
      </c>
      <c r="D731" s="24">
        <v>90</v>
      </c>
      <c r="E731" s="94">
        <v>100</v>
      </c>
      <c r="F731" s="26">
        <v>8.8682571428571428</v>
      </c>
      <c r="G731" s="111">
        <f t="shared" si="101"/>
        <v>381.33505714285712</v>
      </c>
      <c r="H731" s="72">
        <f t="shared" si="102"/>
        <v>324.13479857142858</v>
      </c>
      <c r="I731" s="20"/>
      <c r="J731" s="21" t="s">
        <v>853</v>
      </c>
      <c r="K731" s="22">
        <v>10</v>
      </c>
      <c r="L731" s="23" t="s">
        <v>86</v>
      </c>
      <c r="M731" s="24">
        <v>100</v>
      </c>
      <c r="N731" s="94">
        <v>100</v>
      </c>
      <c r="O731" s="94"/>
      <c r="P731" s="26">
        <v>9.6353142857142853</v>
      </c>
      <c r="Q731" s="111">
        <f t="shared" si="103"/>
        <v>414.31851428571429</v>
      </c>
      <c r="R731" s="72">
        <f t="shared" si="104"/>
        <v>352.17073714285715</v>
      </c>
    </row>
    <row r="732" spans="1:18" ht="10.5" customHeight="1" x14ac:dyDescent="0.3">
      <c r="A732" s="21" t="s">
        <v>854</v>
      </c>
      <c r="B732" s="22">
        <v>10</v>
      </c>
      <c r="C732" s="23" t="s">
        <v>86</v>
      </c>
      <c r="D732" s="24">
        <v>100</v>
      </c>
      <c r="E732" s="94">
        <v>100</v>
      </c>
      <c r="F732" s="26">
        <v>9.6353142857142853</v>
      </c>
      <c r="G732" s="111">
        <f t="shared" si="101"/>
        <v>414.31851428571429</v>
      </c>
      <c r="H732" s="72">
        <f t="shared" si="102"/>
        <v>352.17073714285715</v>
      </c>
      <c r="I732" s="20"/>
      <c r="J732" s="21" t="s">
        <v>855</v>
      </c>
      <c r="K732" s="22">
        <v>10</v>
      </c>
      <c r="L732" s="23" t="s">
        <v>86</v>
      </c>
      <c r="M732" s="24">
        <v>110</v>
      </c>
      <c r="N732" s="94">
        <v>100</v>
      </c>
      <c r="O732" s="94"/>
      <c r="P732" s="26">
        <v>8.1168999999999993</v>
      </c>
      <c r="Q732" s="111">
        <f t="shared" si="103"/>
        <v>349.02669999999995</v>
      </c>
      <c r="R732" s="72">
        <f t="shared" si="104"/>
        <v>296.67269499999998</v>
      </c>
    </row>
    <row r="733" spans="1:18" ht="10.5" customHeight="1" x14ac:dyDescent="0.3">
      <c r="A733" s="21" t="s">
        <v>856</v>
      </c>
      <c r="B733" s="22">
        <v>10</v>
      </c>
      <c r="C733" s="23" t="s">
        <v>86</v>
      </c>
      <c r="D733" s="24">
        <v>110</v>
      </c>
      <c r="E733" s="94">
        <v>100</v>
      </c>
      <c r="F733" s="26">
        <v>7.6929999999999996</v>
      </c>
      <c r="G733" s="111">
        <f t="shared" si="101"/>
        <v>330.79899999999998</v>
      </c>
      <c r="H733" s="72">
        <f t="shared" si="102"/>
        <v>281.17914999999999</v>
      </c>
      <c r="I733" s="20"/>
      <c r="J733" s="21" t="s">
        <v>857</v>
      </c>
      <c r="K733" s="22">
        <v>10</v>
      </c>
      <c r="L733" s="23" t="s">
        <v>86</v>
      </c>
      <c r="M733" s="24">
        <v>120</v>
      </c>
      <c r="N733" s="94">
        <v>100</v>
      </c>
      <c r="O733" s="94"/>
      <c r="P733" s="26">
        <v>11.08195714285714</v>
      </c>
      <c r="Q733" s="111">
        <f t="shared" si="103"/>
        <v>476.52415714285706</v>
      </c>
      <c r="R733" s="72">
        <f t="shared" si="104"/>
        <v>405.04553357142851</v>
      </c>
    </row>
    <row r="734" spans="1:18" ht="10.5" customHeight="1" x14ac:dyDescent="0.3">
      <c r="A734" s="21" t="s">
        <v>858</v>
      </c>
      <c r="B734" s="22">
        <v>10</v>
      </c>
      <c r="C734" s="23" t="s">
        <v>86</v>
      </c>
      <c r="D734" s="24">
        <v>120</v>
      </c>
      <c r="E734" s="94">
        <v>100</v>
      </c>
      <c r="F734" s="26">
        <v>11.08195714285714</v>
      </c>
      <c r="G734" s="111">
        <f t="shared" si="101"/>
        <v>476.52415714285706</v>
      </c>
      <c r="H734" s="72">
        <f t="shared" si="102"/>
        <v>405.04553357142851</v>
      </c>
      <c r="I734" s="20"/>
      <c r="J734" s="21" t="s">
        <v>859</v>
      </c>
      <c r="K734" s="22">
        <v>10</v>
      </c>
      <c r="L734" s="23" t="s">
        <v>86</v>
      </c>
      <c r="M734" s="24">
        <v>140</v>
      </c>
      <c r="N734" s="94">
        <v>100</v>
      </c>
      <c r="O734" s="94"/>
      <c r="P734" s="26">
        <v>12.669899999999998</v>
      </c>
      <c r="Q734" s="111">
        <f t="shared" si="103"/>
        <v>544.80569999999989</v>
      </c>
      <c r="R734" s="72">
        <f t="shared" si="104"/>
        <v>463.08484499999992</v>
      </c>
    </row>
    <row r="735" spans="1:18" ht="10.5" customHeight="1" x14ac:dyDescent="0.3">
      <c r="A735" s="21" t="s">
        <v>860</v>
      </c>
      <c r="B735" s="22">
        <v>10</v>
      </c>
      <c r="C735" s="23" t="s">
        <v>86</v>
      </c>
      <c r="D735" s="24">
        <v>140</v>
      </c>
      <c r="E735" s="94">
        <v>100</v>
      </c>
      <c r="F735" s="26">
        <v>12.669899999999998</v>
      </c>
      <c r="G735" s="111">
        <f t="shared" si="101"/>
        <v>544.80569999999989</v>
      </c>
      <c r="H735" s="72">
        <f t="shared" si="102"/>
        <v>463.08484499999992</v>
      </c>
      <c r="I735" s="20"/>
      <c r="J735" s="21" t="s">
        <v>861</v>
      </c>
      <c r="K735" s="22">
        <v>10</v>
      </c>
      <c r="L735" s="23" t="s">
        <v>86</v>
      </c>
      <c r="M735" s="24">
        <v>160</v>
      </c>
      <c r="N735" s="94">
        <v>100</v>
      </c>
      <c r="O735" s="94"/>
      <c r="P735" s="26">
        <v>14.378957142857143</v>
      </c>
      <c r="Q735" s="111">
        <f t="shared" si="103"/>
        <v>618.29515714285719</v>
      </c>
      <c r="R735" s="72">
        <f t="shared" si="104"/>
        <v>525.55088357142859</v>
      </c>
    </row>
    <row r="736" spans="1:18" ht="10.5" customHeight="1" x14ac:dyDescent="0.3">
      <c r="A736" s="21" t="s">
        <v>862</v>
      </c>
      <c r="B736" s="22">
        <v>10</v>
      </c>
      <c r="C736" s="23" t="s">
        <v>86</v>
      </c>
      <c r="D736" s="24">
        <v>160</v>
      </c>
      <c r="E736" s="94">
        <v>50</v>
      </c>
      <c r="F736" s="26">
        <v>14.378957142857143</v>
      </c>
      <c r="G736" s="111">
        <f t="shared" si="101"/>
        <v>618.29515714285719</v>
      </c>
      <c r="H736" s="72">
        <f t="shared" si="102"/>
        <v>525.55088357142859</v>
      </c>
      <c r="I736" s="20"/>
      <c r="J736" s="21" t="s">
        <v>863</v>
      </c>
      <c r="K736" s="22">
        <v>10</v>
      </c>
      <c r="L736" s="23" t="s">
        <v>86</v>
      </c>
      <c r="M736" s="24">
        <v>180</v>
      </c>
      <c r="N736" s="94">
        <v>50</v>
      </c>
      <c r="O736" s="94"/>
      <c r="P736" s="26">
        <v>15.845785714285714</v>
      </c>
      <c r="Q736" s="111">
        <f t="shared" si="103"/>
        <v>681.36878571428576</v>
      </c>
      <c r="R736" s="72">
        <f t="shared" si="104"/>
        <v>579.1634678571429</v>
      </c>
    </row>
    <row r="737" spans="1:18" ht="10.5" customHeight="1" x14ac:dyDescent="0.3">
      <c r="A737" s="21" t="s">
        <v>864</v>
      </c>
      <c r="B737" s="22">
        <v>10</v>
      </c>
      <c r="C737" s="23" t="s">
        <v>86</v>
      </c>
      <c r="D737" s="24">
        <v>180</v>
      </c>
      <c r="E737" s="94">
        <v>50</v>
      </c>
      <c r="F737" s="26">
        <v>15.845785714285714</v>
      </c>
      <c r="G737" s="111">
        <f t="shared" si="101"/>
        <v>681.36878571428576</v>
      </c>
      <c r="H737" s="72">
        <f t="shared" si="102"/>
        <v>579.1634678571429</v>
      </c>
      <c r="I737" s="20"/>
      <c r="J737" s="21" t="s">
        <v>865</v>
      </c>
      <c r="K737" s="22">
        <v>10</v>
      </c>
      <c r="L737" s="23" t="s">
        <v>86</v>
      </c>
      <c r="M737" s="24">
        <v>200</v>
      </c>
      <c r="N737" s="94">
        <v>50</v>
      </c>
      <c r="O737" s="94"/>
      <c r="P737" s="26">
        <v>17.413542857142854</v>
      </c>
      <c r="Q737" s="111">
        <f t="shared" si="103"/>
        <v>748.78234285714268</v>
      </c>
      <c r="R737" s="72">
        <f t="shared" si="104"/>
        <v>636.46499142857124</v>
      </c>
    </row>
    <row r="738" spans="1:18" ht="10.5" customHeight="1" x14ac:dyDescent="0.3">
      <c r="A738" s="21" t="s">
        <v>866</v>
      </c>
      <c r="B738" s="22">
        <v>10</v>
      </c>
      <c r="C738" s="23" t="s">
        <v>86</v>
      </c>
      <c r="D738" s="24">
        <v>200</v>
      </c>
      <c r="E738" s="94">
        <v>50</v>
      </c>
      <c r="F738" s="26">
        <v>17.413542857142854</v>
      </c>
      <c r="G738" s="111">
        <f t="shared" si="101"/>
        <v>748.78234285714268</v>
      </c>
      <c r="H738" s="72">
        <f t="shared" si="102"/>
        <v>636.46499142857124</v>
      </c>
      <c r="I738" s="20"/>
      <c r="J738" s="21" t="s">
        <v>867</v>
      </c>
      <c r="K738" s="22">
        <v>10</v>
      </c>
      <c r="L738" s="23" t="s">
        <v>86</v>
      </c>
      <c r="M738" s="24">
        <v>220</v>
      </c>
      <c r="N738" s="94">
        <v>50</v>
      </c>
      <c r="O738" s="94"/>
      <c r="P738" s="26">
        <v>19.829099999999997</v>
      </c>
      <c r="Q738" s="111">
        <f t="shared" si="103"/>
        <v>852.65129999999988</v>
      </c>
      <c r="R738" s="72">
        <f t="shared" si="104"/>
        <v>724.75360499999988</v>
      </c>
    </row>
    <row r="739" spans="1:18" ht="10.5" customHeight="1" x14ac:dyDescent="0.3">
      <c r="A739" s="21" t="s">
        <v>868</v>
      </c>
      <c r="B739" s="22">
        <v>10</v>
      </c>
      <c r="C739" s="23" t="s">
        <v>86</v>
      </c>
      <c r="D739" s="24">
        <v>220</v>
      </c>
      <c r="E739" s="94">
        <v>50</v>
      </c>
      <c r="F739" s="26">
        <v>19.829099999999997</v>
      </c>
      <c r="G739" s="111">
        <f t="shared" si="101"/>
        <v>852.65129999999988</v>
      </c>
      <c r="H739" s="28">
        <f t="shared" si="102"/>
        <v>724.75360499999988</v>
      </c>
      <c r="I739" s="83"/>
      <c r="J739" s="21" t="s">
        <v>869</v>
      </c>
      <c r="K739" s="22">
        <v>10</v>
      </c>
      <c r="L739" s="23" t="s">
        <v>86</v>
      </c>
      <c r="M739" s="24">
        <v>260</v>
      </c>
      <c r="N739" s="94">
        <v>50</v>
      </c>
      <c r="O739" s="94"/>
      <c r="P739" s="26">
        <v>19.84</v>
      </c>
      <c r="Q739" s="111">
        <f t="shared" si="103"/>
        <v>853.12</v>
      </c>
      <c r="R739" s="28">
        <f t="shared" si="104"/>
        <v>725.15200000000004</v>
      </c>
    </row>
    <row r="740" spans="1:18" ht="10.5" customHeight="1" x14ac:dyDescent="0.3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</row>
    <row r="741" spans="1:18" ht="10.5" customHeight="1" x14ac:dyDescent="0.3">
      <c r="A741" s="47" t="s">
        <v>870</v>
      </c>
      <c r="B741" s="49"/>
      <c r="C741" s="49"/>
      <c r="D741" s="49"/>
      <c r="E741" s="49"/>
      <c r="F741" s="49"/>
      <c r="G741" s="49"/>
      <c r="H741" s="50"/>
      <c r="I741" s="20"/>
      <c r="J741" s="47" t="s">
        <v>871</v>
      </c>
      <c r="K741" s="48" t="s">
        <v>872</v>
      </c>
      <c r="L741" s="49"/>
      <c r="M741" s="49"/>
      <c r="N741" s="49"/>
      <c r="O741" s="49"/>
      <c r="P741" s="49"/>
      <c r="Q741" s="49"/>
      <c r="R741" s="50"/>
    </row>
    <row r="742" spans="1:18" ht="10.5" customHeight="1" x14ac:dyDescent="0.3">
      <c r="A742" s="118"/>
      <c r="B742" s="20"/>
      <c r="C742" s="20"/>
      <c r="D742" s="20"/>
      <c r="E742" s="20"/>
      <c r="F742" s="20"/>
      <c r="G742" s="20"/>
      <c r="H742" s="101"/>
      <c r="I742" s="20"/>
      <c r="J742" s="18"/>
      <c r="K742" s="20"/>
      <c r="L742" s="20"/>
      <c r="M742" s="20"/>
      <c r="N742" s="20"/>
      <c r="O742" s="20"/>
      <c r="P742" s="20"/>
      <c r="Q742" s="20"/>
      <c r="R742" s="101"/>
    </row>
    <row r="743" spans="1:18" ht="10.5" customHeight="1" x14ac:dyDescent="0.3">
      <c r="A743" s="118"/>
      <c r="B743" s="20"/>
      <c r="C743" s="20"/>
      <c r="D743" s="20"/>
      <c r="E743" s="20"/>
      <c r="F743" s="20"/>
      <c r="G743" s="20"/>
      <c r="H743" s="101"/>
      <c r="I743" s="20"/>
      <c r="J743" s="18"/>
      <c r="K743" s="20"/>
      <c r="L743" s="20"/>
      <c r="M743" s="20"/>
      <c r="N743" s="20"/>
      <c r="O743" s="20"/>
      <c r="P743" s="20"/>
      <c r="Q743" s="20"/>
      <c r="R743" s="101"/>
    </row>
    <row r="744" spans="1:18" ht="10.5" customHeight="1" x14ac:dyDescent="0.3">
      <c r="A744" s="118"/>
      <c r="B744" s="20"/>
      <c r="C744" s="20"/>
      <c r="D744" s="20"/>
      <c r="E744" s="20"/>
      <c r="F744" s="20"/>
      <c r="G744" s="20"/>
      <c r="H744" s="101"/>
      <c r="I744" s="20"/>
      <c r="J744" s="18"/>
      <c r="K744" s="20"/>
      <c r="L744" s="20"/>
      <c r="M744" s="20"/>
      <c r="N744" s="20"/>
      <c r="O744" s="20"/>
      <c r="P744" s="20"/>
      <c r="Q744" s="20"/>
      <c r="R744" s="101"/>
    </row>
    <row r="745" spans="1:18" ht="10.5" customHeight="1" x14ac:dyDescent="0.3">
      <c r="A745" s="18"/>
      <c r="B745" s="20"/>
      <c r="C745" s="20"/>
      <c r="D745" s="20"/>
      <c r="E745" s="20"/>
      <c r="F745" s="20"/>
      <c r="G745" s="20"/>
      <c r="H745" s="101"/>
      <c r="I745" s="20"/>
      <c r="J745" s="18"/>
      <c r="K745" s="20"/>
      <c r="L745" s="20"/>
      <c r="M745" s="20"/>
      <c r="N745" s="20"/>
      <c r="O745" s="20"/>
      <c r="P745" s="20"/>
      <c r="Q745" s="20"/>
      <c r="R745" s="101"/>
    </row>
    <row r="746" spans="1:18" ht="10.5" customHeight="1" x14ac:dyDescent="0.3">
      <c r="A746" s="18"/>
      <c r="B746" s="20"/>
      <c r="C746" s="20"/>
      <c r="D746" s="20"/>
      <c r="E746" s="20"/>
      <c r="F746" s="20"/>
      <c r="G746" s="20"/>
      <c r="H746" s="101"/>
      <c r="I746" s="20"/>
      <c r="J746" s="18"/>
      <c r="K746" s="20"/>
      <c r="L746" s="20"/>
      <c r="M746" s="20"/>
      <c r="N746" s="20"/>
      <c r="O746" s="20"/>
      <c r="P746" s="20"/>
      <c r="Q746" s="20"/>
      <c r="R746" s="101"/>
    </row>
    <row r="747" spans="1:18" ht="10.5" customHeight="1" x14ac:dyDescent="0.3">
      <c r="A747" s="446" t="s">
        <v>78</v>
      </c>
      <c r="B747" s="446" t="s">
        <v>79</v>
      </c>
      <c r="C747" s="446"/>
      <c r="D747" s="446"/>
      <c r="E747" s="447" t="s">
        <v>80</v>
      </c>
      <c r="F747" s="61"/>
      <c r="G747" s="16" t="s">
        <v>81</v>
      </c>
      <c r="H747" s="17" t="s">
        <v>82</v>
      </c>
      <c r="I747" s="20"/>
      <c r="J747" s="446" t="s">
        <v>78</v>
      </c>
      <c r="K747" s="446" t="s">
        <v>79</v>
      </c>
      <c r="L747" s="446"/>
      <c r="M747" s="446"/>
      <c r="N747" s="447" t="s">
        <v>80</v>
      </c>
      <c r="O747" s="434"/>
      <c r="P747" s="61"/>
      <c r="Q747" s="16" t="s">
        <v>81</v>
      </c>
      <c r="R747" s="17" t="s">
        <v>82</v>
      </c>
    </row>
    <row r="748" spans="1:18" ht="10.5" customHeight="1" x14ac:dyDescent="0.3">
      <c r="A748" s="446"/>
      <c r="B748" s="446"/>
      <c r="C748" s="446"/>
      <c r="D748" s="446"/>
      <c r="E748" s="447"/>
      <c r="F748" s="103" t="s">
        <v>83</v>
      </c>
      <c r="G748" s="15" t="s">
        <v>742</v>
      </c>
      <c r="H748" s="15" t="s">
        <v>84</v>
      </c>
      <c r="I748" s="20"/>
      <c r="J748" s="446"/>
      <c r="K748" s="446"/>
      <c r="L748" s="446"/>
      <c r="M748" s="446"/>
      <c r="N748" s="447"/>
      <c r="O748" s="171"/>
      <c r="P748" s="103" t="s">
        <v>83</v>
      </c>
      <c r="Q748" s="15" t="s">
        <v>742</v>
      </c>
      <c r="R748" s="15" t="s">
        <v>84</v>
      </c>
    </row>
    <row r="749" spans="1:18" ht="10.5" customHeight="1" x14ac:dyDescent="0.3">
      <c r="A749" s="221" t="s">
        <v>873</v>
      </c>
      <c r="B749" s="208">
        <v>60</v>
      </c>
      <c r="C749" s="75" t="s">
        <v>874</v>
      </c>
      <c r="D749" s="76"/>
      <c r="E749" s="87" t="s">
        <v>126</v>
      </c>
      <c r="F749" s="151">
        <v>2.74</v>
      </c>
      <c r="G749" s="113">
        <f>F749*$F$10</f>
        <v>117.82000000000001</v>
      </c>
      <c r="H749" s="28">
        <f>G749-G749*0.2</f>
        <v>94.256</v>
      </c>
      <c r="I749" s="20"/>
      <c r="J749" s="30" t="s">
        <v>875</v>
      </c>
      <c r="K749" s="74">
        <v>10</v>
      </c>
      <c r="L749" s="75" t="s">
        <v>86</v>
      </c>
      <c r="M749" s="76">
        <v>50</v>
      </c>
      <c r="N749" s="87">
        <v>100</v>
      </c>
      <c r="O749" s="87"/>
      <c r="P749" s="78">
        <v>2.879828571428571</v>
      </c>
      <c r="Q749" s="113">
        <f>P749*$F$10</f>
        <v>123.83262857142856</v>
      </c>
      <c r="R749" s="72">
        <f>Q749-Q749*0.2</f>
        <v>99.066102857142852</v>
      </c>
    </row>
    <row r="750" spans="1:18" ht="10.5" customHeight="1" x14ac:dyDescent="0.3">
      <c r="A750" s="85" t="s">
        <v>876</v>
      </c>
      <c r="B750" s="204">
        <v>70</v>
      </c>
      <c r="C750" s="23" t="s">
        <v>874</v>
      </c>
      <c r="D750" s="24"/>
      <c r="E750" s="94" t="s">
        <v>126</v>
      </c>
      <c r="F750" s="26">
        <v>3.47</v>
      </c>
      <c r="G750" s="111">
        <f>F750*$F$10</f>
        <v>149.21</v>
      </c>
      <c r="H750" s="28">
        <f>G750-G750*0.2</f>
        <v>119.36800000000001</v>
      </c>
      <c r="I750" s="20"/>
      <c r="J750" s="20"/>
      <c r="K750" s="20"/>
      <c r="L750" s="20"/>
      <c r="M750" s="20"/>
      <c r="N750" s="20"/>
      <c r="O750" s="20"/>
      <c r="P750" s="20"/>
      <c r="Q750" s="20"/>
      <c r="R750" s="20"/>
    </row>
    <row r="751" spans="1:18" ht="10.5" customHeight="1" x14ac:dyDescent="0.3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</row>
    <row r="752" spans="1:18" ht="15" customHeight="1" x14ac:dyDescent="0.3">
      <c r="A752" s="448" t="s">
        <v>877</v>
      </c>
      <c r="B752" s="448"/>
      <c r="C752" s="448"/>
      <c r="D752" s="448"/>
      <c r="E752" s="448"/>
      <c r="F752" s="448"/>
      <c r="G752" s="448"/>
      <c r="H752" s="448"/>
      <c r="I752" s="448"/>
      <c r="J752" s="448"/>
      <c r="K752" s="448"/>
      <c r="L752" s="448"/>
      <c r="M752" s="448"/>
      <c r="N752" s="448"/>
      <c r="O752" s="448"/>
      <c r="P752" s="448"/>
      <c r="Q752" s="448"/>
      <c r="R752" s="448"/>
    </row>
    <row r="753" spans="1:18" ht="10.5" customHeight="1" x14ac:dyDescent="0.3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</row>
    <row r="754" spans="1:18" ht="10.5" customHeight="1" x14ac:dyDescent="0.3">
      <c r="A754" s="47" t="s">
        <v>878</v>
      </c>
      <c r="B754" s="48" t="s">
        <v>879</v>
      </c>
      <c r="C754" s="49"/>
      <c r="D754" s="49"/>
      <c r="E754" s="49"/>
      <c r="F754" s="49"/>
      <c r="G754" s="49"/>
      <c r="H754" s="49"/>
      <c r="I754" s="49"/>
      <c r="J754" s="446" t="s">
        <v>78</v>
      </c>
      <c r="K754" s="446" t="s">
        <v>79</v>
      </c>
      <c r="L754" s="446"/>
      <c r="M754" s="446"/>
      <c r="N754" s="447" t="s">
        <v>80</v>
      </c>
      <c r="O754" s="434"/>
      <c r="P754" s="61"/>
      <c r="Q754" s="16" t="s">
        <v>81</v>
      </c>
      <c r="R754" s="17" t="s">
        <v>82</v>
      </c>
    </row>
    <row r="755" spans="1:18" ht="10.5" customHeight="1" thickTop="1" x14ac:dyDescent="0.3">
      <c r="A755" s="84"/>
      <c r="B755" s="20"/>
      <c r="C755" s="20"/>
      <c r="D755" s="20"/>
      <c r="E755" s="20"/>
      <c r="F755" s="20"/>
      <c r="G755" s="20"/>
      <c r="H755" s="20"/>
      <c r="I755" s="20"/>
      <c r="J755" s="446"/>
      <c r="K755" s="446"/>
      <c r="L755" s="446"/>
      <c r="M755" s="446"/>
      <c r="N755" s="447"/>
      <c r="O755" s="171"/>
      <c r="P755" s="103" t="s">
        <v>83</v>
      </c>
      <c r="Q755" s="15" t="s">
        <v>742</v>
      </c>
      <c r="R755" s="15" t="s">
        <v>84</v>
      </c>
    </row>
    <row r="756" spans="1:18" ht="10.5" customHeight="1" x14ac:dyDescent="0.3">
      <c r="A756" s="18"/>
      <c r="B756" s="20"/>
      <c r="C756" s="20"/>
      <c r="D756" s="20"/>
      <c r="E756" s="20"/>
      <c r="F756" s="20"/>
      <c r="G756" s="20"/>
      <c r="H756" s="20"/>
      <c r="I756" s="20"/>
      <c r="J756" s="85" t="s">
        <v>880</v>
      </c>
      <c r="K756" s="51">
        <v>10</v>
      </c>
      <c r="L756" s="23" t="s">
        <v>86</v>
      </c>
      <c r="M756" s="24">
        <v>92</v>
      </c>
      <c r="N756" s="94">
        <v>100</v>
      </c>
      <c r="O756" s="330"/>
      <c r="P756" s="222">
        <v>13.97</v>
      </c>
      <c r="Q756" s="28">
        <f t="shared" ref="Q756:Q761" si="105">P756*$F$10</f>
        <v>600.71</v>
      </c>
      <c r="R756" s="72">
        <f t="shared" ref="R756:R761" si="106">Q756-Q756*0.2</f>
        <v>480.56800000000004</v>
      </c>
    </row>
    <row r="757" spans="1:18" ht="10.5" customHeight="1" x14ac:dyDescent="0.3">
      <c r="A757" s="18"/>
      <c r="B757" s="20"/>
      <c r="C757" s="20"/>
      <c r="D757" s="20"/>
      <c r="E757" s="20"/>
      <c r="F757" s="20"/>
      <c r="G757" s="20"/>
      <c r="H757" s="20"/>
      <c r="I757" s="20"/>
      <c r="J757" s="88" t="s">
        <v>881</v>
      </c>
      <c r="K757" s="51">
        <v>10</v>
      </c>
      <c r="L757" s="23" t="s">
        <v>86</v>
      </c>
      <c r="M757" s="24">
        <v>112</v>
      </c>
      <c r="N757" s="94">
        <v>100</v>
      </c>
      <c r="O757" s="330"/>
      <c r="P757" s="222">
        <v>16.61</v>
      </c>
      <c r="Q757" s="28">
        <f t="shared" si="105"/>
        <v>714.23</v>
      </c>
      <c r="R757" s="72">
        <f t="shared" si="106"/>
        <v>571.38400000000001</v>
      </c>
    </row>
    <row r="758" spans="1:18" ht="10.5" customHeight="1" thickBot="1" x14ac:dyDescent="0.35">
      <c r="A758" s="446" t="s">
        <v>78</v>
      </c>
      <c r="B758" s="446" t="s">
        <v>79</v>
      </c>
      <c r="C758" s="446"/>
      <c r="D758" s="446"/>
      <c r="E758" s="447" t="s">
        <v>80</v>
      </c>
      <c r="F758" s="61"/>
      <c r="G758" s="16" t="s">
        <v>81</v>
      </c>
      <c r="H758" s="17" t="s">
        <v>82</v>
      </c>
      <c r="I758" s="20"/>
      <c r="J758" s="85" t="s">
        <v>882</v>
      </c>
      <c r="K758" s="22">
        <v>10</v>
      </c>
      <c r="L758" s="23" t="s">
        <v>86</v>
      </c>
      <c r="M758" s="24">
        <v>132</v>
      </c>
      <c r="N758" s="94" t="s">
        <v>157</v>
      </c>
      <c r="O758" s="94"/>
      <c r="P758" s="26">
        <v>18.739999999999998</v>
      </c>
      <c r="Q758" s="28">
        <f t="shared" si="105"/>
        <v>805.81999999999994</v>
      </c>
      <c r="R758" s="72">
        <f t="shared" si="106"/>
        <v>644.65599999999995</v>
      </c>
    </row>
    <row r="759" spans="1:18" ht="10.5" customHeight="1" thickTop="1" x14ac:dyDescent="0.3">
      <c r="A759" s="446"/>
      <c r="B759" s="446"/>
      <c r="C759" s="446"/>
      <c r="D759" s="446"/>
      <c r="E759" s="447"/>
      <c r="F759" s="103" t="s">
        <v>83</v>
      </c>
      <c r="G759" s="15" t="s">
        <v>742</v>
      </c>
      <c r="H759" s="15" t="s">
        <v>84</v>
      </c>
      <c r="I759" s="20"/>
      <c r="J759" s="88" t="s">
        <v>883</v>
      </c>
      <c r="K759" s="22">
        <v>10</v>
      </c>
      <c r="L759" s="23" t="s">
        <v>86</v>
      </c>
      <c r="M759" s="24">
        <v>152</v>
      </c>
      <c r="N759" s="94" t="s">
        <v>157</v>
      </c>
      <c r="O759" s="94"/>
      <c r="P759" s="26">
        <v>21.4</v>
      </c>
      <c r="Q759" s="28">
        <f t="shared" si="105"/>
        <v>920.19999999999993</v>
      </c>
      <c r="R759" s="72">
        <f t="shared" si="106"/>
        <v>736.16</v>
      </c>
    </row>
    <row r="760" spans="1:18" ht="10.5" customHeight="1" x14ac:dyDescent="0.3">
      <c r="A760" s="88" t="s">
        <v>884</v>
      </c>
      <c r="B760" s="167">
        <v>10</v>
      </c>
      <c r="C760" s="75" t="s">
        <v>86</v>
      </c>
      <c r="D760" s="76">
        <v>52</v>
      </c>
      <c r="E760" s="427">
        <v>100</v>
      </c>
      <c r="F760" s="421">
        <v>9.7200000000000006</v>
      </c>
      <c r="G760" s="233">
        <f>F760*$F$10</f>
        <v>417.96000000000004</v>
      </c>
      <c r="H760" s="28">
        <f>G760-G760*0.2</f>
        <v>334.36800000000005</v>
      </c>
      <c r="I760" s="20"/>
      <c r="J760" s="85" t="s">
        <v>885</v>
      </c>
      <c r="K760" s="22">
        <v>10</v>
      </c>
      <c r="L760" s="23" t="s">
        <v>86</v>
      </c>
      <c r="M760" s="24">
        <v>182</v>
      </c>
      <c r="N760" s="94" t="s">
        <v>157</v>
      </c>
      <c r="O760" s="94"/>
      <c r="P760" s="26">
        <v>21.36</v>
      </c>
      <c r="Q760" s="28">
        <f t="shared" si="105"/>
        <v>918.48</v>
      </c>
      <c r="R760" s="72">
        <f t="shared" si="106"/>
        <v>734.78399999999999</v>
      </c>
    </row>
    <row r="761" spans="1:18" ht="10.5" customHeight="1" x14ac:dyDescent="0.3">
      <c r="A761" s="88" t="s">
        <v>886</v>
      </c>
      <c r="B761" s="167">
        <v>10</v>
      </c>
      <c r="C761" s="75" t="s">
        <v>86</v>
      </c>
      <c r="D761" s="76">
        <v>72</v>
      </c>
      <c r="E761" s="427">
        <v>100</v>
      </c>
      <c r="F761" s="421">
        <v>11.84</v>
      </c>
      <c r="G761" s="233">
        <f>F761*$F$10</f>
        <v>509.12</v>
      </c>
      <c r="H761" s="72">
        <f>G761-G761*0.2</f>
        <v>407.29599999999999</v>
      </c>
      <c r="I761" s="83"/>
      <c r="J761" s="88" t="s">
        <v>887</v>
      </c>
      <c r="K761" s="22">
        <v>10</v>
      </c>
      <c r="L761" s="23" t="s">
        <v>86</v>
      </c>
      <c r="M761" s="224">
        <v>202</v>
      </c>
      <c r="N761" s="66" t="s">
        <v>157</v>
      </c>
      <c r="O761" s="66"/>
      <c r="P761" s="26">
        <v>25.71</v>
      </c>
      <c r="Q761" s="28">
        <f t="shared" si="105"/>
        <v>1105.53</v>
      </c>
      <c r="R761" s="72">
        <f t="shared" si="106"/>
        <v>884.42399999999998</v>
      </c>
    </row>
    <row r="762" spans="1:18" ht="10.5" customHeight="1" x14ac:dyDescent="0.3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</row>
    <row r="763" spans="1:18" ht="10.5" customHeight="1" x14ac:dyDescent="0.3">
      <c r="A763" s="47" t="s">
        <v>888</v>
      </c>
      <c r="B763" s="48" t="s">
        <v>889</v>
      </c>
      <c r="C763" s="49"/>
      <c r="D763" s="49"/>
      <c r="E763" s="49"/>
      <c r="F763" s="49"/>
      <c r="G763" s="49"/>
      <c r="H763" s="50"/>
      <c r="I763" s="20"/>
      <c r="J763" s="47" t="s">
        <v>890</v>
      </c>
      <c r="K763" s="48" t="s">
        <v>891</v>
      </c>
      <c r="L763" s="49"/>
      <c r="M763" s="49"/>
      <c r="N763" s="49"/>
      <c r="O763" s="49"/>
      <c r="P763" s="49"/>
      <c r="Q763" s="49"/>
      <c r="R763" s="50"/>
    </row>
    <row r="764" spans="1:18" ht="10.5" customHeight="1" x14ac:dyDescent="0.3">
      <c r="A764" s="18"/>
      <c r="B764" s="20"/>
      <c r="C764" s="20"/>
      <c r="D764" s="20"/>
      <c r="E764" s="20"/>
      <c r="F764" s="20"/>
      <c r="G764" s="20"/>
      <c r="H764" s="101"/>
      <c r="I764" s="20"/>
      <c r="J764" s="18"/>
      <c r="K764" s="20"/>
      <c r="L764" s="20"/>
      <c r="M764" s="20"/>
      <c r="N764" s="20"/>
      <c r="O764" s="20"/>
      <c r="P764" s="20"/>
      <c r="Q764" s="20"/>
      <c r="R764" s="101"/>
    </row>
    <row r="765" spans="1:18" ht="10.5" customHeight="1" x14ac:dyDescent="0.3">
      <c r="A765" s="99" t="s">
        <v>457</v>
      </c>
      <c r="B765" s="20"/>
      <c r="C765" s="20"/>
      <c r="D765" s="20"/>
      <c r="E765" s="20"/>
      <c r="F765" s="20"/>
      <c r="G765" s="20"/>
      <c r="H765" s="101"/>
      <c r="I765" s="20"/>
      <c r="J765" s="18"/>
      <c r="K765" s="20"/>
      <c r="L765" s="20"/>
      <c r="M765" s="20"/>
      <c r="N765" s="20"/>
      <c r="O765" s="20"/>
      <c r="P765" s="20"/>
      <c r="Q765" s="20"/>
      <c r="R765" s="101"/>
    </row>
    <row r="766" spans="1:18" ht="10.5" customHeight="1" x14ac:dyDescent="0.3">
      <c r="A766" s="18"/>
      <c r="B766" s="20"/>
      <c r="C766" s="20"/>
      <c r="D766" s="20"/>
      <c r="E766" s="20"/>
      <c r="F766" s="20"/>
      <c r="G766" s="20"/>
      <c r="H766" s="101"/>
      <c r="I766" s="20"/>
      <c r="J766" s="18"/>
      <c r="K766" s="20"/>
      <c r="L766" s="20"/>
      <c r="M766" s="20"/>
      <c r="N766" s="20"/>
      <c r="O766" s="20"/>
      <c r="P766" s="20"/>
      <c r="Q766" s="20"/>
      <c r="R766" s="101"/>
    </row>
    <row r="767" spans="1:18" ht="10.5" customHeight="1" x14ac:dyDescent="0.3">
      <c r="A767" s="18"/>
      <c r="B767" s="20"/>
      <c r="C767" s="20"/>
      <c r="D767" s="20"/>
      <c r="E767" s="20"/>
      <c r="F767" s="20"/>
      <c r="G767" s="20"/>
      <c r="H767" s="101"/>
      <c r="I767" s="20"/>
      <c r="J767" s="18"/>
      <c r="K767" s="20"/>
      <c r="L767" s="20"/>
      <c r="M767" s="20"/>
      <c r="N767" s="20"/>
      <c r="O767" s="20"/>
      <c r="P767" s="20"/>
      <c r="Q767" s="20"/>
      <c r="R767" s="101"/>
    </row>
    <row r="768" spans="1:18" ht="10.5" customHeight="1" x14ac:dyDescent="0.3">
      <c r="A768" s="446" t="s">
        <v>78</v>
      </c>
      <c r="B768" s="446" t="s">
        <v>79</v>
      </c>
      <c r="C768" s="446"/>
      <c r="D768" s="446"/>
      <c r="E768" s="447" t="s">
        <v>80</v>
      </c>
      <c r="F768" s="61"/>
      <c r="G768" s="16" t="s">
        <v>81</v>
      </c>
      <c r="H768" s="17" t="s">
        <v>82</v>
      </c>
      <c r="I768" s="20"/>
      <c r="J768" s="446" t="s">
        <v>78</v>
      </c>
      <c r="K768" s="446" t="s">
        <v>79</v>
      </c>
      <c r="L768" s="446"/>
      <c r="M768" s="446"/>
      <c r="N768" s="447" t="s">
        <v>80</v>
      </c>
      <c r="O768" s="434"/>
      <c r="P768" s="61"/>
      <c r="Q768" s="16" t="s">
        <v>81</v>
      </c>
      <c r="R768" s="17" t="s">
        <v>82</v>
      </c>
    </row>
    <row r="769" spans="1:18" ht="10.5" customHeight="1" x14ac:dyDescent="0.3">
      <c r="A769" s="446"/>
      <c r="B769" s="446"/>
      <c r="C769" s="446"/>
      <c r="D769" s="446"/>
      <c r="E769" s="447"/>
      <c r="F769" s="103" t="s">
        <v>83</v>
      </c>
      <c r="G769" s="15" t="s">
        <v>742</v>
      </c>
      <c r="H769" s="15" t="s">
        <v>84</v>
      </c>
      <c r="I769" s="20"/>
      <c r="J769" s="446"/>
      <c r="K769" s="446"/>
      <c r="L769" s="446"/>
      <c r="M769" s="446"/>
      <c r="N769" s="447"/>
      <c r="O769" s="369"/>
      <c r="P769" s="68" t="s">
        <v>83</v>
      </c>
      <c r="Q769" s="15" t="s">
        <v>742</v>
      </c>
      <c r="R769" s="15" t="s">
        <v>84</v>
      </c>
    </row>
    <row r="770" spans="1:18" ht="10.5" customHeight="1" x14ac:dyDescent="0.3">
      <c r="A770" s="225" t="s">
        <v>892</v>
      </c>
      <c r="B770" s="462" t="s">
        <v>893</v>
      </c>
      <c r="C770" s="462"/>
      <c r="D770" s="462"/>
      <c r="E770" s="87">
        <v>100</v>
      </c>
      <c r="F770" s="78">
        <v>1.18</v>
      </c>
      <c r="G770" s="72">
        <f>F770*$F$10</f>
        <v>50.739999999999995</v>
      </c>
      <c r="H770" s="28">
        <f>G770-G770*0.2</f>
        <v>40.591999999999999</v>
      </c>
      <c r="I770" s="20"/>
      <c r="J770" s="225" t="s">
        <v>894</v>
      </c>
      <c r="K770" s="462" t="s">
        <v>895</v>
      </c>
      <c r="L770" s="462"/>
      <c r="M770" s="462"/>
      <c r="N770" s="87">
        <v>100</v>
      </c>
      <c r="O770" s="87"/>
      <c r="P770" s="78"/>
      <c r="Q770" s="126">
        <v>33.75</v>
      </c>
      <c r="R770" s="72">
        <f>Q770-Q770*0.2</f>
        <v>27</v>
      </c>
    </row>
    <row r="771" spans="1:18" ht="10.5" customHeight="1" x14ac:dyDescent="0.3">
      <c r="A771" s="121" t="s">
        <v>896</v>
      </c>
      <c r="B771" s="463" t="s">
        <v>897</v>
      </c>
      <c r="C771" s="463"/>
      <c r="D771" s="463"/>
      <c r="E771" s="94">
        <v>100</v>
      </c>
      <c r="F771" s="78">
        <v>1.18</v>
      </c>
      <c r="G771" s="72">
        <f>F771*$F$10</f>
        <v>50.739999999999995</v>
      </c>
      <c r="H771" s="28">
        <f>G771-G771*0.2</f>
        <v>40.591999999999999</v>
      </c>
      <c r="I771" s="20"/>
      <c r="J771" s="121" t="s">
        <v>898</v>
      </c>
      <c r="K771" s="463" t="s">
        <v>899</v>
      </c>
      <c r="L771" s="463"/>
      <c r="M771" s="463"/>
      <c r="N771" s="94">
        <v>100</v>
      </c>
      <c r="O771" s="94"/>
      <c r="P771" s="26"/>
      <c r="Q771" s="130">
        <v>33.75</v>
      </c>
      <c r="R771" s="28">
        <f>Q771-Q771*0.2</f>
        <v>27</v>
      </c>
    </row>
    <row r="772" spans="1:18" ht="10.5" customHeight="1" x14ac:dyDescent="0.3">
      <c r="A772" s="121" t="s">
        <v>900</v>
      </c>
      <c r="B772" s="463" t="s">
        <v>899</v>
      </c>
      <c r="C772" s="463"/>
      <c r="D772" s="463"/>
      <c r="E772" s="94">
        <v>100</v>
      </c>
      <c r="F772" s="78">
        <v>1.18</v>
      </c>
      <c r="G772" s="72">
        <f>F772*$F$10</f>
        <v>50.739999999999995</v>
      </c>
      <c r="H772" s="28">
        <f>G772-G772*0.2</f>
        <v>40.591999999999999</v>
      </c>
      <c r="I772" s="20"/>
      <c r="J772" s="20"/>
      <c r="K772" s="20"/>
      <c r="L772" s="20"/>
      <c r="M772" s="20"/>
      <c r="N772" s="20"/>
      <c r="O772" s="20"/>
      <c r="P772" s="20"/>
      <c r="Q772" s="20"/>
      <c r="R772" s="20"/>
    </row>
    <row r="773" spans="1:18" ht="10.5" customHeight="1" x14ac:dyDescent="0.3">
      <c r="A773" s="121" t="s">
        <v>901</v>
      </c>
      <c r="B773" s="463" t="s">
        <v>902</v>
      </c>
      <c r="C773" s="463"/>
      <c r="D773" s="463"/>
      <c r="E773" s="94">
        <v>100</v>
      </c>
      <c r="F773" s="78">
        <v>1.18</v>
      </c>
      <c r="G773" s="72">
        <f>F773*$F$10</f>
        <v>50.739999999999995</v>
      </c>
      <c r="H773" s="28">
        <f>G773-G773*0.2</f>
        <v>40.591999999999999</v>
      </c>
      <c r="I773" s="20"/>
      <c r="J773" s="20"/>
      <c r="K773" s="20"/>
      <c r="L773" s="20"/>
      <c r="M773" s="20"/>
      <c r="N773" s="20"/>
      <c r="O773" s="20"/>
      <c r="P773" s="20"/>
      <c r="Q773" s="20"/>
      <c r="R773" s="20"/>
    </row>
    <row r="774" spans="1:18" ht="10.5" customHeight="1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</row>
    <row r="775" spans="1:18" ht="10.5" customHeight="1" x14ac:dyDescent="0.3">
      <c r="A775" s="47" t="s">
        <v>903</v>
      </c>
      <c r="B775" s="49"/>
      <c r="C775" s="49"/>
      <c r="D775" s="49"/>
      <c r="E775" s="49"/>
      <c r="F775" s="49"/>
      <c r="G775" s="49"/>
      <c r="H775" s="50"/>
      <c r="I775" s="20"/>
      <c r="J775" s="47" t="s">
        <v>904</v>
      </c>
      <c r="K775" s="49"/>
      <c r="L775" s="49"/>
      <c r="M775" s="49"/>
      <c r="N775" s="49"/>
      <c r="O775" s="49"/>
      <c r="P775" s="49"/>
      <c r="Q775" s="49"/>
      <c r="R775" s="50"/>
    </row>
    <row r="776" spans="1:18" ht="10.5" customHeight="1" x14ac:dyDescent="0.3">
      <c r="A776" s="99" t="s">
        <v>905</v>
      </c>
      <c r="B776" s="20"/>
      <c r="C776" s="20"/>
      <c r="D776" s="20"/>
      <c r="E776" s="20"/>
      <c r="F776" s="20"/>
      <c r="G776" s="20"/>
      <c r="H776" s="101"/>
      <c r="I776" s="20"/>
      <c r="J776" s="178" t="s">
        <v>906</v>
      </c>
      <c r="K776" s="20"/>
      <c r="L776" s="20"/>
      <c r="M776" s="20"/>
      <c r="N776" s="20"/>
      <c r="O776" s="20"/>
      <c r="P776" s="20"/>
      <c r="Q776" s="20"/>
      <c r="R776" s="101"/>
    </row>
    <row r="777" spans="1:18" ht="10.5" customHeight="1" x14ac:dyDescent="0.3">
      <c r="A777" s="18"/>
      <c r="B777" s="20"/>
      <c r="C777" s="20"/>
      <c r="D777" s="20"/>
      <c r="E777" s="20"/>
      <c r="F777" s="20"/>
      <c r="G777" s="20"/>
      <c r="H777" s="101"/>
      <c r="I777" s="20"/>
      <c r="J777" s="18"/>
      <c r="K777" s="20"/>
      <c r="L777" s="20"/>
      <c r="M777" s="20"/>
      <c r="N777" s="20"/>
      <c r="O777" s="20"/>
      <c r="P777" s="20"/>
      <c r="Q777" s="20"/>
      <c r="R777" s="101"/>
    </row>
    <row r="778" spans="1:18" ht="10.5" customHeight="1" x14ac:dyDescent="0.3">
      <c r="A778" s="18"/>
      <c r="B778" s="20"/>
      <c r="C778" s="20"/>
      <c r="D778" s="20"/>
      <c r="E778" s="20"/>
      <c r="F778" s="20"/>
      <c r="G778" s="20"/>
      <c r="H778" s="101"/>
      <c r="I778" s="20"/>
      <c r="J778" s="18"/>
      <c r="K778" s="20"/>
      <c r="L778" s="20"/>
      <c r="M778" s="20"/>
      <c r="N778" s="20"/>
      <c r="O778" s="20"/>
      <c r="P778" s="20"/>
      <c r="Q778" s="20"/>
      <c r="R778" s="101"/>
    </row>
    <row r="779" spans="1:18" ht="10.5" customHeight="1" x14ac:dyDescent="0.3">
      <c r="A779" s="226" t="s">
        <v>412</v>
      </c>
      <c r="B779" s="20"/>
      <c r="C779" s="20"/>
      <c r="D779" s="20"/>
      <c r="E779" s="20"/>
      <c r="F779" s="20"/>
      <c r="G779" s="20"/>
      <c r="H779" s="101"/>
      <c r="I779" s="20"/>
      <c r="J779" s="18"/>
      <c r="K779" s="20"/>
      <c r="L779" s="20"/>
      <c r="M779" s="20"/>
      <c r="N779" s="20"/>
      <c r="O779" s="20"/>
      <c r="P779" s="20"/>
      <c r="Q779" s="20"/>
      <c r="R779" s="101"/>
    </row>
    <row r="780" spans="1:18" ht="10.5" customHeight="1" x14ac:dyDescent="0.3">
      <c r="A780" s="452" t="s">
        <v>78</v>
      </c>
      <c r="B780" s="452" t="s">
        <v>79</v>
      </c>
      <c r="C780" s="452"/>
      <c r="D780" s="452"/>
      <c r="E780" s="453" t="s">
        <v>80</v>
      </c>
      <c r="F780" s="61"/>
      <c r="G780" s="16" t="s">
        <v>81</v>
      </c>
      <c r="H780" s="17" t="s">
        <v>82</v>
      </c>
      <c r="I780" s="20"/>
      <c r="J780" s="446" t="s">
        <v>78</v>
      </c>
      <c r="K780" s="446" t="s">
        <v>79</v>
      </c>
      <c r="L780" s="446"/>
      <c r="M780" s="446"/>
      <c r="N780" s="447" t="s">
        <v>80</v>
      </c>
      <c r="O780" s="434"/>
      <c r="P780" s="61"/>
      <c r="Q780" s="16" t="s">
        <v>81</v>
      </c>
      <c r="R780" s="17" t="s">
        <v>82</v>
      </c>
    </row>
    <row r="781" spans="1:18" ht="10.5" customHeight="1" thickTop="1" x14ac:dyDescent="0.3">
      <c r="A781" s="452"/>
      <c r="B781" s="452"/>
      <c r="C781" s="452"/>
      <c r="D781" s="452"/>
      <c r="E781" s="453"/>
      <c r="F781" s="103" t="s">
        <v>83</v>
      </c>
      <c r="G781" s="104" t="s">
        <v>742</v>
      </c>
      <c r="H781" s="15" t="s">
        <v>84</v>
      </c>
      <c r="I781" s="20"/>
      <c r="J781" s="446"/>
      <c r="K781" s="446"/>
      <c r="L781" s="446"/>
      <c r="M781" s="446"/>
      <c r="N781" s="447"/>
      <c r="O781" s="369"/>
      <c r="P781" s="68" t="s">
        <v>83</v>
      </c>
      <c r="Q781" s="15" t="s">
        <v>742</v>
      </c>
      <c r="R781" s="15" t="s">
        <v>84</v>
      </c>
    </row>
    <row r="782" spans="1:18" ht="10.5" customHeight="1" x14ac:dyDescent="0.3">
      <c r="A782" s="79" t="s">
        <v>907</v>
      </c>
      <c r="B782" s="227" t="s">
        <v>908</v>
      </c>
      <c r="C782" s="23"/>
      <c r="D782" s="24"/>
      <c r="E782" s="94">
        <v>100</v>
      </c>
      <c r="F782" s="26">
        <v>4.71</v>
      </c>
      <c r="G782" s="28">
        <f t="shared" ref="G782:G787" si="107">F782*$F$10</f>
        <v>202.53</v>
      </c>
      <c r="H782" s="28">
        <f t="shared" ref="H782:H787" si="108">G782-G782*0.15</f>
        <v>172.15049999999999</v>
      </c>
      <c r="I782" s="20"/>
      <c r="J782" s="225" t="s">
        <v>909</v>
      </c>
      <c r="K782" s="74">
        <v>6</v>
      </c>
      <c r="L782" s="75" t="s">
        <v>86</v>
      </c>
      <c r="M782" s="76">
        <v>40</v>
      </c>
      <c r="N782" s="87">
        <v>100</v>
      </c>
      <c r="O782" s="87"/>
      <c r="P782" s="78">
        <v>5.46</v>
      </c>
      <c r="Q782" s="113">
        <f>P782*$F$10</f>
        <v>234.78</v>
      </c>
      <c r="R782" s="72">
        <f>Q782-Q782*0.2</f>
        <v>187.82400000000001</v>
      </c>
    </row>
    <row r="783" spans="1:18" ht="10.5" customHeight="1" x14ac:dyDescent="0.3">
      <c r="A783" s="79" t="s">
        <v>910</v>
      </c>
      <c r="B783" s="227" t="s">
        <v>911</v>
      </c>
      <c r="C783" s="23"/>
      <c r="D783" s="24"/>
      <c r="E783" s="94">
        <v>100</v>
      </c>
      <c r="F783" s="26">
        <v>6.83</v>
      </c>
      <c r="G783" s="111">
        <f t="shared" si="107"/>
        <v>293.69</v>
      </c>
      <c r="H783" s="72">
        <f t="shared" si="108"/>
        <v>249.63650000000001</v>
      </c>
      <c r="I783" s="20"/>
      <c r="J783" s="121" t="str">
        <f>0&amp;3016&amp;K783*10&amp;M783</f>
        <v>030166070</v>
      </c>
      <c r="K783" s="22">
        <v>6</v>
      </c>
      <c r="L783" s="23" t="s">
        <v>86</v>
      </c>
      <c r="M783" s="24">
        <v>70</v>
      </c>
      <c r="N783" s="66">
        <v>100</v>
      </c>
      <c r="O783" s="66"/>
      <c r="P783" s="26">
        <v>9.83</v>
      </c>
      <c r="Q783" s="111">
        <f>P783*$F$10</f>
        <v>422.69</v>
      </c>
      <c r="R783" s="28">
        <f>Q783-Q783*0.2</f>
        <v>338.15199999999999</v>
      </c>
    </row>
    <row r="784" spans="1:18" ht="10.5" customHeight="1" x14ac:dyDescent="0.3">
      <c r="A784" s="79" t="s">
        <v>912</v>
      </c>
      <c r="B784" s="227" t="s">
        <v>913</v>
      </c>
      <c r="C784" s="23"/>
      <c r="D784" s="24"/>
      <c r="E784" s="94">
        <v>50</v>
      </c>
      <c r="F784" s="26">
        <v>12.13</v>
      </c>
      <c r="G784" s="28">
        <f t="shared" si="107"/>
        <v>521.59</v>
      </c>
      <c r="H784" s="72">
        <f t="shared" si="108"/>
        <v>443.35150000000004</v>
      </c>
      <c r="I784" s="20"/>
      <c r="J784" s="20"/>
      <c r="K784" s="20"/>
      <c r="L784" s="20"/>
      <c r="M784" s="20"/>
      <c r="N784" s="20"/>
      <c r="O784" s="20"/>
      <c r="P784" s="20"/>
      <c r="Q784" s="20"/>
      <c r="R784" s="20"/>
    </row>
    <row r="785" spans="1:18" ht="10.5" customHeight="1" x14ac:dyDescent="0.3">
      <c r="A785" s="79" t="s">
        <v>914</v>
      </c>
      <c r="B785" s="227" t="s">
        <v>915</v>
      </c>
      <c r="C785" s="23"/>
      <c r="D785" s="24"/>
      <c r="E785" s="94">
        <v>50</v>
      </c>
      <c r="F785" s="26">
        <v>25.01</v>
      </c>
      <c r="G785" s="28">
        <f t="shared" si="107"/>
        <v>1075.43</v>
      </c>
      <c r="H785" s="72">
        <f t="shared" si="108"/>
        <v>914.11550000000011</v>
      </c>
      <c r="I785" s="20"/>
      <c r="J785" s="20"/>
      <c r="K785" s="20"/>
      <c r="L785" s="20"/>
      <c r="M785" s="20"/>
      <c r="N785" s="20"/>
      <c r="O785" s="20"/>
      <c r="P785" s="20"/>
      <c r="Q785" s="20"/>
      <c r="R785" s="20"/>
    </row>
    <row r="786" spans="1:18" ht="10.5" customHeight="1" x14ac:dyDescent="0.3">
      <c r="A786" s="79" t="s">
        <v>916</v>
      </c>
      <c r="B786" s="227" t="s">
        <v>917</v>
      </c>
      <c r="C786" s="23"/>
      <c r="D786" s="24"/>
      <c r="E786" s="94">
        <v>25</v>
      </c>
      <c r="F786" s="26">
        <v>48.86</v>
      </c>
      <c r="G786" s="28">
        <f t="shared" si="107"/>
        <v>2100.98</v>
      </c>
      <c r="H786" s="72">
        <f t="shared" si="108"/>
        <v>1785.8330000000001</v>
      </c>
      <c r="I786" s="20"/>
      <c r="J786" s="20"/>
      <c r="K786" s="20"/>
      <c r="L786" s="20"/>
      <c r="M786" s="20"/>
      <c r="N786" s="20"/>
      <c r="O786" s="20"/>
      <c r="P786" s="20"/>
      <c r="Q786" s="20"/>
      <c r="R786" s="20"/>
    </row>
    <row r="787" spans="1:18" ht="10.5" customHeight="1" x14ac:dyDescent="0.3">
      <c r="A787" s="79" t="s">
        <v>918</v>
      </c>
      <c r="B787" s="227" t="s">
        <v>919</v>
      </c>
      <c r="C787" s="23"/>
      <c r="D787" s="24"/>
      <c r="E787" s="94">
        <v>25</v>
      </c>
      <c r="F787" s="26">
        <v>133.71</v>
      </c>
      <c r="G787" s="28">
        <f t="shared" si="107"/>
        <v>5749.5300000000007</v>
      </c>
      <c r="H787" s="72">
        <f t="shared" si="108"/>
        <v>4887.1005000000005</v>
      </c>
      <c r="I787" s="20"/>
      <c r="J787" s="20"/>
      <c r="K787" s="20"/>
      <c r="L787" s="20"/>
      <c r="M787" s="20"/>
      <c r="N787" s="20"/>
      <c r="O787" s="20"/>
      <c r="P787" s="20"/>
      <c r="Q787" s="20"/>
      <c r="R787" s="20"/>
    </row>
    <row r="788" spans="1:18" ht="10.5" customHeight="1" x14ac:dyDescent="0.3">
      <c r="A788" s="39"/>
      <c r="B788" s="96"/>
      <c r="C788" s="41"/>
      <c r="D788" s="42"/>
      <c r="E788" s="97"/>
      <c r="F788" s="44"/>
      <c r="G788" s="46"/>
      <c r="H788" s="46"/>
      <c r="I788" s="20"/>
      <c r="J788" s="20"/>
      <c r="K788" s="20"/>
      <c r="L788" s="20"/>
      <c r="M788" s="20"/>
      <c r="N788" s="20"/>
      <c r="O788" s="20"/>
      <c r="P788" s="20"/>
      <c r="Q788" s="20"/>
      <c r="R788" s="20"/>
    </row>
    <row r="789" spans="1:18" ht="10.5" customHeight="1" x14ac:dyDescent="0.3">
      <c r="A789" s="39"/>
      <c r="B789" s="96"/>
      <c r="C789" s="41"/>
      <c r="D789" s="42"/>
      <c r="E789" s="97"/>
      <c r="F789" s="44"/>
      <c r="G789" s="46"/>
      <c r="H789" s="46"/>
      <c r="I789" s="20"/>
      <c r="J789" s="20"/>
      <c r="K789" s="20"/>
      <c r="L789" s="20"/>
      <c r="M789" s="20"/>
      <c r="N789" s="20"/>
      <c r="O789" s="20"/>
      <c r="P789" s="20"/>
      <c r="Q789" s="20"/>
      <c r="R789" s="20"/>
    </row>
    <row r="790" spans="1:18" ht="10.5" customHeight="1" x14ac:dyDescent="0.3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</row>
    <row r="791" spans="1:18" ht="10.5" customHeight="1" x14ac:dyDescent="0.3">
      <c r="A791" s="47" t="s">
        <v>920</v>
      </c>
      <c r="B791" s="49"/>
      <c r="C791" s="49"/>
      <c r="D791" s="49"/>
      <c r="E791" s="49"/>
      <c r="F791" s="49"/>
      <c r="G791" s="49"/>
      <c r="H791" s="50"/>
      <c r="I791" s="49"/>
      <c r="J791" s="209"/>
      <c r="K791" s="49"/>
      <c r="L791" s="49"/>
      <c r="M791" s="49"/>
      <c r="N791" s="228" t="s">
        <v>921</v>
      </c>
      <c r="O791" s="228"/>
      <c r="P791" s="49"/>
      <c r="Q791" s="49"/>
      <c r="R791" s="50"/>
    </row>
    <row r="792" spans="1:18" ht="10.5" customHeight="1" x14ac:dyDescent="0.3">
      <c r="A792" s="99" t="s">
        <v>922</v>
      </c>
      <c r="B792" s="20"/>
      <c r="C792" s="20"/>
      <c r="D792" s="20"/>
      <c r="E792" s="20"/>
      <c r="F792" s="20"/>
      <c r="G792" s="20"/>
      <c r="H792" s="101"/>
      <c r="I792" s="20"/>
      <c r="J792" s="18"/>
      <c r="K792" s="20"/>
      <c r="L792" s="20"/>
      <c r="M792" s="20"/>
      <c r="N792" s="20"/>
      <c r="O792" s="20"/>
      <c r="P792" s="20"/>
      <c r="Q792" s="20"/>
      <c r="R792" s="101"/>
    </row>
    <row r="793" spans="1:18" ht="10.5" customHeight="1" x14ac:dyDescent="0.3">
      <c r="A793" s="99" t="s">
        <v>457</v>
      </c>
      <c r="B793" s="20"/>
      <c r="C793" s="20"/>
      <c r="D793" s="20"/>
      <c r="E793" s="20"/>
      <c r="F793" s="20"/>
      <c r="G793" s="20"/>
      <c r="H793" s="101"/>
      <c r="I793" s="20"/>
      <c r="J793" s="18"/>
      <c r="K793" s="20"/>
      <c r="L793" s="20"/>
      <c r="M793" s="20"/>
      <c r="N793" s="20"/>
      <c r="O793" s="20"/>
      <c r="P793" s="20"/>
      <c r="Q793" s="20"/>
      <c r="R793" s="101"/>
    </row>
    <row r="794" spans="1:18" ht="10.5" customHeight="1" x14ac:dyDescent="0.3">
      <c r="A794" s="18"/>
      <c r="B794" s="20"/>
      <c r="C794" s="20"/>
      <c r="D794" s="20"/>
      <c r="E794" s="20"/>
      <c r="F794" s="20"/>
      <c r="G794" s="20"/>
      <c r="H794" s="101"/>
      <c r="I794" s="20"/>
      <c r="J794" s="18"/>
      <c r="K794" s="20"/>
      <c r="L794" s="20"/>
      <c r="M794" s="20"/>
      <c r="N794" s="20"/>
      <c r="O794" s="20"/>
      <c r="P794" s="20"/>
      <c r="Q794" s="20"/>
      <c r="R794" s="101"/>
    </row>
    <row r="795" spans="1:18" ht="10.5" customHeight="1" x14ac:dyDescent="0.3">
      <c r="A795" s="18"/>
      <c r="B795" s="20"/>
      <c r="C795" s="20"/>
      <c r="D795" s="20"/>
      <c r="E795" s="20"/>
      <c r="F795" s="20"/>
      <c r="G795" s="20"/>
      <c r="H795" s="101"/>
      <c r="I795" s="20"/>
      <c r="J795" s="18"/>
      <c r="K795" s="20"/>
      <c r="L795" s="20"/>
      <c r="M795" s="20"/>
      <c r="N795" s="20"/>
      <c r="O795" s="20"/>
      <c r="P795" s="20"/>
      <c r="Q795" s="20"/>
      <c r="R795" s="101"/>
    </row>
    <row r="796" spans="1:18" ht="10.5" customHeight="1" x14ac:dyDescent="0.3">
      <c r="A796" s="446" t="s">
        <v>78</v>
      </c>
      <c r="B796" s="446" t="s">
        <v>79</v>
      </c>
      <c r="C796" s="446"/>
      <c r="D796" s="446"/>
      <c r="E796" s="447" t="s">
        <v>80</v>
      </c>
      <c r="F796" s="61"/>
      <c r="G796" s="16" t="s">
        <v>81</v>
      </c>
      <c r="H796" s="17" t="s">
        <v>82</v>
      </c>
      <c r="I796" s="20"/>
      <c r="J796" s="452" t="s">
        <v>78</v>
      </c>
      <c r="K796" s="452" t="s">
        <v>79</v>
      </c>
      <c r="L796" s="452"/>
      <c r="M796" s="452"/>
      <c r="N796" s="453" t="s">
        <v>80</v>
      </c>
      <c r="O796" s="434"/>
      <c r="P796" s="61"/>
      <c r="Q796" s="16" t="s">
        <v>81</v>
      </c>
      <c r="R796" s="17" t="s">
        <v>82</v>
      </c>
    </row>
    <row r="797" spans="1:18" ht="10.5" customHeight="1" thickTop="1" x14ac:dyDescent="0.3">
      <c r="A797" s="446"/>
      <c r="B797" s="446"/>
      <c r="C797" s="446"/>
      <c r="D797" s="446"/>
      <c r="E797" s="447"/>
      <c r="F797" s="68" t="s">
        <v>83</v>
      </c>
      <c r="G797" s="15" t="s">
        <v>742</v>
      </c>
      <c r="H797" s="15" t="s">
        <v>84</v>
      </c>
      <c r="I797" s="20"/>
      <c r="J797" s="452"/>
      <c r="K797" s="452"/>
      <c r="L797" s="452"/>
      <c r="M797" s="452"/>
      <c r="N797" s="453"/>
      <c r="O797" s="171"/>
      <c r="P797" s="103" t="s">
        <v>83</v>
      </c>
      <c r="Q797" s="104" t="s">
        <v>742</v>
      </c>
      <c r="R797" s="15" t="s">
        <v>84</v>
      </c>
    </row>
    <row r="798" spans="1:18" ht="10.5" customHeight="1" x14ac:dyDescent="0.3">
      <c r="A798" s="73" t="s">
        <v>923</v>
      </c>
      <c r="B798" s="74">
        <v>4</v>
      </c>
      <c r="C798" s="75" t="s">
        <v>86</v>
      </c>
      <c r="D798" s="76">
        <v>25</v>
      </c>
      <c r="E798" s="87">
        <v>200</v>
      </c>
      <c r="F798" s="78">
        <v>10.99</v>
      </c>
      <c r="G798" s="113">
        <f t="shared" ref="G798:G811" si="109">F798*$F$10</f>
        <v>472.57</v>
      </c>
      <c r="H798" s="28">
        <f t="shared" ref="H798:H811" si="110">G798-G798*0.2</f>
        <v>378.05599999999998</v>
      </c>
      <c r="I798" s="20"/>
      <c r="J798" s="79" t="str">
        <f>0&amp;3025&amp;K798&amp;0&amp;M798</f>
        <v>030254032</v>
      </c>
      <c r="K798" s="22">
        <v>4</v>
      </c>
      <c r="L798" s="23" t="s">
        <v>86</v>
      </c>
      <c r="M798" s="24">
        <v>32</v>
      </c>
      <c r="N798" s="94">
        <v>100</v>
      </c>
      <c r="O798" s="94"/>
      <c r="P798" s="26">
        <v>17.579999999999998</v>
      </c>
      <c r="Q798" s="28">
        <f>P798*$F$10</f>
        <v>755.93999999999994</v>
      </c>
      <c r="R798" s="72">
        <f>Q798-Q798*0.2</f>
        <v>604.75199999999995</v>
      </c>
    </row>
    <row r="799" spans="1:18" ht="10.5" customHeight="1" x14ac:dyDescent="0.3">
      <c r="A799" s="79" t="s">
        <v>924</v>
      </c>
      <c r="B799" s="22">
        <v>4</v>
      </c>
      <c r="C799" s="23" t="s">
        <v>86</v>
      </c>
      <c r="D799" s="24">
        <v>38</v>
      </c>
      <c r="E799" s="94" t="s">
        <v>925</v>
      </c>
      <c r="F799" s="26">
        <v>11.3</v>
      </c>
      <c r="G799" s="111">
        <f t="shared" si="109"/>
        <v>485.90000000000003</v>
      </c>
      <c r="H799" s="28">
        <f t="shared" si="110"/>
        <v>388.72</v>
      </c>
      <c r="I799" s="20"/>
      <c r="J799" s="18"/>
      <c r="K799" s="20"/>
      <c r="L799" s="20"/>
      <c r="M799" s="20"/>
      <c r="N799" s="20"/>
      <c r="O799" s="20"/>
      <c r="P799" s="20"/>
      <c r="Q799" s="20"/>
      <c r="R799" s="101"/>
    </row>
    <row r="800" spans="1:18" ht="10.5" customHeight="1" x14ac:dyDescent="0.3">
      <c r="A800" s="79" t="s">
        <v>926</v>
      </c>
      <c r="B800" s="22">
        <v>4</v>
      </c>
      <c r="C800" s="23" t="s">
        <v>86</v>
      </c>
      <c r="D800" s="24">
        <v>45</v>
      </c>
      <c r="E800" s="94">
        <v>100</v>
      </c>
      <c r="F800" s="26">
        <v>12.72</v>
      </c>
      <c r="G800" s="111">
        <f t="shared" si="109"/>
        <v>546.96</v>
      </c>
      <c r="H800" s="28">
        <f t="shared" si="110"/>
        <v>437.56800000000004</v>
      </c>
      <c r="I800" s="20"/>
      <c r="J800" s="18"/>
      <c r="K800" s="20"/>
      <c r="L800" s="20"/>
      <c r="M800" s="20"/>
      <c r="N800" s="229" t="s">
        <v>927</v>
      </c>
      <c r="O800" s="229"/>
      <c r="P800" s="20"/>
      <c r="Q800" s="20"/>
      <c r="R800" s="101"/>
    </row>
    <row r="801" spans="1:18" ht="10.5" customHeight="1" x14ac:dyDescent="0.3">
      <c r="A801" s="79" t="s">
        <v>928</v>
      </c>
      <c r="B801" s="22">
        <v>4</v>
      </c>
      <c r="C801" s="23" t="s">
        <v>86</v>
      </c>
      <c r="D801" s="24">
        <v>52</v>
      </c>
      <c r="E801" s="94" t="s">
        <v>929</v>
      </c>
      <c r="F801" s="26">
        <v>18.37</v>
      </c>
      <c r="G801" s="111">
        <f t="shared" si="109"/>
        <v>789.91000000000008</v>
      </c>
      <c r="H801" s="28">
        <f t="shared" si="110"/>
        <v>631.92800000000011</v>
      </c>
      <c r="I801" s="20"/>
      <c r="J801" s="18"/>
      <c r="K801" s="20"/>
      <c r="L801" s="20"/>
      <c r="M801" s="20"/>
      <c r="N801" s="20"/>
      <c r="O801" s="20"/>
      <c r="P801" s="20"/>
      <c r="Q801" s="20"/>
      <c r="R801" s="101"/>
    </row>
    <row r="802" spans="1:18" ht="10.5" customHeight="1" x14ac:dyDescent="0.3">
      <c r="A802" s="79" t="s">
        <v>930</v>
      </c>
      <c r="B802" s="22">
        <v>4</v>
      </c>
      <c r="C802" s="23" t="s">
        <v>86</v>
      </c>
      <c r="D802" s="24">
        <v>65</v>
      </c>
      <c r="E802" s="94">
        <v>100</v>
      </c>
      <c r="F802" s="26">
        <v>19.940000000000001</v>
      </c>
      <c r="G802" s="111">
        <f t="shared" si="109"/>
        <v>857.42000000000007</v>
      </c>
      <c r="H802" s="28">
        <f t="shared" si="110"/>
        <v>685.93600000000004</v>
      </c>
      <c r="I802" s="20"/>
      <c r="J802" s="18"/>
      <c r="K802" s="20"/>
      <c r="L802" s="20"/>
      <c r="M802" s="20"/>
      <c r="N802" s="20"/>
      <c r="O802" s="20"/>
      <c r="P802" s="20"/>
      <c r="Q802" s="20"/>
      <c r="R802" s="101"/>
    </row>
    <row r="803" spans="1:18" ht="10.5" customHeight="1" x14ac:dyDescent="0.3">
      <c r="A803" s="79" t="s">
        <v>931</v>
      </c>
      <c r="B803" s="22">
        <v>5</v>
      </c>
      <c r="C803" s="23" t="s">
        <v>86</v>
      </c>
      <c r="D803" s="24">
        <v>45</v>
      </c>
      <c r="E803" s="94">
        <v>100</v>
      </c>
      <c r="F803" s="26">
        <v>20.41</v>
      </c>
      <c r="G803" s="111">
        <f t="shared" si="109"/>
        <v>877.63</v>
      </c>
      <c r="H803" s="28">
        <f t="shared" si="110"/>
        <v>702.10400000000004</v>
      </c>
      <c r="I803" s="20"/>
      <c r="J803" s="79" t="str">
        <f>0&amp;3025&amp;K803&amp;0&amp;M803</f>
        <v>030254032</v>
      </c>
      <c r="K803" s="22">
        <v>4</v>
      </c>
      <c r="L803" s="23" t="s">
        <v>86</v>
      </c>
      <c r="M803" s="24">
        <v>32</v>
      </c>
      <c r="N803" s="94">
        <v>100</v>
      </c>
      <c r="O803" s="94"/>
      <c r="P803" s="26">
        <v>17.579999999999998</v>
      </c>
      <c r="Q803" s="28">
        <f>P803*$F$10</f>
        <v>755.93999999999994</v>
      </c>
      <c r="R803" s="28">
        <f>Q803-Q803*0.2</f>
        <v>604.75199999999995</v>
      </c>
    </row>
    <row r="804" spans="1:18" ht="10.5" customHeight="1" x14ac:dyDescent="0.3">
      <c r="A804" s="79" t="s">
        <v>932</v>
      </c>
      <c r="B804" s="22">
        <v>5</v>
      </c>
      <c r="C804" s="23" t="s">
        <v>86</v>
      </c>
      <c r="D804" s="24">
        <v>52</v>
      </c>
      <c r="E804" s="94">
        <v>50</v>
      </c>
      <c r="F804" s="26">
        <v>15.15</v>
      </c>
      <c r="G804" s="111">
        <f t="shared" si="109"/>
        <v>651.45000000000005</v>
      </c>
      <c r="H804" s="28">
        <f t="shared" si="110"/>
        <v>521.16000000000008</v>
      </c>
      <c r="I804" s="20"/>
      <c r="J804" s="18"/>
      <c r="K804" s="20"/>
      <c r="L804" s="20"/>
      <c r="M804" s="20"/>
      <c r="N804" s="20"/>
      <c r="O804" s="20"/>
      <c r="P804" s="20"/>
      <c r="Q804" s="20"/>
      <c r="R804" s="101"/>
    </row>
    <row r="805" spans="1:18" ht="10.5" customHeight="1" x14ac:dyDescent="0.3">
      <c r="A805" s="79" t="s">
        <v>932</v>
      </c>
      <c r="B805" s="22">
        <v>5</v>
      </c>
      <c r="C805" s="23" t="s">
        <v>86</v>
      </c>
      <c r="D805" s="24">
        <v>58</v>
      </c>
      <c r="E805" s="94">
        <v>75</v>
      </c>
      <c r="F805" s="26">
        <v>22.29</v>
      </c>
      <c r="G805" s="111">
        <f t="shared" si="109"/>
        <v>958.46999999999991</v>
      </c>
      <c r="H805" s="28">
        <f t="shared" si="110"/>
        <v>766.77599999999995</v>
      </c>
      <c r="I805" s="20"/>
      <c r="J805" s="18"/>
      <c r="K805" s="20"/>
      <c r="L805" s="20"/>
      <c r="M805" s="20"/>
      <c r="N805" s="20"/>
      <c r="O805" s="20"/>
      <c r="P805" s="20"/>
      <c r="Q805" s="20"/>
      <c r="R805" s="101"/>
    </row>
    <row r="806" spans="1:18" ht="10.5" customHeight="1" x14ac:dyDescent="0.3">
      <c r="A806" s="79" t="s">
        <v>933</v>
      </c>
      <c r="B806" s="22">
        <v>5</v>
      </c>
      <c r="C806" s="23" t="s">
        <v>86</v>
      </c>
      <c r="D806" s="24">
        <v>71</v>
      </c>
      <c r="E806" s="94">
        <v>50</v>
      </c>
      <c r="F806" s="26">
        <v>27.16</v>
      </c>
      <c r="G806" s="111">
        <f t="shared" si="109"/>
        <v>1167.8800000000001</v>
      </c>
      <c r="H806" s="28">
        <f t="shared" si="110"/>
        <v>934.30400000000009</v>
      </c>
      <c r="I806" s="20"/>
      <c r="J806" s="18"/>
      <c r="K806" s="20"/>
      <c r="L806" s="20"/>
      <c r="M806" s="20"/>
      <c r="N806" s="229" t="s">
        <v>934</v>
      </c>
      <c r="O806" s="229"/>
      <c r="P806" s="20"/>
      <c r="Q806" s="20"/>
      <c r="R806" s="101"/>
    </row>
    <row r="807" spans="1:18" ht="10.5" customHeight="1" x14ac:dyDescent="0.3">
      <c r="A807" s="79" t="s">
        <v>935</v>
      </c>
      <c r="B807" s="22">
        <v>5</v>
      </c>
      <c r="C807" s="23" t="s">
        <v>86</v>
      </c>
      <c r="D807" s="24">
        <v>88</v>
      </c>
      <c r="E807" s="94">
        <v>50</v>
      </c>
      <c r="F807" s="26">
        <v>31.4</v>
      </c>
      <c r="G807" s="111">
        <f t="shared" si="109"/>
        <v>1350.2</v>
      </c>
      <c r="H807" s="28">
        <f t="shared" si="110"/>
        <v>1080.1600000000001</v>
      </c>
      <c r="I807" s="20"/>
      <c r="J807" s="18"/>
      <c r="K807" s="20"/>
      <c r="L807" s="20"/>
      <c r="M807" s="20"/>
      <c r="N807" s="20"/>
      <c r="O807" s="20"/>
      <c r="P807" s="20"/>
      <c r="Q807" s="20"/>
      <c r="R807" s="101"/>
    </row>
    <row r="808" spans="1:18" ht="10.5" customHeight="1" x14ac:dyDescent="0.3">
      <c r="A808" s="79" t="s">
        <v>936</v>
      </c>
      <c r="B808" s="22">
        <v>6</v>
      </c>
      <c r="C808" s="23" t="s">
        <v>86</v>
      </c>
      <c r="D808" s="24">
        <v>45</v>
      </c>
      <c r="E808" s="94">
        <v>50</v>
      </c>
      <c r="F808" s="26">
        <v>22.45</v>
      </c>
      <c r="G808" s="111">
        <f t="shared" si="109"/>
        <v>965.35</v>
      </c>
      <c r="H808" s="28">
        <f t="shared" si="110"/>
        <v>772.28</v>
      </c>
      <c r="I808" s="20"/>
      <c r="J808" s="18"/>
      <c r="K808" s="20"/>
      <c r="L808" s="20"/>
      <c r="M808" s="20"/>
      <c r="N808" s="20"/>
      <c r="O808" s="20"/>
      <c r="P808" s="20"/>
      <c r="Q808" s="20"/>
      <c r="R808" s="101"/>
    </row>
    <row r="809" spans="1:18" ht="10.5" customHeight="1" x14ac:dyDescent="0.3">
      <c r="A809" s="79" t="s">
        <v>937</v>
      </c>
      <c r="B809" s="22">
        <v>6</v>
      </c>
      <c r="C809" s="23" t="s">
        <v>86</v>
      </c>
      <c r="D809" s="24">
        <v>58</v>
      </c>
      <c r="E809" s="94">
        <v>50</v>
      </c>
      <c r="F809" s="26">
        <v>26.53</v>
      </c>
      <c r="G809" s="111">
        <f t="shared" si="109"/>
        <v>1140.79</v>
      </c>
      <c r="H809" s="28">
        <f t="shared" si="110"/>
        <v>912.63199999999995</v>
      </c>
      <c r="I809" s="20"/>
      <c r="J809" s="79" t="str">
        <f>0&amp;3025&amp;K809&amp;0&amp;M809</f>
        <v>030254032</v>
      </c>
      <c r="K809" s="22">
        <v>4</v>
      </c>
      <c r="L809" s="23" t="s">
        <v>86</v>
      </c>
      <c r="M809" s="24">
        <v>32</v>
      </c>
      <c r="N809" s="94">
        <v>100</v>
      </c>
      <c r="O809" s="94"/>
      <c r="P809" s="26">
        <v>17.579999999999998</v>
      </c>
      <c r="Q809" s="28">
        <f>P809*$F$10</f>
        <v>755.93999999999994</v>
      </c>
      <c r="R809" s="28">
        <f>Q809-Q809*0.2</f>
        <v>604.75199999999995</v>
      </c>
    </row>
    <row r="810" spans="1:18" ht="10.5" customHeight="1" x14ac:dyDescent="0.3">
      <c r="A810" s="79" t="s">
        <v>938</v>
      </c>
      <c r="B810" s="22">
        <v>6</v>
      </c>
      <c r="C810" s="23" t="s">
        <v>86</v>
      </c>
      <c r="D810" s="24">
        <v>71</v>
      </c>
      <c r="E810" s="94">
        <v>50</v>
      </c>
      <c r="F810" s="26">
        <v>30.62</v>
      </c>
      <c r="G810" s="111">
        <f t="shared" si="109"/>
        <v>1316.66</v>
      </c>
      <c r="H810" s="28">
        <f t="shared" si="110"/>
        <v>1053.328</v>
      </c>
      <c r="I810" s="20"/>
      <c r="J810" s="134"/>
      <c r="K810" s="90"/>
      <c r="L810" s="33"/>
      <c r="M810" s="147"/>
      <c r="N810" s="148"/>
      <c r="O810" s="148"/>
      <c r="P810" s="149"/>
      <c r="Q810" s="140"/>
      <c r="R810" s="230"/>
    </row>
    <row r="811" spans="1:18" ht="10.5" customHeight="1" x14ac:dyDescent="0.3">
      <c r="A811" s="79" t="s">
        <v>938</v>
      </c>
      <c r="B811" s="22">
        <v>6</v>
      </c>
      <c r="C811" s="23" t="s">
        <v>86</v>
      </c>
      <c r="D811" s="24">
        <v>88</v>
      </c>
      <c r="E811" s="94">
        <v>50</v>
      </c>
      <c r="F811" s="26">
        <v>36.270000000000003</v>
      </c>
      <c r="G811" s="111">
        <f t="shared" si="109"/>
        <v>1559.6100000000001</v>
      </c>
      <c r="H811" s="28">
        <f t="shared" si="110"/>
        <v>1247.6880000000001</v>
      </c>
      <c r="I811" s="20"/>
      <c r="J811" s="73"/>
      <c r="K811" s="167"/>
      <c r="L811" s="75"/>
      <c r="M811" s="168"/>
      <c r="N811" s="231"/>
      <c r="O811" s="231"/>
      <c r="P811" s="223"/>
      <c r="Q811" s="232"/>
      <c r="R811" s="233"/>
    </row>
    <row r="812" spans="1:18" ht="10.5" customHeight="1" x14ac:dyDescent="0.3">
      <c r="A812" s="47" t="s">
        <v>939</v>
      </c>
      <c r="B812" s="234" t="s">
        <v>940</v>
      </c>
      <c r="C812" s="49"/>
      <c r="D812" s="49"/>
      <c r="E812" s="49"/>
      <c r="F812" s="49"/>
      <c r="G812" s="49"/>
      <c r="H812" s="50"/>
      <c r="I812" s="49"/>
      <c r="J812" s="107" t="s">
        <v>941</v>
      </c>
      <c r="K812" s="48" t="s">
        <v>942</v>
      </c>
      <c r="L812" s="49"/>
      <c r="M812" s="49"/>
      <c r="N812" s="49"/>
      <c r="O812" s="49"/>
      <c r="P812" s="49"/>
      <c r="Q812" s="49"/>
      <c r="R812" s="50"/>
    </row>
    <row r="813" spans="1:18" ht="10.5" customHeight="1" x14ac:dyDescent="0.3">
      <c r="A813" s="18"/>
      <c r="B813" s="20"/>
      <c r="C813" s="20"/>
      <c r="D813" s="20"/>
      <c r="E813" s="20"/>
      <c r="F813" s="20"/>
      <c r="G813" s="20"/>
      <c r="H813" s="101"/>
      <c r="I813" s="20"/>
      <c r="J813" s="18"/>
      <c r="K813" s="20"/>
      <c r="L813" s="20"/>
      <c r="M813" s="20"/>
      <c r="N813" s="20"/>
      <c r="O813" s="20"/>
      <c r="P813" s="20"/>
      <c r="Q813" s="20"/>
      <c r="R813" s="101"/>
    </row>
    <row r="814" spans="1:18" ht="10.5" customHeight="1" x14ac:dyDescent="0.3">
      <c r="A814" s="18"/>
      <c r="B814" s="20"/>
      <c r="C814" s="20"/>
      <c r="D814" s="20"/>
      <c r="E814" s="20"/>
      <c r="F814" s="20"/>
      <c r="G814" s="20"/>
      <c r="H814" s="101"/>
      <c r="I814" s="20"/>
      <c r="J814" s="18"/>
      <c r="K814" s="20"/>
      <c r="L814" s="20"/>
      <c r="M814" s="20"/>
      <c r="N814" s="20"/>
      <c r="O814" s="20"/>
      <c r="P814" s="20"/>
      <c r="Q814" s="20"/>
      <c r="R814" s="101"/>
    </row>
    <row r="815" spans="1:18" ht="10.5" customHeight="1" x14ac:dyDescent="0.3">
      <c r="A815" s="18"/>
      <c r="B815" s="20"/>
      <c r="C815" s="20"/>
      <c r="D815" s="20"/>
      <c r="E815" s="20"/>
      <c r="F815" s="20"/>
      <c r="G815" s="20"/>
      <c r="H815" s="101"/>
      <c r="I815" s="20"/>
      <c r="J815" s="18"/>
      <c r="K815" s="20"/>
      <c r="L815" s="20"/>
      <c r="M815" s="20"/>
      <c r="N815" s="20"/>
      <c r="O815" s="20"/>
      <c r="P815" s="20"/>
      <c r="Q815" s="20"/>
      <c r="R815" s="101"/>
    </row>
    <row r="816" spans="1:18" ht="10.5" customHeight="1" x14ac:dyDescent="0.3">
      <c r="A816" s="446" t="s">
        <v>78</v>
      </c>
      <c r="B816" s="446" t="s">
        <v>79</v>
      </c>
      <c r="C816" s="446"/>
      <c r="D816" s="446"/>
      <c r="E816" s="447" t="s">
        <v>80</v>
      </c>
      <c r="F816" s="61"/>
      <c r="G816" s="16" t="s">
        <v>81</v>
      </c>
      <c r="H816" s="17" t="s">
        <v>82</v>
      </c>
      <c r="I816" s="20"/>
      <c r="J816" s="446" t="s">
        <v>78</v>
      </c>
      <c r="K816" s="446" t="s">
        <v>79</v>
      </c>
      <c r="L816" s="446"/>
      <c r="M816" s="446"/>
      <c r="N816" s="447" t="s">
        <v>80</v>
      </c>
      <c r="O816" s="434"/>
      <c r="P816" s="61"/>
      <c r="Q816" s="16" t="s">
        <v>81</v>
      </c>
      <c r="R816" s="17" t="s">
        <v>82</v>
      </c>
    </row>
    <row r="817" spans="1:18" ht="10.5" customHeight="1" thickTop="1" x14ac:dyDescent="0.3">
      <c r="A817" s="446"/>
      <c r="B817" s="446"/>
      <c r="C817" s="446"/>
      <c r="D817" s="446"/>
      <c r="E817" s="447"/>
      <c r="F817" s="68"/>
      <c r="G817" s="15" t="s">
        <v>84</v>
      </c>
      <c r="H817" s="15" t="s">
        <v>84</v>
      </c>
      <c r="I817" s="20"/>
      <c r="J817" s="446"/>
      <c r="K817" s="446"/>
      <c r="L817" s="446"/>
      <c r="M817" s="446"/>
      <c r="N817" s="447"/>
      <c r="O817" s="369"/>
      <c r="P817" s="68"/>
      <c r="Q817" s="15" t="s">
        <v>84</v>
      </c>
      <c r="R817" s="15" t="s">
        <v>84</v>
      </c>
    </row>
    <row r="818" spans="1:18" ht="10.5" customHeight="1" x14ac:dyDescent="0.3">
      <c r="A818" s="88" t="s">
        <v>943</v>
      </c>
      <c r="B818" s="462" t="s">
        <v>944</v>
      </c>
      <c r="C818" s="462"/>
      <c r="D818" s="462"/>
      <c r="E818" s="87">
        <v>100</v>
      </c>
      <c r="F818" s="78">
        <v>9.3137658536585377</v>
      </c>
      <c r="G818" s="113">
        <f t="shared" ref="G818:G841" si="111">F818*$F$10</f>
        <v>400.49193170731712</v>
      </c>
      <c r="H818" s="72">
        <f t="shared" ref="H818:H841" si="112">G818-G818*0.2</f>
        <v>320.3935453658537</v>
      </c>
      <c r="I818" s="20"/>
      <c r="J818" s="221" t="s">
        <v>945</v>
      </c>
      <c r="K818" s="236" t="s">
        <v>946</v>
      </c>
      <c r="L818" s="56" t="s">
        <v>86</v>
      </c>
      <c r="M818" s="57">
        <v>45</v>
      </c>
      <c r="N818" s="237">
        <v>100</v>
      </c>
      <c r="O818" s="237"/>
      <c r="P818" s="78">
        <v>20.02</v>
      </c>
      <c r="Q818" s="113">
        <f t="shared" ref="Q818:Q823" si="113">P818*$F$10</f>
        <v>860.86</v>
      </c>
      <c r="R818" s="72">
        <f t="shared" ref="R818:R823" si="114">Q818-Q818*0.2</f>
        <v>688.68799999999999</v>
      </c>
    </row>
    <row r="819" spans="1:18" ht="10.5" customHeight="1" x14ac:dyDescent="0.3">
      <c r="A819" s="85" t="s">
        <v>947</v>
      </c>
      <c r="B819" s="463" t="s">
        <v>948</v>
      </c>
      <c r="C819" s="463"/>
      <c r="D819" s="463"/>
      <c r="E819" s="94">
        <v>100</v>
      </c>
      <c r="F819" s="26">
        <v>10.820199999999998</v>
      </c>
      <c r="G819" s="111">
        <f t="shared" si="111"/>
        <v>465.26859999999994</v>
      </c>
      <c r="H819" s="28">
        <f t="shared" si="112"/>
        <v>372.21487999999994</v>
      </c>
      <c r="I819" s="20"/>
      <c r="J819" s="85" t="s">
        <v>949</v>
      </c>
      <c r="K819" s="238" t="s">
        <v>946</v>
      </c>
      <c r="L819" s="64" t="s">
        <v>86</v>
      </c>
      <c r="M819" s="65">
        <v>60</v>
      </c>
      <c r="N819" s="239">
        <v>100</v>
      </c>
      <c r="O819" s="432"/>
      <c r="P819" s="36">
        <v>18.03</v>
      </c>
      <c r="Q819" s="240">
        <f t="shared" si="113"/>
        <v>775.29000000000008</v>
      </c>
      <c r="R819" s="38">
        <f t="shared" si="114"/>
        <v>620.23200000000008</v>
      </c>
    </row>
    <row r="820" spans="1:18" ht="10.5" customHeight="1" x14ac:dyDescent="0.3">
      <c r="A820" s="85" t="s">
        <v>950</v>
      </c>
      <c r="B820" s="463" t="s">
        <v>951</v>
      </c>
      <c r="C820" s="463"/>
      <c r="D820" s="463"/>
      <c r="E820" s="94">
        <v>100</v>
      </c>
      <c r="F820" s="26">
        <v>12.570749999999999</v>
      </c>
      <c r="G820" s="111">
        <f t="shared" si="111"/>
        <v>540.54224999999997</v>
      </c>
      <c r="H820" s="28">
        <f t="shared" si="112"/>
        <v>432.43379999999996</v>
      </c>
      <c r="I820" s="20"/>
      <c r="J820" s="85" t="s">
        <v>952</v>
      </c>
      <c r="K820" s="238" t="s">
        <v>946</v>
      </c>
      <c r="L820" s="64" t="s">
        <v>86</v>
      </c>
      <c r="M820" s="65">
        <v>85</v>
      </c>
      <c r="N820" s="239">
        <v>100</v>
      </c>
      <c r="O820" s="239"/>
      <c r="P820" s="26">
        <v>23.18</v>
      </c>
      <c r="Q820" s="240">
        <f t="shared" si="113"/>
        <v>996.74</v>
      </c>
      <c r="R820" s="28">
        <f t="shared" si="114"/>
        <v>797.39200000000005</v>
      </c>
    </row>
    <row r="821" spans="1:18" ht="10.5" customHeight="1" x14ac:dyDescent="0.3">
      <c r="A821" s="85" t="s">
        <v>953</v>
      </c>
      <c r="B821" s="463" t="s">
        <v>954</v>
      </c>
      <c r="C821" s="463"/>
      <c r="D821" s="463"/>
      <c r="E821" s="94">
        <v>50</v>
      </c>
      <c r="F821" s="26">
        <v>17.324814634146339</v>
      </c>
      <c r="G821" s="111">
        <f t="shared" si="111"/>
        <v>744.96702926829255</v>
      </c>
      <c r="H821" s="28">
        <f t="shared" si="112"/>
        <v>595.97362341463406</v>
      </c>
      <c r="I821" s="20"/>
      <c r="J821" s="85" t="s">
        <v>955</v>
      </c>
      <c r="K821" s="238" t="s">
        <v>956</v>
      </c>
      <c r="L821" s="64" t="s">
        <v>86</v>
      </c>
      <c r="M821" s="65">
        <v>115</v>
      </c>
      <c r="N821" s="239">
        <v>50</v>
      </c>
      <c r="O821" s="239"/>
      <c r="P821" s="26">
        <v>37.01</v>
      </c>
      <c r="Q821" s="240">
        <f t="shared" si="113"/>
        <v>1591.4299999999998</v>
      </c>
      <c r="R821" s="28">
        <f t="shared" si="114"/>
        <v>1273.1439999999998</v>
      </c>
    </row>
    <row r="822" spans="1:18" ht="10.5" customHeight="1" x14ac:dyDescent="0.3">
      <c r="A822" s="85" t="s">
        <v>957</v>
      </c>
      <c r="B822" s="463" t="s">
        <v>958</v>
      </c>
      <c r="C822" s="463"/>
      <c r="D822" s="463"/>
      <c r="E822" s="94">
        <v>50</v>
      </c>
      <c r="F822" s="26">
        <v>12.942599999999999</v>
      </c>
      <c r="G822" s="111">
        <f t="shared" si="111"/>
        <v>556.53179999999998</v>
      </c>
      <c r="H822" s="28">
        <f t="shared" si="112"/>
        <v>445.22543999999999</v>
      </c>
      <c r="I822" s="20"/>
      <c r="J822" s="85" t="s">
        <v>959</v>
      </c>
      <c r="K822" s="238" t="s">
        <v>960</v>
      </c>
      <c r="L822" s="64" t="s">
        <v>86</v>
      </c>
      <c r="M822" s="65">
        <v>90</v>
      </c>
      <c r="N822" s="239">
        <v>100</v>
      </c>
      <c r="O822" s="239"/>
      <c r="P822" s="26">
        <v>57.53</v>
      </c>
      <c r="Q822" s="240">
        <f t="shared" si="113"/>
        <v>2473.79</v>
      </c>
      <c r="R822" s="28">
        <f t="shared" si="114"/>
        <v>1979.0319999999999</v>
      </c>
    </row>
    <row r="823" spans="1:18" ht="10.5" customHeight="1" x14ac:dyDescent="0.3">
      <c r="A823" s="85" t="s">
        <v>961</v>
      </c>
      <c r="B823" s="463" t="s">
        <v>962</v>
      </c>
      <c r="C823" s="463"/>
      <c r="D823" s="463"/>
      <c r="E823" s="94">
        <v>50</v>
      </c>
      <c r="F823" s="26">
        <v>18.69990487804878</v>
      </c>
      <c r="G823" s="111">
        <f t="shared" si="111"/>
        <v>804.09590975609751</v>
      </c>
      <c r="H823" s="28">
        <f t="shared" si="112"/>
        <v>643.27672780487796</v>
      </c>
      <c r="I823" s="20"/>
      <c r="J823" s="85" t="s">
        <v>963</v>
      </c>
      <c r="K823" s="238" t="s">
        <v>960</v>
      </c>
      <c r="L823" s="64" t="s">
        <v>86</v>
      </c>
      <c r="M823" s="65">
        <v>130</v>
      </c>
      <c r="N823" s="239">
        <v>50</v>
      </c>
      <c r="O823" s="239"/>
      <c r="P823" s="26">
        <v>82.3</v>
      </c>
      <c r="Q823" s="28">
        <f t="shared" si="113"/>
        <v>3538.9</v>
      </c>
      <c r="R823" s="28">
        <f t="shared" si="114"/>
        <v>2831.12</v>
      </c>
    </row>
    <row r="824" spans="1:18" ht="10.5" customHeight="1" x14ac:dyDescent="0.3">
      <c r="A824" s="85" t="s">
        <v>964</v>
      </c>
      <c r="B824" s="464" t="s">
        <v>965</v>
      </c>
      <c r="C824" s="464"/>
      <c r="D824" s="464"/>
      <c r="E824" s="94">
        <v>50</v>
      </c>
      <c r="F824" s="26">
        <v>17.056000000000001</v>
      </c>
      <c r="G824" s="111">
        <f t="shared" si="111"/>
        <v>733.40800000000002</v>
      </c>
      <c r="H824" s="28">
        <f t="shared" si="112"/>
        <v>586.72640000000001</v>
      </c>
      <c r="I824" s="20"/>
      <c r="J824" s="18"/>
      <c r="K824" s="20"/>
      <c r="L824" s="20"/>
      <c r="M824" s="20"/>
      <c r="N824" s="20"/>
      <c r="O824" s="20"/>
      <c r="P824" s="20"/>
      <c r="Q824" s="20"/>
      <c r="R824" s="101"/>
    </row>
    <row r="825" spans="1:18" ht="10.5" customHeight="1" x14ac:dyDescent="0.3">
      <c r="A825" s="85" t="s">
        <v>966</v>
      </c>
      <c r="B825" s="463" t="s">
        <v>967</v>
      </c>
      <c r="C825" s="463"/>
      <c r="D825" s="463"/>
      <c r="E825" s="94">
        <v>50</v>
      </c>
      <c r="F825" s="26">
        <v>19.819199999999999</v>
      </c>
      <c r="G825" s="111">
        <f t="shared" si="111"/>
        <v>852.22559999999999</v>
      </c>
      <c r="H825" s="28">
        <f t="shared" si="112"/>
        <v>681.78048000000001</v>
      </c>
      <c r="I825" s="20"/>
      <c r="J825" s="18"/>
      <c r="K825" s="20"/>
      <c r="L825" s="20"/>
      <c r="M825" s="20"/>
      <c r="N825" s="241" t="s">
        <v>968</v>
      </c>
      <c r="O825" s="241"/>
      <c r="P825" s="20"/>
      <c r="Q825" s="20"/>
      <c r="R825" s="101"/>
    </row>
    <row r="826" spans="1:18" ht="10.5" customHeight="1" x14ac:dyDescent="0.3">
      <c r="A826" s="85" t="s">
        <v>969</v>
      </c>
      <c r="B826" s="463" t="s">
        <v>970</v>
      </c>
      <c r="C826" s="463"/>
      <c r="D826" s="463"/>
      <c r="E826" s="94">
        <v>50</v>
      </c>
      <c r="F826" s="26">
        <v>25.7224</v>
      </c>
      <c r="G826" s="111">
        <f t="shared" si="111"/>
        <v>1106.0632000000001</v>
      </c>
      <c r="H826" s="28">
        <f t="shared" si="112"/>
        <v>884.85056000000009</v>
      </c>
      <c r="I826" s="20"/>
      <c r="J826" s="18"/>
      <c r="K826" s="20"/>
      <c r="L826" s="20"/>
      <c r="M826" s="20"/>
      <c r="N826" s="242" t="s">
        <v>971</v>
      </c>
      <c r="O826" s="100"/>
      <c r="P826" s="20"/>
      <c r="Q826" s="20"/>
      <c r="R826" s="101"/>
    </row>
    <row r="827" spans="1:18" ht="10.5" customHeight="1" x14ac:dyDescent="0.3">
      <c r="A827" s="85" t="s">
        <v>972</v>
      </c>
      <c r="B827" s="463" t="s">
        <v>973</v>
      </c>
      <c r="C827" s="463"/>
      <c r="D827" s="463"/>
      <c r="E827" s="94">
        <v>50</v>
      </c>
      <c r="F827" s="26">
        <v>26.978399999999993</v>
      </c>
      <c r="G827" s="111">
        <f t="shared" si="111"/>
        <v>1160.0711999999996</v>
      </c>
      <c r="H827" s="28">
        <f t="shared" si="112"/>
        <v>928.05695999999966</v>
      </c>
      <c r="I827" s="20"/>
      <c r="J827" s="18"/>
      <c r="K827" s="20"/>
      <c r="L827" s="20"/>
      <c r="M827" s="20"/>
      <c r="N827" s="20"/>
      <c r="O827" s="20"/>
      <c r="P827" s="20"/>
      <c r="Q827" s="20"/>
      <c r="R827" s="101"/>
    </row>
    <row r="828" spans="1:18" ht="10.5" customHeight="1" x14ac:dyDescent="0.3">
      <c r="A828" s="85" t="s">
        <v>974</v>
      </c>
      <c r="B828" s="463" t="s">
        <v>975</v>
      </c>
      <c r="C828" s="463"/>
      <c r="D828" s="463"/>
      <c r="E828" s="94">
        <v>25</v>
      </c>
      <c r="F828" s="26">
        <v>24.079699999999995</v>
      </c>
      <c r="G828" s="111">
        <f t="shared" si="111"/>
        <v>1035.4270999999999</v>
      </c>
      <c r="H828" s="28">
        <f t="shared" si="112"/>
        <v>828.34167999999988</v>
      </c>
      <c r="I828" s="20"/>
      <c r="J828" s="85" t="s">
        <v>976</v>
      </c>
      <c r="K828" s="22" t="s">
        <v>977</v>
      </c>
      <c r="L828" s="23" t="s">
        <v>359</v>
      </c>
      <c r="M828" s="24">
        <v>45</v>
      </c>
      <c r="N828" s="239">
        <v>100</v>
      </c>
      <c r="O828" s="239"/>
      <c r="P828" s="26">
        <v>20.65</v>
      </c>
      <c r="Q828" s="111">
        <f t="shared" ref="Q828:Q834" si="115">P828*$F$10</f>
        <v>887.94999999999993</v>
      </c>
      <c r="R828" s="28">
        <f t="shared" ref="R828:R834" si="116">Q828-Q828*0.2</f>
        <v>710.3599999999999</v>
      </c>
    </row>
    <row r="829" spans="1:18" ht="10.5" customHeight="1" x14ac:dyDescent="0.3">
      <c r="A829" s="85" t="s">
        <v>978</v>
      </c>
      <c r="B829" s="463" t="s">
        <v>979</v>
      </c>
      <c r="C829" s="463"/>
      <c r="D829" s="463"/>
      <c r="E829" s="94">
        <v>25</v>
      </c>
      <c r="F829" s="26">
        <v>30.500999999999998</v>
      </c>
      <c r="G829" s="111">
        <f t="shared" si="111"/>
        <v>1311.5429999999999</v>
      </c>
      <c r="H829" s="28">
        <f t="shared" si="112"/>
        <v>1049.2343999999998</v>
      </c>
      <c r="I829" s="20"/>
      <c r="J829" s="88" t="s">
        <v>980</v>
      </c>
      <c r="K829" s="74" t="s">
        <v>977</v>
      </c>
      <c r="L829" s="23" t="s">
        <v>359</v>
      </c>
      <c r="M829" s="24">
        <v>60</v>
      </c>
      <c r="N829" s="237">
        <v>100</v>
      </c>
      <c r="O829" s="433"/>
      <c r="P829" s="36">
        <v>19.75</v>
      </c>
      <c r="Q829" s="240">
        <f t="shared" si="115"/>
        <v>849.25</v>
      </c>
      <c r="R829" s="38">
        <f t="shared" si="116"/>
        <v>679.4</v>
      </c>
    </row>
    <row r="830" spans="1:18" ht="10.5" customHeight="1" x14ac:dyDescent="0.3">
      <c r="A830" s="85" t="s">
        <v>981</v>
      </c>
      <c r="B830" s="463" t="s">
        <v>982</v>
      </c>
      <c r="C830" s="463"/>
      <c r="D830" s="463"/>
      <c r="E830" s="94">
        <v>25</v>
      </c>
      <c r="F830" s="26">
        <v>49.325299999999999</v>
      </c>
      <c r="G830" s="111">
        <f t="shared" si="111"/>
        <v>2120.9879000000001</v>
      </c>
      <c r="H830" s="28">
        <f t="shared" si="112"/>
        <v>1696.7903200000001</v>
      </c>
      <c r="I830" s="20"/>
      <c r="J830" s="88" t="s">
        <v>983</v>
      </c>
      <c r="K830" s="74" t="s">
        <v>977</v>
      </c>
      <c r="L830" s="23" t="s">
        <v>359</v>
      </c>
      <c r="M830" s="24">
        <v>80</v>
      </c>
      <c r="N830" s="237">
        <v>100</v>
      </c>
      <c r="O830" s="433"/>
      <c r="P830" s="36">
        <v>21.74</v>
      </c>
      <c r="Q830" s="240">
        <f t="shared" si="115"/>
        <v>934.81999999999994</v>
      </c>
      <c r="R830" s="38">
        <f t="shared" si="116"/>
        <v>747.85599999999999</v>
      </c>
    </row>
    <row r="831" spans="1:18" ht="10.5" customHeight="1" x14ac:dyDescent="0.3">
      <c r="A831" s="85" t="s">
        <v>984</v>
      </c>
      <c r="B831" s="463" t="s">
        <v>985</v>
      </c>
      <c r="C831" s="463"/>
      <c r="D831" s="463"/>
      <c r="E831" s="94">
        <v>25</v>
      </c>
      <c r="F831" s="26">
        <v>53.896180555555546</v>
      </c>
      <c r="G831" s="111">
        <f t="shared" si="111"/>
        <v>2317.5357638888886</v>
      </c>
      <c r="H831" s="28">
        <f t="shared" si="112"/>
        <v>1854.0286111111109</v>
      </c>
      <c r="I831" s="20"/>
      <c r="J831" s="88" t="s">
        <v>986</v>
      </c>
      <c r="K831" s="22" t="s">
        <v>987</v>
      </c>
      <c r="L831" s="23" t="s">
        <v>359</v>
      </c>
      <c r="M831" s="24">
        <v>80</v>
      </c>
      <c r="N831" s="237">
        <v>100</v>
      </c>
      <c r="O831" s="433"/>
      <c r="P831" s="36">
        <v>40.4</v>
      </c>
      <c r="Q831" s="240">
        <f t="shared" si="115"/>
        <v>1737.2</v>
      </c>
      <c r="R831" s="38">
        <f t="shared" si="116"/>
        <v>1389.76</v>
      </c>
    </row>
    <row r="832" spans="1:18" ht="10.5" customHeight="1" x14ac:dyDescent="0.3">
      <c r="A832" s="85" t="s">
        <v>988</v>
      </c>
      <c r="B832" s="463" t="s">
        <v>989</v>
      </c>
      <c r="C832" s="463"/>
      <c r="D832" s="463"/>
      <c r="E832" s="94">
        <v>25</v>
      </c>
      <c r="F832" s="26">
        <v>58.29</v>
      </c>
      <c r="G832" s="111">
        <f t="shared" si="111"/>
        <v>2506.4699999999998</v>
      </c>
      <c r="H832" s="28">
        <f t="shared" si="112"/>
        <v>2005.1759999999999</v>
      </c>
      <c r="I832" s="20"/>
      <c r="J832" s="88" t="s">
        <v>986</v>
      </c>
      <c r="K832" s="22" t="s">
        <v>990</v>
      </c>
      <c r="L832" s="23" t="s">
        <v>359</v>
      </c>
      <c r="M832" s="24">
        <v>90</v>
      </c>
      <c r="N832" s="237">
        <v>100</v>
      </c>
      <c r="O832" s="433"/>
      <c r="P832" s="36">
        <v>75.77</v>
      </c>
      <c r="Q832" s="240">
        <f t="shared" si="115"/>
        <v>3258.1099999999997</v>
      </c>
      <c r="R832" s="38">
        <f t="shared" si="116"/>
        <v>2606.4879999999998</v>
      </c>
    </row>
    <row r="833" spans="1:18" ht="10.5" customHeight="1" x14ac:dyDescent="0.3">
      <c r="A833" s="85" t="s">
        <v>991</v>
      </c>
      <c r="B833" s="463" t="s">
        <v>992</v>
      </c>
      <c r="C833" s="463"/>
      <c r="D833" s="463"/>
      <c r="E833" s="94">
        <v>25</v>
      </c>
      <c r="F833" s="26">
        <v>75.559999999999988</v>
      </c>
      <c r="G833" s="111">
        <f t="shared" si="111"/>
        <v>3249.0799999999995</v>
      </c>
      <c r="H833" s="28">
        <f t="shared" si="112"/>
        <v>2599.2639999999997</v>
      </c>
      <c r="I833" s="20"/>
      <c r="J833" s="88" t="s">
        <v>993</v>
      </c>
      <c r="K833" s="22" t="s">
        <v>990</v>
      </c>
      <c r="L833" s="23" t="s">
        <v>359</v>
      </c>
      <c r="M833" s="24">
        <v>110</v>
      </c>
      <c r="N833" s="237">
        <v>50</v>
      </c>
      <c r="O833" s="433"/>
      <c r="P833" s="36">
        <v>103.75</v>
      </c>
      <c r="Q833" s="240">
        <f t="shared" si="115"/>
        <v>4461.25</v>
      </c>
      <c r="R833" s="38">
        <f t="shared" si="116"/>
        <v>3569</v>
      </c>
    </row>
    <row r="834" spans="1:18" ht="10.5" customHeight="1" x14ac:dyDescent="0.3">
      <c r="A834" s="85" t="s">
        <v>994</v>
      </c>
      <c r="B834" s="463" t="s">
        <v>995</v>
      </c>
      <c r="C834" s="463"/>
      <c r="D834" s="463"/>
      <c r="E834" s="94">
        <v>25</v>
      </c>
      <c r="F834" s="26">
        <v>94.399999999999991</v>
      </c>
      <c r="G834" s="111">
        <f t="shared" si="111"/>
        <v>4059.2</v>
      </c>
      <c r="H834" s="28">
        <f t="shared" si="112"/>
        <v>3247.3599999999997</v>
      </c>
      <c r="I834" s="20"/>
      <c r="J834" s="85" t="s">
        <v>996</v>
      </c>
      <c r="K834" s="22" t="s">
        <v>990</v>
      </c>
      <c r="L834" s="23" t="s">
        <v>359</v>
      </c>
      <c r="M834" s="24">
        <v>140</v>
      </c>
      <c r="N834" s="237">
        <v>50</v>
      </c>
      <c r="O834" s="237"/>
      <c r="P834" s="26">
        <v>114.78</v>
      </c>
      <c r="Q834" s="28">
        <f t="shared" si="115"/>
        <v>4935.54</v>
      </c>
      <c r="R834" s="28">
        <f t="shared" si="116"/>
        <v>3948.4319999999998</v>
      </c>
    </row>
    <row r="835" spans="1:18" ht="10.5" customHeight="1" x14ac:dyDescent="0.3">
      <c r="A835" s="7" t="s">
        <v>997</v>
      </c>
      <c r="B835" s="463" t="s">
        <v>998</v>
      </c>
      <c r="C835" s="463"/>
      <c r="D835" s="463"/>
      <c r="E835" s="94">
        <v>25</v>
      </c>
      <c r="F835" s="243">
        <v>67.709999999999994</v>
      </c>
      <c r="G835" s="111">
        <f t="shared" si="111"/>
        <v>2911.5299999999997</v>
      </c>
      <c r="H835" s="28">
        <f t="shared" si="112"/>
        <v>2329.2239999999997</v>
      </c>
      <c r="I835" s="20"/>
      <c r="J835" s="18"/>
      <c r="K835" s="20"/>
      <c r="L835" s="20"/>
      <c r="M835" s="20"/>
      <c r="N835" s="20"/>
      <c r="O835" s="20"/>
      <c r="P835" s="20"/>
      <c r="Q835" s="20"/>
      <c r="R835" s="101"/>
    </row>
    <row r="836" spans="1:18" ht="10.5" customHeight="1" x14ac:dyDescent="0.3">
      <c r="A836" s="85" t="s">
        <v>999</v>
      </c>
      <c r="B836" s="463" t="s">
        <v>1000</v>
      </c>
      <c r="C836" s="463"/>
      <c r="D836" s="463"/>
      <c r="E836" s="94">
        <v>30</v>
      </c>
      <c r="F836" s="26">
        <v>116.38</v>
      </c>
      <c r="G836" s="111">
        <f t="shared" si="111"/>
        <v>5004.34</v>
      </c>
      <c r="H836" s="28">
        <f t="shared" si="112"/>
        <v>4003.4720000000002</v>
      </c>
      <c r="I836" s="20"/>
      <c r="J836" s="18"/>
      <c r="K836" s="20"/>
      <c r="L836" s="20"/>
      <c r="M836" s="20"/>
      <c r="N836" s="241" t="s">
        <v>1001</v>
      </c>
      <c r="O836" s="241"/>
      <c r="P836" s="20"/>
      <c r="Q836" s="20"/>
      <c r="R836" s="101"/>
    </row>
    <row r="837" spans="1:18" ht="10.5" customHeight="1" x14ac:dyDescent="0.3">
      <c r="A837" s="85" t="s">
        <v>1002</v>
      </c>
      <c r="B837" s="463" t="s">
        <v>1003</v>
      </c>
      <c r="C837" s="463"/>
      <c r="D837" s="463"/>
      <c r="E837" s="94">
        <v>20</v>
      </c>
      <c r="F837" s="26">
        <v>69.138536585365841</v>
      </c>
      <c r="G837" s="111">
        <f t="shared" si="111"/>
        <v>2972.9570731707313</v>
      </c>
      <c r="H837" s="28">
        <f t="shared" si="112"/>
        <v>2378.3656585365852</v>
      </c>
      <c r="I837" s="20"/>
      <c r="J837" s="18"/>
      <c r="K837" s="20"/>
      <c r="L837" s="20"/>
      <c r="M837" s="20"/>
      <c r="N837" s="100" t="s">
        <v>1004</v>
      </c>
      <c r="O837" s="100"/>
      <c r="P837" s="20"/>
      <c r="Q837" s="20"/>
      <c r="R837" s="101"/>
    </row>
    <row r="838" spans="1:18" ht="10.5" customHeight="1" x14ac:dyDescent="0.3">
      <c r="A838" s="85" t="s">
        <v>1005</v>
      </c>
      <c r="B838" s="463" t="s">
        <v>1006</v>
      </c>
      <c r="C838" s="463"/>
      <c r="D838" s="463"/>
      <c r="E838" s="94">
        <v>20</v>
      </c>
      <c r="F838" s="26">
        <v>81.858599999999981</v>
      </c>
      <c r="G838" s="111">
        <f t="shared" si="111"/>
        <v>3519.9197999999992</v>
      </c>
      <c r="H838" s="28">
        <f t="shared" si="112"/>
        <v>2815.9358399999992</v>
      </c>
      <c r="I838" s="20"/>
      <c r="J838" s="18"/>
      <c r="K838" s="20"/>
      <c r="L838" s="20"/>
      <c r="M838" s="20"/>
      <c r="N838" s="20"/>
      <c r="O838" s="20"/>
      <c r="P838" s="20"/>
      <c r="Q838" s="20"/>
      <c r="R838" s="101"/>
    </row>
    <row r="839" spans="1:18" ht="10.5" customHeight="1" x14ac:dyDescent="0.3">
      <c r="A839" s="85" t="s">
        <v>1007</v>
      </c>
      <c r="B839" s="463" t="s">
        <v>1008</v>
      </c>
      <c r="C839" s="463"/>
      <c r="D839" s="463"/>
      <c r="E839" s="94">
        <v>20</v>
      </c>
      <c r="F839" s="26">
        <v>204.34999999999997</v>
      </c>
      <c r="G839" s="111">
        <f t="shared" si="111"/>
        <v>8787.0499999999993</v>
      </c>
      <c r="H839" s="28">
        <f t="shared" si="112"/>
        <v>7029.6399999999994</v>
      </c>
      <c r="I839" s="20"/>
      <c r="J839" s="85" t="s">
        <v>1009</v>
      </c>
      <c r="K839" s="22" t="s">
        <v>977</v>
      </c>
      <c r="L839" s="23" t="s">
        <v>359</v>
      </c>
      <c r="M839" s="24">
        <v>45</v>
      </c>
      <c r="N839" s="239">
        <v>100</v>
      </c>
      <c r="O839" s="239"/>
      <c r="P839" s="26">
        <v>20.02</v>
      </c>
      <c r="Q839" s="240">
        <f t="shared" ref="Q839:Q844" si="117">P839*$F$10</f>
        <v>860.86</v>
      </c>
      <c r="R839" s="38">
        <f t="shared" ref="R839:R844" si="118">Q839-Q839*0.2</f>
        <v>688.68799999999999</v>
      </c>
    </row>
    <row r="840" spans="1:18" ht="10.5" customHeight="1" x14ac:dyDescent="0.3">
      <c r="A840" s="85" t="s">
        <v>1010</v>
      </c>
      <c r="B840" s="463" t="s">
        <v>1011</v>
      </c>
      <c r="C840" s="463"/>
      <c r="D840" s="463"/>
      <c r="E840" s="94">
        <v>15</v>
      </c>
      <c r="F840" s="26">
        <v>119.98976190476188</v>
      </c>
      <c r="G840" s="111">
        <f t="shared" si="111"/>
        <v>5159.5597619047603</v>
      </c>
      <c r="H840" s="28">
        <f t="shared" si="112"/>
        <v>4127.6478095238081</v>
      </c>
      <c r="I840" s="20"/>
      <c r="J840" s="85" t="s">
        <v>1012</v>
      </c>
      <c r="K840" s="74" t="s">
        <v>977</v>
      </c>
      <c r="L840" s="75" t="s">
        <v>359</v>
      </c>
      <c r="M840" s="76">
        <v>80</v>
      </c>
      <c r="N840" s="237">
        <v>100</v>
      </c>
      <c r="O840" s="433"/>
      <c r="P840" s="155">
        <v>24.25</v>
      </c>
      <c r="Q840" s="111">
        <f t="shared" si="117"/>
        <v>1042.75</v>
      </c>
      <c r="R840" s="28">
        <f t="shared" si="118"/>
        <v>834.2</v>
      </c>
    </row>
    <row r="841" spans="1:18" ht="10.5" customHeight="1" x14ac:dyDescent="0.3">
      <c r="A841" s="85" t="s">
        <v>1013</v>
      </c>
      <c r="B841" s="463" t="s">
        <v>1014</v>
      </c>
      <c r="C841" s="463"/>
      <c r="D841" s="463"/>
      <c r="E841" s="94">
        <v>15</v>
      </c>
      <c r="F841" s="26">
        <v>164.28619047619048</v>
      </c>
      <c r="G841" s="111">
        <f t="shared" si="111"/>
        <v>7064.3061904761907</v>
      </c>
      <c r="H841" s="28">
        <f t="shared" si="112"/>
        <v>5651.4449523809526</v>
      </c>
      <c r="I841" s="20"/>
      <c r="J841" s="85" t="s">
        <v>1015</v>
      </c>
      <c r="K841" s="22" t="s">
        <v>987</v>
      </c>
      <c r="L841" s="23" t="s">
        <v>359</v>
      </c>
      <c r="M841" s="24">
        <v>80</v>
      </c>
      <c r="N841" s="239">
        <v>100</v>
      </c>
      <c r="O841" s="432"/>
      <c r="P841" s="36">
        <v>38.25</v>
      </c>
      <c r="Q841" s="111">
        <f t="shared" si="117"/>
        <v>1644.75</v>
      </c>
      <c r="R841" s="38">
        <f t="shared" si="118"/>
        <v>1315.8</v>
      </c>
    </row>
    <row r="842" spans="1:18" ht="10.5" customHeight="1" x14ac:dyDescent="0.3">
      <c r="A842" s="20"/>
      <c r="B842" s="20"/>
      <c r="C842" s="20"/>
      <c r="D842" s="20"/>
      <c r="E842" s="20"/>
      <c r="F842" s="20"/>
      <c r="G842" s="20"/>
      <c r="H842" s="20"/>
      <c r="I842" s="20"/>
      <c r="J842" s="85" t="s">
        <v>1016</v>
      </c>
      <c r="K842" s="22" t="s">
        <v>987</v>
      </c>
      <c r="L842" s="23" t="s">
        <v>359</v>
      </c>
      <c r="M842" s="24">
        <v>90</v>
      </c>
      <c r="N842" s="239">
        <v>100</v>
      </c>
      <c r="O842" s="432"/>
      <c r="P842" s="36">
        <v>48.42</v>
      </c>
      <c r="Q842" s="111">
        <f t="shared" si="117"/>
        <v>2082.06</v>
      </c>
      <c r="R842" s="38">
        <f t="shared" si="118"/>
        <v>1665.6479999999999</v>
      </c>
    </row>
    <row r="843" spans="1:18" ht="10.5" customHeight="1" x14ac:dyDescent="0.3">
      <c r="A843" s="18"/>
      <c r="B843" s="20"/>
      <c r="C843" s="20"/>
      <c r="D843" s="20"/>
      <c r="E843" s="20"/>
      <c r="F843" s="20"/>
      <c r="G843" s="20"/>
      <c r="H843" s="20"/>
      <c r="I843" s="20"/>
      <c r="J843" s="85" t="s">
        <v>1017</v>
      </c>
      <c r="K843" s="22" t="s">
        <v>990</v>
      </c>
      <c r="L843" s="23" t="s">
        <v>359</v>
      </c>
      <c r="M843" s="24">
        <v>90</v>
      </c>
      <c r="N843" s="239">
        <v>100</v>
      </c>
      <c r="O843" s="432"/>
      <c r="P843" s="36">
        <v>68.81</v>
      </c>
      <c r="Q843" s="111">
        <f t="shared" si="117"/>
        <v>2958.83</v>
      </c>
      <c r="R843" s="38">
        <f t="shared" si="118"/>
        <v>2367.0639999999999</v>
      </c>
    </row>
    <row r="844" spans="1:18" ht="10.5" customHeight="1" x14ac:dyDescent="0.3">
      <c r="A844" s="55"/>
      <c r="B844" s="83"/>
      <c r="C844" s="83"/>
      <c r="D844" s="83"/>
      <c r="E844" s="83"/>
      <c r="F844" s="83"/>
      <c r="G844" s="83"/>
      <c r="H844" s="83"/>
      <c r="I844" s="83"/>
      <c r="J844" s="85" t="s">
        <v>1018</v>
      </c>
      <c r="K844" s="22" t="s">
        <v>990</v>
      </c>
      <c r="L844" s="23" t="s">
        <v>359</v>
      </c>
      <c r="M844" s="24">
        <v>120</v>
      </c>
      <c r="N844" s="239">
        <v>50</v>
      </c>
      <c r="O844" s="239"/>
      <c r="P844" s="26">
        <v>67.64</v>
      </c>
      <c r="Q844" s="111">
        <f t="shared" si="117"/>
        <v>2908.52</v>
      </c>
      <c r="R844" s="28">
        <f t="shared" si="118"/>
        <v>2326.8159999999998</v>
      </c>
    </row>
    <row r="845" spans="1:18" ht="10.5" customHeight="1" x14ac:dyDescent="0.3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</row>
    <row r="846" spans="1:18" ht="10.5" customHeight="1" x14ac:dyDescent="0.3">
      <c r="A846" s="47" t="s">
        <v>1019</v>
      </c>
      <c r="B846" s="49"/>
      <c r="C846" s="49"/>
      <c r="D846" s="49"/>
      <c r="E846" s="49"/>
      <c r="F846" s="49"/>
      <c r="G846" s="49"/>
      <c r="H846" s="49"/>
      <c r="I846" s="49"/>
      <c r="J846" s="446" t="s">
        <v>78</v>
      </c>
      <c r="K846" s="446" t="s">
        <v>79</v>
      </c>
      <c r="L846" s="446"/>
      <c r="M846" s="446"/>
      <c r="N846" s="447" t="s">
        <v>80</v>
      </c>
      <c r="O846" s="434"/>
      <c r="P846" s="61"/>
      <c r="Q846" s="235" t="s">
        <v>1020</v>
      </c>
      <c r="R846" s="17" t="s">
        <v>82</v>
      </c>
    </row>
    <row r="847" spans="1:18" ht="10.5" customHeight="1" x14ac:dyDescent="0.3">
      <c r="A847" s="157" t="s">
        <v>1021</v>
      </c>
      <c r="B847" s="20"/>
      <c r="C847" s="20"/>
      <c r="D847" s="20"/>
      <c r="E847" s="20"/>
      <c r="F847" s="20"/>
      <c r="G847" s="20"/>
      <c r="H847" s="20"/>
      <c r="I847" s="20"/>
      <c r="J847" s="446"/>
      <c r="K847" s="446"/>
      <c r="L847" s="446"/>
      <c r="M847" s="446"/>
      <c r="N847" s="447"/>
      <c r="O847" s="369"/>
      <c r="P847" s="68"/>
      <c r="Q847" s="15" t="s">
        <v>84</v>
      </c>
      <c r="R847" s="15" t="s">
        <v>84</v>
      </c>
    </row>
    <row r="848" spans="1:18" ht="10.5" customHeight="1" x14ac:dyDescent="0.3">
      <c r="A848" s="18"/>
      <c r="B848" s="20"/>
      <c r="C848" s="20"/>
      <c r="D848" s="20"/>
      <c r="E848" s="20"/>
      <c r="F848" s="20"/>
      <c r="G848" s="20"/>
      <c r="H848" s="20"/>
      <c r="I848" s="20"/>
      <c r="J848" s="88" t="s">
        <v>1022</v>
      </c>
      <c r="K848" s="466" t="s">
        <v>962</v>
      </c>
      <c r="L848" s="466"/>
      <c r="M848" s="466"/>
      <c r="N848" s="87">
        <v>100</v>
      </c>
      <c r="O848" s="87"/>
      <c r="P848" s="78">
        <v>20.460784999999998</v>
      </c>
      <c r="Q848" s="72">
        <f t="shared" ref="Q848:Q853" si="119">P848*$F$10</f>
        <v>879.8137549999999</v>
      </c>
      <c r="R848" s="72">
        <f t="shared" ref="R848:R853" si="120">Q848-Q848*0.2</f>
        <v>703.85100399999988</v>
      </c>
    </row>
    <row r="849" spans="1:18" ht="10.5" customHeight="1" x14ac:dyDescent="0.3">
      <c r="A849" s="18"/>
      <c r="B849" s="20"/>
      <c r="C849" s="20"/>
      <c r="D849" s="20"/>
      <c r="E849" s="20"/>
      <c r="F849" s="20"/>
      <c r="G849" s="20"/>
      <c r="H849" s="20"/>
      <c r="I849" s="20"/>
      <c r="J849" s="85" t="s">
        <v>1023</v>
      </c>
      <c r="K849" s="465" t="s">
        <v>1024</v>
      </c>
      <c r="L849" s="465"/>
      <c r="M849" s="465"/>
      <c r="N849" s="94">
        <v>50</v>
      </c>
      <c r="O849" s="94"/>
      <c r="P849" s="26">
        <v>25.851924999999998</v>
      </c>
      <c r="Q849" s="28">
        <f t="shared" si="119"/>
        <v>1111.6327749999998</v>
      </c>
      <c r="R849" s="28">
        <f t="shared" si="120"/>
        <v>889.30621999999983</v>
      </c>
    </row>
    <row r="850" spans="1:18" ht="10.5" customHeight="1" x14ac:dyDescent="0.3">
      <c r="A850" s="18"/>
      <c r="B850" s="20"/>
      <c r="C850" s="20"/>
      <c r="D850" s="20"/>
      <c r="E850" s="20"/>
      <c r="F850" s="20"/>
      <c r="G850" s="20"/>
      <c r="H850" s="20"/>
      <c r="I850" s="20"/>
      <c r="J850" s="85" t="s">
        <v>1025</v>
      </c>
      <c r="K850" s="465" t="s">
        <v>1026</v>
      </c>
      <c r="L850" s="465"/>
      <c r="M850" s="465"/>
      <c r="N850" s="94">
        <v>50</v>
      </c>
      <c r="O850" s="94"/>
      <c r="P850" s="26">
        <v>28.36</v>
      </c>
      <c r="Q850" s="28">
        <f t="shared" si="119"/>
        <v>1219.48</v>
      </c>
      <c r="R850" s="28">
        <f t="shared" si="120"/>
        <v>975.58400000000006</v>
      </c>
    </row>
    <row r="851" spans="1:18" ht="10.5" customHeight="1" x14ac:dyDescent="0.3">
      <c r="A851" s="446" t="s">
        <v>78</v>
      </c>
      <c r="B851" s="446" t="s">
        <v>79</v>
      </c>
      <c r="C851" s="446"/>
      <c r="D851" s="446"/>
      <c r="E851" s="447" t="s">
        <v>80</v>
      </c>
      <c r="F851" s="61"/>
      <c r="G851" s="16" t="s">
        <v>81</v>
      </c>
      <c r="H851" s="17" t="s">
        <v>82</v>
      </c>
      <c r="I851" s="20"/>
      <c r="J851" s="85" t="s">
        <v>1027</v>
      </c>
      <c r="K851" s="465" t="s">
        <v>970</v>
      </c>
      <c r="L851" s="465"/>
      <c r="M851" s="465"/>
      <c r="N851" s="94">
        <v>50</v>
      </c>
      <c r="O851" s="94"/>
      <c r="P851" s="26">
        <v>34.153300000000002</v>
      </c>
      <c r="Q851" s="28">
        <f t="shared" si="119"/>
        <v>1468.5919000000001</v>
      </c>
      <c r="R851" s="28">
        <f t="shared" si="120"/>
        <v>1174.8735200000001</v>
      </c>
    </row>
    <row r="852" spans="1:18" ht="10.5" customHeight="1" x14ac:dyDescent="0.3">
      <c r="A852" s="446"/>
      <c r="B852" s="446"/>
      <c r="C852" s="446"/>
      <c r="D852" s="446"/>
      <c r="E852" s="447"/>
      <c r="F852" s="68"/>
      <c r="G852" s="15" t="s">
        <v>84</v>
      </c>
      <c r="H852" s="15" t="s">
        <v>84</v>
      </c>
      <c r="I852" s="20"/>
      <c r="J852" s="85" t="s">
        <v>1028</v>
      </c>
      <c r="K852" s="463" t="s">
        <v>1029</v>
      </c>
      <c r="L852" s="463"/>
      <c r="M852" s="463"/>
      <c r="N852" s="94">
        <v>50</v>
      </c>
      <c r="O852" s="94"/>
      <c r="P852" s="26">
        <v>37.106470000000002</v>
      </c>
      <c r="Q852" s="28">
        <f t="shared" si="119"/>
        <v>1595.5782100000001</v>
      </c>
      <c r="R852" s="28">
        <f t="shared" si="120"/>
        <v>1276.4625680000001</v>
      </c>
    </row>
    <row r="853" spans="1:18" ht="10.5" customHeight="1" x14ac:dyDescent="0.3">
      <c r="A853" s="88" t="s">
        <v>1030</v>
      </c>
      <c r="B853" s="462" t="s">
        <v>1031</v>
      </c>
      <c r="C853" s="462"/>
      <c r="D853" s="462"/>
      <c r="E853" s="87">
        <v>100</v>
      </c>
      <c r="F853" s="78">
        <v>13.0036775</v>
      </c>
      <c r="G853" s="72">
        <f>F853*$F$10</f>
        <v>559.15813249999997</v>
      </c>
      <c r="H853" s="28">
        <f>G853-G853*0.2</f>
        <v>447.32650599999999</v>
      </c>
      <c r="I853" s="20"/>
      <c r="J853" s="85" t="s">
        <v>1032</v>
      </c>
      <c r="K853" s="463" t="s">
        <v>979</v>
      </c>
      <c r="L853" s="463"/>
      <c r="M853" s="463"/>
      <c r="N853" s="94">
        <v>50</v>
      </c>
      <c r="O853" s="94"/>
      <c r="P853" s="26">
        <v>52.481928571428568</v>
      </c>
      <c r="Q853" s="28">
        <f t="shared" si="119"/>
        <v>2256.7229285714284</v>
      </c>
      <c r="R853" s="28">
        <f t="shared" si="120"/>
        <v>1805.3783428571428</v>
      </c>
    </row>
    <row r="854" spans="1:18" ht="10.5" customHeight="1" x14ac:dyDescent="0.3">
      <c r="A854" s="85" t="s">
        <v>1033</v>
      </c>
      <c r="B854" s="463" t="s">
        <v>1034</v>
      </c>
      <c r="C854" s="463"/>
      <c r="D854" s="463"/>
      <c r="E854" s="94">
        <v>100</v>
      </c>
      <c r="F854" s="26">
        <v>13.307472499999998</v>
      </c>
      <c r="G854" s="28">
        <f>F854*$F$10</f>
        <v>572.22131749999994</v>
      </c>
      <c r="H854" s="28">
        <f>G854-G854*0.2</f>
        <v>457.77705399999996</v>
      </c>
      <c r="I854" s="83"/>
      <c r="J854" s="83"/>
      <c r="K854" s="83"/>
      <c r="L854" s="83"/>
      <c r="M854" s="83"/>
      <c r="N854" s="83"/>
      <c r="O854" s="83"/>
      <c r="P854" s="83"/>
      <c r="Q854" s="83"/>
      <c r="R854" s="116"/>
    </row>
    <row r="855" spans="1:18" ht="10.5" customHeight="1" x14ac:dyDescent="0.3">
      <c r="A855" s="95"/>
      <c r="B855" s="244"/>
      <c r="C855" s="245"/>
      <c r="D855" s="245"/>
      <c r="E855" s="97"/>
      <c r="F855" s="44"/>
      <c r="G855" s="46"/>
      <c r="H855" s="46"/>
      <c r="I855" s="20"/>
      <c r="J855" s="20"/>
      <c r="K855" s="20"/>
      <c r="L855" s="20"/>
      <c r="M855" s="20"/>
      <c r="N855" s="20"/>
      <c r="O855" s="20"/>
      <c r="P855" s="20"/>
      <c r="Q855" s="20"/>
      <c r="R855" s="20"/>
    </row>
    <row r="856" spans="1:18" ht="10.5" customHeight="1" x14ac:dyDescent="0.3">
      <c r="A856" s="47" t="s">
        <v>1035</v>
      </c>
      <c r="B856" s="234" t="s">
        <v>1036</v>
      </c>
      <c r="C856" s="49"/>
      <c r="D856" s="49"/>
      <c r="E856" s="49"/>
      <c r="F856" s="49"/>
      <c r="G856" s="49"/>
      <c r="H856" s="49"/>
      <c r="I856" s="49"/>
      <c r="J856" s="446" t="s">
        <v>78</v>
      </c>
      <c r="K856" s="446" t="s">
        <v>79</v>
      </c>
      <c r="L856" s="446"/>
      <c r="M856" s="446"/>
      <c r="N856" s="447" t="s">
        <v>80</v>
      </c>
      <c r="O856" s="434"/>
      <c r="P856" s="61"/>
      <c r="Q856" s="16" t="s">
        <v>81</v>
      </c>
      <c r="R856" s="17" t="s">
        <v>82</v>
      </c>
    </row>
    <row r="857" spans="1:18" ht="10.5" customHeight="1" x14ac:dyDescent="0.3">
      <c r="A857" s="18"/>
      <c r="B857" s="20"/>
      <c r="C857" s="20"/>
      <c r="D857" s="20"/>
      <c r="E857" s="20"/>
      <c r="F857" s="20"/>
      <c r="G857" s="20"/>
      <c r="H857" s="20"/>
      <c r="I857" s="20"/>
      <c r="J857" s="446"/>
      <c r="K857" s="446"/>
      <c r="L857" s="446"/>
      <c r="M857" s="446"/>
      <c r="N857" s="447"/>
      <c r="O857" s="369"/>
      <c r="P857" s="68"/>
      <c r="Q857" s="15" t="s">
        <v>84</v>
      </c>
      <c r="R857" s="15" t="s">
        <v>84</v>
      </c>
    </row>
    <row r="858" spans="1:18" ht="10.5" customHeight="1" x14ac:dyDescent="0.3">
      <c r="A858" s="18"/>
      <c r="B858" s="20"/>
      <c r="C858" s="20"/>
      <c r="D858" s="20"/>
      <c r="E858" s="20"/>
      <c r="F858" s="20"/>
      <c r="G858" s="20"/>
      <c r="H858" s="20"/>
      <c r="I858" s="20"/>
      <c r="J858" s="85" t="s">
        <v>1037</v>
      </c>
      <c r="K858" s="470" t="s">
        <v>1038</v>
      </c>
      <c r="L858" s="470"/>
      <c r="M858" s="470"/>
      <c r="N858" s="94">
        <v>15</v>
      </c>
      <c r="O858" s="231"/>
      <c r="P858" s="223">
        <v>86.35</v>
      </c>
      <c r="Q858" s="28">
        <f t="shared" ref="Q858:Q870" si="121">P858*$F$10</f>
        <v>3713.0499999999997</v>
      </c>
      <c r="R858" s="28">
        <f t="shared" ref="R858:R870" si="122">Q858-Q858*0.2</f>
        <v>2970.4399999999996</v>
      </c>
    </row>
    <row r="859" spans="1:18" ht="10.5" customHeight="1" x14ac:dyDescent="0.3">
      <c r="A859" s="18"/>
      <c r="B859" s="20"/>
      <c r="C859" s="20"/>
      <c r="D859" s="20"/>
      <c r="E859" s="20"/>
      <c r="F859" s="20"/>
      <c r="G859" s="20"/>
      <c r="H859" s="20"/>
      <c r="I859" s="20"/>
      <c r="J859" s="85" t="s">
        <v>1039</v>
      </c>
      <c r="K859" s="468" t="s">
        <v>1040</v>
      </c>
      <c r="L859" s="468"/>
      <c r="M859" s="468"/>
      <c r="N859" s="94">
        <v>10</v>
      </c>
      <c r="O859" s="330"/>
      <c r="P859" s="222">
        <v>113.04</v>
      </c>
      <c r="Q859" s="28">
        <f t="shared" si="121"/>
        <v>4860.72</v>
      </c>
      <c r="R859" s="28">
        <f t="shared" si="122"/>
        <v>3888.576</v>
      </c>
    </row>
    <row r="860" spans="1:18" ht="10.5" customHeight="1" x14ac:dyDescent="0.3">
      <c r="A860" s="446" t="s">
        <v>78</v>
      </c>
      <c r="B860" s="446" t="s">
        <v>79</v>
      </c>
      <c r="C860" s="446"/>
      <c r="D860" s="446"/>
      <c r="E860" s="447" t="s">
        <v>80</v>
      </c>
      <c r="F860" s="61"/>
      <c r="G860" s="16" t="s">
        <v>81</v>
      </c>
      <c r="H860" s="17" t="s">
        <v>82</v>
      </c>
      <c r="I860" s="20"/>
      <c r="J860" s="85" t="s">
        <v>1041</v>
      </c>
      <c r="K860" s="468" t="s">
        <v>1042</v>
      </c>
      <c r="L860" s="468"/>
      <c r="M860" s="468"/>
      <c r="N860" s="94">
        <v>10</v>
      </c>
      <c r="O860" s="330"/>
      <c r="P860" s="222">
        <v>136.7208333333333</v>
      </c>
      <c r="Q860" s="28">
        <f t="shared" si="121"/>
        <v>5878.9958333333325</v>
      </c>
      <c r="R860" s="28">
        <f t="shared" si="122"/>
        <v>4703.1966666666658</v>
      </c>
    </row>
    <row r="861" spans="1:18" ht="10.5" customHeight="1" x14ac:dyDescent="0.3">
      <c r="A861" s="446"/>
      <c r="B861" s="446"/>
      <c r="C861" s="446"/>
      <c r="D861" s="446"/>
      <c r="E861" s="447"/>
      <c r="F861" s="68"/>
      <c r="G861" s="15" t="s">
        <v>84</v>
      </c>
      <c r="H861" s="15" t="s">
        <v>84</v>
      </c>
      <c r="I861" s="20"/>
      <c r="J861" s="85" t="s">
        <v>1043</v>
      </c>
      <c r="K861" s="468" t="s">
        <v>1044</v>
      </c>
      <c r="L861" s="468"/>
      <c r="M861" s="468"/>
      <c r="N861" s="94">
        <v>20</v>
      </c>
      <c r="O861" s="330"/>
      <c r="P861" s="222">
        <v>98.91</v>
      </c>
      <c r="Q861" s="28">
        <f t="shared" si="121"/>
        <v>4253.13</v>
      </c>
      <c r="R861" s="28">
        <f t="shared" si="122"/>
        <v>3402.5039999999999</v>
      </c>
    </row>
    <row r="862" spans="1:18" ht="10.5" customHeight="1" x14ac:dyDescent="0.3">
      <c r="A862" s="85" t="s">
        <v>1045</v>
      </c>
      <c r="B862" s="469" t="s">
        <v>1046</v>
      </c>
      <c r="C862" s="469"/>
      <c r="D862" s="469"/>
      <c r="E862" s="87">
        <v>20</v>
      </c>
      <c r="F862" s="78">
        <v>39.364479166666662</v>
      </c>
      <c r="G862" s="72">
        <f t="shared" ref="G862:G870" si="123">F862*$F$10</f>
        <v>1692.6726041666664</v>
      </c>
      <c r="H862" s="28">
        <f t="shared" ref="H862:H870" si="124">G862-G862*0.2</f>
        <v>1354.138083333333</v>
      </c>
      <c r="I862" s="20"/>
      <c r="J862" s="85" t="s">
        <v>1047</v>
      </c>
      <c r="K862" s="468" t="s">
        <v>1048</v>
      </c>
      <c r="L862" s="468"/>
      <c r="M862" s="468"/>
      <c r="N862" s="94">
        <v>15</v>
      </c>
      <c r="O862" s="330"/>
      <c r="P862" s="222">
        <v>125.6</v>
      </c>
      <c r="Q862" s="28">
        <f t="shared" si="121"/>
        <v>5400.8</v>
      </c>
      <c r="R862" s="28">
        <f t="shared" si="122"/>
        <v>4320.6400000000003</v>
      </c>
    </row>
    <row r="863" spans="1:18" ht="10.5" customHeight="1" x14ac:dyDescent="0.3">
      <c r="A863" s="85" t="s">
        <v>1049</v>
      </c>
      <c r="B863" s="467" t="s">
        <v>1050</v>
      </c>
      <c r="C863" s="467"/>
      <c r="D863" s="467"/>
      <c r="E863" s="94">
        <v>20</v>
      </c>
      <c r="F863" s="26">
        <v>49.46</v>
      </c>
      <c r="G863" s="72">
        <f t="shared" si="123"/>
        <v>2126.7800000000002</v>
      </c>
      <c r="H863" s="28">
        <f t="shared" si="124"/>
        <v>1701.4240000000002</v>
      </c>
      <c r="I863" s="20"/>
      <c r="J863" s="85" t="s">
        <v>1051</v>
      </c>
      <c r="K863" s="468" t="s">
        <v>1052</v>
      </c>
      <c r="L863" s="468"/>
      <c r="M863" s="468"/>
      <c r="N863" s="94">
        <v>15</v>
      </c>
      <c r="O863" s="330"/>
      <c r="P863" s="222">
        <v>148.94</v>
      </c>
      <c r="Q863" s="28">
        <f t="shared" si="121"/>
        <v>6404.42</v>
      </c>
      <c r="R863" s="28">
        <f t="shared" si="122"/>
        <v>5123.5360000000001</v>
      </c>
    </row>
    <row r="864" spans="1:18" ht="10.5" customHeight="1" x14ac:dyDescent="0.3">
      <c r="A864" s="85" t="s">
        <v>1053</v>
      </c>
      <c r="B864" s="467" t="s">
        <v>1054</v>
      </c>
      <c r="C864" s="467"/>
      <c r="D864" s="467"/>
      <c r="E864" s="239">
        <v>20</v>
      </c>
      <c r="F864" s="26">
        <v>63.29</v>
      </c>
      <c r="G864" s="72">
        <f t="shared" si="123"/>
        <v>2721.47</v>
      </c>
      <c r="H864" s="28">
        <f t="shared" si="124"/>
        <v>2177.1759999999999</v>
      </c>
      <c r="I864" s="20"/>
      <c r="J864" s="85" t="s">
        <v>1055</v>
      </c>
      <c r="K864" s="468" t="s">
        <v>1056</v>
      </c>
      <c r="L864" s="468"/>
      <c r="M864" s="468"/>
      <c r="N864" s="94">
        <v>15</v>
      </c>
      <c r="O864" s="330"/>
      <c r="P864" s="222">
        <v>182.12</v>
      </c>
      <c r="Q864" s="28">
        <f t="shared" si="121"/>
        <v>7831.16</v>
      </c>
      <c r="R864" s="28">
        <f t="shared" si="122"/>
        <v>6264.9279999999999</v>
      </c>
    </row>
    <row r="865" spans="1:18" ht="10.5" customHeight="1" x14ac:dyDescent="0.3">
      <c r="A865" s="85" t="s">
        <v>1057</v>
      </c>
      <c r="B865" s="467" t="s">
        <v>1058</v>
      </c>
      <c r="C865" s="467"/>
      <c r="D865" s="467"/>
      <c r="E865" s="94">
        <v>20</v>
      </c>
      <c r="F865" s="26">
        <v>69.81</v>
      </c>
      <c r="G865" s="72">
        <f t="shared" si="123"/>
        <v>3001.83</v>
      </c>
      <c r="H865" s="28">
        <f t="shared" si="124"/>
        <v>2401.4639999999999</v>
      </c>
      <c r="I865" s="20"/>
      <c r="J865" s="62" t="s">
        <v>1059</v>
      </c>
      <c r="K865" s="468" t="s">
        <v>1060</v>
      </c>
      <c r="L865" s="468"/>
      <c r="M865" s="468"/>
      <c r="N865" s="94">
        <v>10</v>
      </c>
      <c r="O865" s="330"/>
      <c r="P865" s="222">
        <v>211.39</v>
      </c>
      <c r="Q865" s="28">
        <f t="shared" si="121"/>
        <v>9089.7699999999986</v>
      </c>
      <c r="R865" s="28">
        <f t="shared" si="122"/>
        <v>7271.8159999999989</v>
      </c>
    </row>
    <row r="866" spans="1:18" ht="10.5" customHeight="1" x14ac:dyDescent="0.3">
      <c r="A866" s="85" t="s">
        <v>1061</v>
      </c>
      <c r="B866" s="467" t="s">
        <v>1062</v>
      </c>
      <c r="C866" s="467"/>
      <c r="D866" s="467"/>
      <c r="E866" s="94">
        <v>15</v>
      </c>
      <c r="F866" s="26">
        <v>79.2</v>
      </c>
      <c r="G866" s="72">
        <f t="shared" si="123"/>
        <v>3405.6</v>
      </c>
      <c r="H866" s="28">
        <f t="shared" si="124"/>
        <v>2724.48</v>
      </c>
      <c r="I866" s="176"/>
      <c r="J866" s="62" t="s">
        <v>1063</v>
      </c>
      <c r="K866" s="471" t="s">
        <v>1064</v>
      </c>
      <c r="L866" s="471"/>
      <c r="M866" s="471"/>
      <c r="N866" s="219">
        <v>10</v>
      </c>
      <c r="O866" s="219"/>
      <c r="P866" s="219">
        <v>226.08</v>
      </c>
      <c r="Q866" s="28">
        <f t="shared" si="121"/>
        <v>9721.44</v>
      </c>
      <c r="R866" s="28">
        <f t="shared" si="122"/>
        <v>7777.152</v>
      </c>
    </row>
    <row r="867" spans="1:18" ht="10.5" customHeight="1" x14ac:dyDescent="0.3">
      <c r="A867" s="85" t="s">
        <v>1065</v>
      </c>
      <c r="B867" s="463" t="s">
        <v>1066</v>
      </c>
      <c r="C867" s="463"/>
      <c r="D867" s="463"/>
      <c r="E867" s="94">
        <v>15</v>
      </c>
      <c r="F867" s="26">
        <v>84.18</v>
      </c>
      <c r="G867" s="72">
        <f t="shared" si="123"/>
        <v>3619.7400000000002</v>
      </c>
      <c r="H867" s="28">
        <f t="shared" si="124"/>
        <v>2895.7920000000004</v>
      </c>
      <c r="I867" s="176"/>
      <c r="J867" s="62" t="s">
        <v>1067</v>
      </c>
      <c r="K867" s="471" t="s">
        <v>1068</v>
      </c>
      <c r="L867" s="471"/>
      <c r="M867" s="471"/>
      <c r="N867" s="219">
        <v>10</v>
      </c>
      <c r="O867" s="219"/>
      <c r="P867" s="219">
        <v>250.55</v>
      </c>
      <c r="Q867" s="28">
        <f t="shared" si="121"/>
        <v>10773.65</v>
      </c>
      <c r="R867" s="28">
        <f t="shared" si="122"/>
        <v>8618.92</v>
      </c>
    </row>
    <row r="868" spans="1:18" ht="10.5" customHeight="1" x14ac:dyDescent="0.3">
      <c r="A868" s="85" t="s">
        <v>1069</v>
      </c>
      <c r="B868" s="463" t="s">
        <v>1070</v>
      </c>
      <c r="C868" s="463"/>
      <c r="D868" s="463"/>
      <c r="E868" s="94">
        <v>10</v>
      </c>
      <c r="F868" s="26">
        <v>104.41000000000001</v>
      </c>
      <c r="G868" s="72">
        <f t="shared" si="123"/>
        <v>4489.63</v>
      </c>
      <c r="H868" s="28">
        <f t="shared" si="124"/>
        <v>3591.7040000000002</v>
      </c>
      <c r="I868" s="176"/>
      <c r="J868" s="62" t="s">
        <v>1071</v>
      </c>
      <c r="K868" s="471" t="s">
        <v>1072</v>
      </c>
      <c r="L868" s="471"/>
      <c r="M868" s="471"/>
      <c r="N868" s="219">
        <v>10</v>
      </c>
      <c r="O868" s="219"/>
      <c r="P868" s="219">
        <v>244.92</v>
      </c>
      <c r="Q868" s="28">
        <f t="shared" si="121"/>
        <v>10531.56</v>
      </c>
      <c r="R868" s="28">
        <f t="shared" si="122"/>
        <v>8425.2479999999996</v>
      </c>
    </row>
    <row r="869" spans="1:18" ht="10.5" customHeight="1" x14ac:dyDescent="0.3">
      <c r="A869" s="85" t="s">
        <v>1073</v>
      </c>
      <c r="B869" s="463" t="s">
        <v>1074</v>
      </c>
      <c r="C869" s="463"/>
      <c r="D869" s="463"/>
      <c r="E869" s="94">
        <v>20</v>
      </c>
      <c r="F869" s="26">
        <v>65.94</v>
      </c>
      <c r="G869" s="72">
        <f t="shared" si="123"/>
        <v>2835.42</v>
      </c>
      <c r="H869" s="28">
        <f t="shared" si="124"/>
        <v>2268.3360000000002</v>
      </c>
      <c r="I869" s="20"/>
      <c r="J869" s="62" t="s">
        <v>1075</v>
      </c>
      <c r="K869" s="471" t="s">
        <v>1076</v>
      </c>
      <c r="L869" s="471"/>
      <c r="M869" s="471"/>
      <c r="N869" s="219">
        <v>10</v>
      </c>
      <c r="O869" s="219"/>
      <c r="P869" s="219">
        <v>295.16000000000003</v>
      </c>
      <c r="Q869" s="28">
        <f t="shared" si="121"/>
        <v>12691.880000000001</v>
      </c>
      <c r="R869" s="28">
        <f t="shared" si="122"/>
        <v>10153.504000000001</v>
      </c>
    </row>
    <row r="870" spans="1:18" ht="10.5" customHeight="1" x14ac:dyDescent="0.3">
      <c r="A870" s="85" t="s">
        <v>1077</v>
      </c>
      <c r="B870" s="463" t="s">
        <v>1078</v>
      </c>
      <c r="C870" s="463"/>
      <c r="D870" s="463"/>
      <c r="E870" s="94">
        <v>20</v>
      </c>
      <c r="F870" s="26">
        <v>73.790000000000006</v>
      </c>
      <c r="G870" s="72">
        <f t="shared" si="123"/>
        <v>3172.9700000000003</v>
      </c>
      <c r="H870" s="28">
        <f t="shared" si="124"/>
        <v>2538.3760000000002</v>
      </c>
      <c r="I870" s="20"/>
      <c r="J870" s="62" t="s">
        <v>1079</v>
      </c>
      <c r="K870" s="471" t="s">
        <v>1080</v>
      </c>
      <c r="L870" s="471"/>
      <c r="M870" s="471"/>
      <c r="N870" s="219">
        <v>10</v>
      </c>
      <c r="O870" s="219"/>
      <c r="P870" s="219">
        <v>366.39</v>
      </c>
      <c r="Q870" s="28">
        <f t="shared" si="121"/>
        <v>15754.769999999999</v>
      </c>
      <c r="R870" s="28">
        <f t="shared" si="122"/>
        <v>12603.815999999999</v>
      </c>
    </row>
    <row r="871" spans="1:18" ht="10.5" customHeight="1" x14ac:dyDescent="0.3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</row>
    <row r="872" spans="1:18" ht="10.5" customHeight="1" x14ac:dyDescent="0.3">
      <c r="A872" s="47" t="s">
        <v>1081</v>
      </c>
      <c r="B872" s="49" t="s">
        <v>1082</v>
      </c>
      <c r="C872" s="49"/>
      <c r="D872" s="49"/>
      <c r="E872" s="49"/>
      <c r="F872" s="49"/>
      <c r="G872" s="49"/>
      <c r="H872" s="49"/>
      <c r="I872" s="49"/>
      <c r="J872" s="446" t="s">
        <v>78</v>
      </c>
      <c r="K872" s="446" t="s">
        <v>79</v>
      </c>
      <c r="L872" s="446"/>
      <c r="M872" s="446"/>
      <c r="N872" s="447" t="s">
        <v>80</v>
      </c>
      <c r="O872" s="434"/>
      <c r="P872" s="61"/>
      <c r="Q872" s="16" t="s">
        <v>81</v>
      </c>
      <c r="R872" s="17" t="s">
        <v>82</v>
      </c>
    </row>
    <row r="873" spans="1:18" ht="10.5" customHeight="1" thickTop="1" x14ac:dyDescent="0.3">
      <c r="A873" s="99" t="s">
        <v>457</v>
      </c>
      <c r="B873" s="20"/>
      <c r="C873" s="20"/>
      <c r="D873" s="20"/>
      <c r="E873" s="20"/>
      <c r="F873" s="20"/>
      <c r="G873" s="20"/>
      <c r="H873" s="20"/>
      <c r="I873" s="20"/>
      <c r="J873" s="446"/>
      <c r="K873" s="446"/>
      <c r="L873" s="446"/>
      <c r="M873" s="446"/>
      <c r="N873" s="447"/>
      <c r="O873" s="369"/>
      <c r="P873" s="68"/>
      <c r="Q873" s="15" t="s">
        <v>84</v>
      </c>
      <c r="R873" s="15" t="s">
        <v>84</v>
      </c>
    </row>
    <row r="874" spans="1:18" ht="10.5" customHeight="1" x14ac:dyDescent="0.3">
      <c r="A874" s="18"/>
      <c r="B874" s="20"/>
      <c r="C874" s="20"/>
      <c r="D874" s="20"/>
      <c r="E874" s="20"/>
      <c r="F874" s="20"/>
      <c r="G874" s="20"/>
      <c r="H874" s="20"/>
      <c r="I874" s="20"/>
      <c r="J874" s="225" t="s">
        <v>1083</v>
      </c>
      <c r="K874" s="74" t="s">
        <v>775</v>
      </c>
      <c r="L874" s="75" t="s">
        <v>359</v>
      </c>
      <c r="M874" s="76">
        <v>120</v>
      </c>
      <c r="N874" s="87">
        <v>60</v>
      </c>
      <c r="O874" s="87"/>
      <c r="P874" s="78">
        <v>37.39</v>
      </c>
      <c r="Q874" s="72">
        <f t="shared" ref="Q874:Q886" si="125">P874*$F$10</f>
        <v>1607.77</v>
      </c>
      <c r="R874" s="72">
        <f t="shared" ref="R874:R886" si="126">Q874-Q874*0.2</f>
        <v>1286.2159999999999</v>
      </c>
    </row>
    <row r="875" spans="1:18" ht="10.5" customHeight="1" x14ac:dyDescent="0.3">
      <c r="A875" s="18"/>
      <c r="B875" s="20"/>
      <c r="C875" s="20"/>
      <c r="D875" s="20"/>
      <c r="E875" s="20"/>
      <c r="F875" s="20"/>
      <c r="G875" s="20"/>
      <c r="H875" s="20"/>
      <c r="I875" s="20"/>
      <c r="J875" s="121" t="s">
        <v>1084</v>
      </c>
      <c r="K875" s="22" t="s">
        <v>775</v>
      </c>
      <c r="L875" s="23" t="s">
        <v>359</v>
      </c>
      <c r="M875" s="24">
        <v>130</v>
      </c>
      <c r="N875" s="94">
        <v>50</v>
      </c>
      <c r="O875" s="94"/>
      <c r="P875" s="26">
        <v>37.28</v>
      </c>
      <c r="Q875" s="28">
        <f t="shared" si="125"/>
        <v>1603.04</v>
      </c>
      <c r="R875" s="28">
        <f t="shared" si="126"/>
        <v>1282.432</v>
      </c>
    </row>
    <row r="876" spans="1:18" ht="10.5" customHeight="1" thickBot="1" x14ac:dyDescent="0.35">
      <c r="A876" s="446" t="s">
        <v>78</v>
      </c>
      <c r="B876" s="446" t="s">
        <v>79</v>
      </c>
      <c r="C876" s="446"/>
      <c r="D876" s="446"/>
      <c r="E876" s="447" t="s">
        <v>80</v>
      </c>
      <c r="F876" s="61"/>
      <c r="G876" s="16" t="s">
        <v>81</v>
      </c>
      <c r="H876" s="17" t="s">
        <v>82</v>
      </c>
      <c r="I876" s="20"/>
      <c r="J876" s="246" t="s">
        <v>1085</v>
      </c>
      <c r="K876" s="22" t="s">
        <v>775</v>
      </c>
      <c r="L876" s="23" t="s">
        <v>359</v>
      </c>
      <c r="M876" s="24">
        <v>150</v>
      </c>
      <c r="N876" s="93">
        <v>50</v>
      </c>
      <c r="O876" s="93"/>
      <c r="P876" s="26">
        <v>44.29</v>
      </c>
      <c r="Q876" s="28">
        <f t="shared" si="125"/>
        <v>1904.47</v>
      </c>
      <c r="R876" s="28">
        <f t="shared" si="126"/>
        <v>1523.576</v>
      </c>
    </row>
    <row r="877" spans="1:18" ht="10.5" customHeight="1" thickTop="1" x14ac:dyDescent="0.3">
      <c r="A877" s="446"/>
      <c r="B877" s="446"/>
      <c r="C877" s="446"/>
      <c r="D877" s="446"/>
      <c r="E877" s="447"/>
      <c r="F877" s="68"/>
      <c r="G877" s="15" t="s">
        <v>84</v>
      </c>
      <c r="H877" s="15" t="s">
        <v>84</v>
      </c>
      <c r="I877" s="20"/>
      <c r="J877" s="246" t="s">
        <v>1086</v>
      </c>
      <c r="K877" s="32" t="s">
        <v>778</v>
      </c>
      <c r="L877" s="33" t="s">
        <v>359</v>
      </c>
      <c r="M877" s="34">
        <v>80</v>
      </c>
      <c r="N877" s="93">
        <v>60</v>
      </c>
      <c r="O877" s="93"/>
      <c r="P877" s="26">
        <v>41.4</v>
      </c>
      <c r="Q877" s="28">
        <f t="shared" si="125"/>
        <v>1780.2</v>
      </c>
      <c r="R877" s="28">
        <f t="shared" si="126"/>
        <v>1424.16</v>
      </c>
    </row>
    <row r="878" spans="1:18" ht="10.5" customHeight="1" x14ac:dyDescent="0.3">
      <c r="A878" s="225" t="s">
        <v>1087</v>
      </c>
      <c r="B878" s="74" t="s">
        <v>769</v>
      </c>
      <c r="C878" s="75" t="s">
        <v>359</v>
      </c>
      <c r="D878" s="76">
        <v>40</v>
      </c>
      <c r="E878" s="87">
        <v>350</v>
      </c>
      <c r="F878" s="78">
        <v>10.99</v>
      </c>
      <c r="G878" s="72">
        <f t="shared" ref="G878:G887" si="127">F878*$F$10</f>
        <v>472.57</v>
      </c>
      <c r="H878" s="72">
        <f t="shared" ref="H878:H887" si="128">G878-G878*0.2</f>
        <v>378.05599999999998</v>
      </c>
      <c r="I878" s="20"/>
      <c r="J878" s="121" t="s">
        <v>1088</v>
      </c>
      <c r="K878" s="22" t="s">
        <v>778</v>
      </c>
      <c r="L878" s="23" t="s">
        <v>359</v>
      </c>
      <c r="M878" s="24">
        <v>100</v>
      </c>
      <c r="N878" s="94">
        <v>50</v>
      </c>
      <c r="O878" s="94"/>
      <c r="P878" s="26">
        <v>48.38</v>
      </c>
      <c r="Q878" s="28">
        <f t="shared" si="125"/>
        <v>2080.34</v>
      </c>
      <c r="R878" s="28">
        <f t="shared" si="126"/>
        <v>1664.2720000000002</v>
      </c>
    </row>
    <row r="879" spans="1:18" ht="10.5" customHeight="1" x14ac:dyDescent="0.3">
      <c r="A879" s="121" t="s">
        <v>1089</v>
      </c>
      <c r="B879" s="22" t="s">
        <v>769</v>
      </c>
      <c r="C879" s="23" t="s">
        <v>359</v>
      </c>
      <c r="D879" s="24">
        <v>80</v>
      </c>
      <c r="E879" s="94">
        <v>250</v>
      </c>
      <c r="F879" s="26">
        <v>13.02</v>
      </c>
      <c r="G879" s="28">
        <f t="shared" si="127"/>
        <v>559.86</v>
      </c>
      <c r="H879" s="28">
        <f t="shared" si="128"/>
        <v>447.88800000000003</v>
      </c>
      <c r="I879" s="20"/>
      <c r="J879" s="121" t="s">
        <v>1090</v>
      </c>
      <c r="K879" s="22" t="s">
        <v>778</v>
      </c>
      <c r="L879" s="23" t="s">
        <v>359</v>
      </c>
      <c r="M879" s="24">
        <v>140</v>
      </c>
      <c r="N879" s="94">
        <v>35</v>
      </c>
      <c r="O879" s="94"/>
      <c r="P879" s="26">
        <v>64.44</v>
      </c>
      <c r="Q879" s="28">
        <f t="shared" si="125"/>
        <v>2770.92</v>
      </c>
      <c r="R879" s="28">
        <f t="shared" si="126"/>
        <v>2216.7359999999999</v>
      </c>
    </row>
    <row r="880" spans="1:18" ht="10.5" customHeight="1" x14ac:dyDescent="0.3">
      <c r="A880" s="121" t="s">
        <v>1091</v>
      </c>
      <c r="B880" s="22" t="s">
        <v>769</v>
      </c>
      <c r="C880" s="23" t="s">
        <v>359</v>
      </c>
      <c r="D880" s="24">
        <v>100</v>
      </c>
      <c r="E880" s="94">
        <v>180</v>
      </c>
      <c r="F880" s="26">
        <v>15.23</v>
      </c>
      <c r="G880" s="28">
        <f t="shared" si="127"/>
        <v>654.89</v>
      </c>
      <c r="H880" s="28">
        <f t="shared" si="128"/>
        <v>523.91200000000003</v>
      </c>
      <c r="I880" s="20"/>
      <c r="J880" s="121" t="s">
        <v>1092</v>
      </c>
      <c r="K880" s="22" t="s">
        <v>778</v>
      </c>
      <c r="L880" s="23" t="s">
        <v>359</v>
      </c>
      <c r="M880" s="24">
        <v>160</v>
      </c>
      <c r="N880" s="94">
        <v>30</v>
      </c>
      <c r="O880" s="94"/>
      <c r="P880" s="26">
        <v>68.239999999999995</v>
      </c>
      <c r="Q880" s="28">
        <f t="shared" si="125"/>
        <v>2934.3199999999997</v>
      </c>
      <c r="R880" s="28">
        <f t="shared" si="126"/>
        <v>2347.4559999999997</v>
      </c>
    </row>
    <row r="881" spans="1:18" ht="10.5" customHeight="1" x14ac:dyDescent="0.3">
      <c r="A881" s="121" t="s">
        <v>1093</v>
      </c>
      <c r="B881" s="22" t="s">
        <v>772</v>
      </c>
      <c r="C881" s="23" t="s">
        <v>359</v>
      </c>
      <c r="D881" s="24">
        <v>50</v>
      </c>
      <c r="E881" s="94">
        <v>200</v>
      </c>
      <c r="F881" s="26">
        <v>15.7</v>
      </c>
      <c r="G881" s="28">
        <f t="shared" si="127"/>
        <v>675.1</v>
      </c>
      <c r="H881" s="28">
        <f t="shared" si="128"/>
        <v>540.08000000000004</v>
      </c>
      <c r="I881" s="20"/>
      <c r="J881" s="121" t="s">
        <v>1094</v>
      </c>
      <c r="K881" s="22" t="s">
        <v>1095</v>
      </c>
      <c r="L881" s="23" t="s">
        <v>359</v>
      </c>
      <c r="M881" s="24">
        <v>105</v>
      </c>
      <c r="N881" s="94">
        <v>25</v>
      </c>
      <c r="O881" s="94"/>
      <c r="P881" s="26">
        <v>97.38</v>
      </c>
      <c r="Q881" s="28">
        <f t="shared" si="125"/>
        <v>4187.34</v>
      </c>
      <c r="R881" s="28">
        <f t="shared" si="126"/>
        <v>3349.8720000000003</v>
      </c>
    </row>
    <row r="882" spans="1:18" ht="10.5" customHeight="1" x14ac:dyDescent="0.3">
      <c r="A882" s="121" t="s">
        <v>1096</v>
      </c>
      <c r="B882" s="22" t="s">
        <v>772</v>
      </c>
      <c r="C882" s="23" t="s">
        <v>359</v>
      </c>
      <c r="D882" s="24">
        <v>80</v>
      </c>
      <c r="E882" s="94">
        <v>130</v>
      </c>
      <c r="F882" s="26">
        <v>18.850000000000001</v>
      </c>
      <c r="G882" s="28">
        <f t="shared" si="127"/>
        <v>810.55000000000007</v>
      </c>
      <c r="H882" s="28">
        <f t="shared" si="128"/>
        <v>648.44000000000005</v>
      </c>
      <c r="I882" s="20"/>
      <c r="J882" s="121" t="s">
        <v>1097</v>
      </c>
      <c r="K882" s="22" t="s">
        <v>1095</v>
      </c>
      <c r="L882" s="23" t="s">
        <v>359</v>
      </c>
      <c r="M882" s="24">
        <v>145</v>
      </c>
      <c r="N882" s="94">
        <v>20</v>
      </c>
      <c r="O882" s="94"/>
      <c r="P882" s="26">
        <v>103.36</v>
      </c>
      <c r="Q882" s="28">
        <f t="shared" si="125"/>
        <v>4444.4799999999996</v>
      </c>
      <c r="R882" s="28">
        <f t="shared" si="126"/>
        <v>3555.5839999999998</v>
      </c>
    </row>
    <row r="883" spans="1:18" ht="10.5" customHeight="1" x14ac:dyDescent="0.3">
      <c r="A883" s="121" t="s">
        <v>1098</v>
      </c>
      <c r="B883" s="22" t="s">
        <v>772</v>
      </c>
      <c r="C883" s="23" t="s">
        <v>359</v>
      </c>
      <c r="D883" s="24">
        <v>100</v>
      </c>
      <c r="E883" s="94">
        <v>100</v>
      </c>
      <c r="F883" s="26">
        <v>22.15</v>
      </c>
      <c r="G883" s="28">
        <f t="shared" si="127"/>
        <v>952.44999999999993</v>
      </c>
      <c r="H883" s="28">
        <f t="shared" si="128"/>
        <v>761.95999999999992</v>
      </c>
      <c r="I883" s="20"/>
      <c r="J883" s="121" t="s">
        <v>1099</v>
      </c>
      <c r="K883" s="22" t="s">
        <v>1095</v>
      </c>
      <c r="L883" s="23" t="s">
        <v>359</v>
      </c>
      <c r="M883" s="24">
        <v>180</v>
      </c>
      <c r="N883" s="94">
        <v>20</v>
      </c>
      <c r="O883" s="94"/>
      <c r="P883" s="26">
        <v>133.85</v>
      </c>
      <c r="Q883" s="28">
        <f t="shared" si="125"/>
        <v>5755.55</v>
      </c>
      <c r="R883" s="28">
        <f t="shared" si="126"/>
        <v>4604.4400000000005</v>
      </c>
    </row>
    <row r="884" spans="1:18" ht="10.5" customHeight="1" x14ac:dyDescent="0.3">
      <c r="A884" s="121" t="s">
        <v>1100</v>
      </c>
      <c r="B884" s="22" t="s">
        <v>772</v>
      </c>
      <c r="C884" s="23" t="s">
        <v>359</v>
      </c>
      <c r="D884" s="24">
        <v>120</v>
      </c>
      <c r="E884" s="94">
        <v>80</v>
      </c>
      <c r="F884" s="26">
        <v>24.5</v>
      </c>
      <c r="G884" s="28">
        <f t="shared" si="127"/>
        <v>1053.5</v>
      </c>
      <c r="H884" s="28">
        <f t="shared" si="128"/>
        <v>842.8</v>
      </c>
      <c r="I884" s="20"/>
      <c r="J884" s="121" t="s">
        <v>1101</v>
      </c>
      <c r="K884" s="22" t="s">
        <v>1102</v>
      </c>
      <c r="L884" s="23" t="s">
        <v>359</v>
      </c>
      <c r="M884" s="24">
        <v>160</v>
      </c>
      <c r="N884" s="94">
        <v>60</v>
      </c>
      <c r="O884" s="94"/>
      <c r="P884" s="26">
        <v>212.13</v>
      </c>
      <c r="Q884" s="28">
        <f t="shared" si="125"/>
        <v>9121.59</v>
      </c>
      <c r="R884" s="28">
        <f t="shared" si="126"/>
        <v>7297.2719999999999</v>
      </c>
    </row>
    <row r="885" spans="1:18" ht="10.5" customHeight="1" x14ac:dyDescent="0.3">
      <c r="A885" s="121" t="s">
        <v>1103</v>
      </c>
      <c r="B885" s="22" t="s">
        <v>772</v>
      </c>
      <c r="C885" s="23" t="s">
        <v>359</v>
      </c>
      <c r="D885" s="24">
        <v>165</v>
      </c>
      <c r="E885" s="94">
        <v>65</v>
      </c>
      <c r="F885" s="26">
        <v>36.9</v>
      </c>
      <c r="G885" s="28">
        <f t="shared" si="127"/>
        <v>1586.7</v>
      </c>
      <c r="H885" s="28">
        <f t="shared" si="128"/>
        <v>1269.3600000000001</v>
      </c>
      <c r="I885" s="20"/>
      <c r="J885" s="121" t="s">
        <v>1104</v>
      </c>
      <c r="K885" s="22" t="s">
        <v>1102</v>
      </c>
      <c r="L885" s="23" t="s">
        <v>359</v>
      </c>
      <c r="M885" s="24">
        <v>200</v>
      </c>
      <c r="N885" s="94">
        <v>45</v>
      </c>
      <c r="O885" s="94"/>
      <c r="P885" s="26">
        <v>238.9</v>
      </c>
      <c r="Q885" s="28">
        <f t="shared" si="125"/>
        <v>10272.700000000001</v>
      </c>
      <c r="R885" s="28">
        <f t="shared" si="126"/>
        <v>8218.16</v>
      </c>
    </row>
    <row r="886" spans="1:18" ht="10.5" customHeight="1" x14ac:dyDescent="0.3">
      <c r="A886" s="121" t="s">
        <v>1105</v>
      </c>
      <c r="B886" s="22" t="s">
        <v>775</v>
      </c>
      <c r="C886" s="23" t="s">
        <v>359</v>
      </c>
      <c r="D886" s="24">
        <v>65</v>
      </c>
      <c r="E886" s="94">
        <v>100</v>
      </c>
      <c r="F886" s="26">
        <v>26.55</v>
      </c>
      <c r="G886" s="28">
        <f t="shared" si="127"/>
        <v>1141.6500000000001</v>
      </c>
      <c r="H886" s="28">
        <f t="shared" si="128"/>
        <v>913.32</v>
      </c>
      <c r="I886" s="20"/>
      <c r="J886" s="121" t="s">
        <v>1106</v>
      </c>
      <c r="K886" s="22" t="s">
        <v>1102</v>
      </c>
      <c r="L886" s="23" t="s">
        <v>359</v>
      </c>
      <c r="M886" s="24">
        <v>300</v>
      </c>
      <c r="N886" s="94">
        <v>30</v>
      </c>
      <c r="O886" s="94"/>
      <c r="P886" s="26">
        <v>463.88</v>
      </c>
      <c r="Q886" s="28">
        <f t="shared" si="125"/>
        <v>19946.84</v>
      </c>
      <c r="R886" s="28">
        <f t="shared" si="126"/>
        <v>15957.472</v>
      </c>
    </row>
    <row r="887" spans="1:18" ht="10.5" customHeight="1" x14ac:dyDescent="0.3">
      <c r="A887" s="121" t="s">
        <v>1107</v>
      </c>
      <c r="B887" s="22" t="s">
        <v>775</v>
      </c>
      <c r="C887" s="23" t="s">
        <v>359</v>
      </c>
      <c r="D887" s="24">
        <v>100</v>
      </c>
      <c r="E887" s="94">
        <v>65</v>
      </c>
      <c r="F887" s="26">
        <v>33.33</v>
      </c>
      <c r="G887" s="28">
        <f t="shared" si="127"/>
        <v>1433.1899999999998</v>
      </c>
      <c r="H887" s="28">
        <f t="shared" si="128"/>
        <v>1146.5519999999999</v>
      </c>
      <c r="I887" s="83"/>
      <c r="J887" s="83"/>
      <c r="K887" s="83"/>
      <c r="L887" s="83"/>
      <c r="M887" s="83"/>
      <c r="N887" s="83"/>
      <c r="O887" s="83"/>
      <c r="P887" s="83"/>
      <c r="Q887" s="83"/>
      <c r="R887" s="116"/>
    </row>
    <row r="888" spans="1:18" ht="10.5" customHeight="1" x14ac:dyDescent="0.3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</row>
    <row r="889" spans="1:18" ht="10.5" customHeight="1" x14ac:dyDescent="0.3">
      <c r="A889" s="47" t="s">
        <v>1108</v>
      </c>
      <c r="B889" s="228" t="s">
        <v>1109</v>
      </c>
      <c r="C889" s="49"/>
      <c r="D889" s="49"/>
      <c r="E889" s="49"/>
      <c r="F889" s="49"/>
      <c r="G889" s="49"/>
      <c r="H889" s="49"/>
      <c r="I889" s="50"/>
      <c r="J889" s="446" t="s">
        <v>78</v>
      </c>
      <c r="K889" s="446" t="s">
        <v>1110</v>
      </c>
      <c r="L889" s="446"/>
      <c r="M889" s="446"/>
      <c r="N889" s="447" t="s">
        <v>80</v>
      </c>
      <c r="O889" s="434"/>
      <c r="P889" s="61"/>
      <c r="Q889" s="16" t="s">
        <v>81</v>
      </c>
      <c r="R889" s="17" t="s">
        <v>82</v>
      </c>
    </row>
    <row r="890" spans="1:18" ht="10.5" customHeight="1" x14ac:dyDescent="0.3">
      <c r="A890" s="18"/>
      <c r="B890" s="20"/>
      <c r="C890" s="20"/>
      <c r="D890" s="20"/>
      <c r="E890" s="20"/>
      <c r="F890" s="20"/>
      <c r="G890" s="20"/>
      <c r="H890" s="20"/>
      <c r="I890" s="101"/>
      <c r="J890" s="446"/>
      <c r="K890" s="446"/>
      <c r="L890" s="446"/>
      <c r="M890" s="446"/>
      <c r="N890" s="447"/>
      <c r="O890" s="369"/>
      <c r="P890" s="68"/>
      <c r="Q890" s="69" t="s">
        <v>84</v>
      </c>
      <c r="R890" s="69" t="s">
        <v>84</v>
      </c>
    </row>
    <row r="891" spans="1:18" ht="10.5" customHeight="1" x14ac:dyDescent="0.3">
      <c r="A891" s="18"/>
      <c r="B891" s="20"/>
      <c r="C891" s="20"/>
      <c r="D891" s="20"/>
      <c r="E891" s="20"/>
      <c r="F891" s="20"/>
      <c r="G891" s="20"/>
      <c r="H891" s="20"/>
      <c r="I891" s="101"/>
      <c r="J891" s="225" t="s">
        <v>1111</v>
      </c>
      <c r="K891" s="472" t="s">
        <v>1112</v>
      </c>
      <c r="L891" s="472" t="s">
        <v>1113</v>
      </c>
      <c r="M891" s="472">
        <v>8</v>
      </c>
      <c r="N891" s="94" t="s">
        <v>88</v>
      </c>
      <c r="O891" s="87"/>
      <c r="P891" s="78">
        <v>10.88</v>
      </c>
      <c r="Q891" s="247">
        <f>P891*F$10</f>
        <v>467.84000000000003</v>
      </c>
      <c r="R891" s="28">
        <f>Q891-Q891*0.2</f>
        <v>374.27200000000005</v>
      </c>
    </row>
    <row r="892" spans="1:18" ht="10.5" customHeight="1" x14ac:dyDescent="0.3">
      <c r="A892" s="18"/>
      <c r="B892" s="20"/>
      <c r="C892" s="20"/>
      <c r="D892" s="20"/>
      <c r="E892" s="20"/>
      <c r="F892" s="20"/>
      <c r="G892" s="20"/>
      <c r="H892" s="20"/>
      <c r="I892" s="101"/>
      <c r="J892" s="225" t="s">
        <v>1114</v>
      </c>
      <c r="K892" s="472" t="s">
        <v>1115</v>
      </c>
      <c r="L892" s="472" t="s">
        <v>1113</v>
      </c>
      <c r="M892" s="472">
        <v>8</v>
      </c>
      <c r="N892" s="94" t="s">
        <v>88</v>
      </c>
      <c r="O892" s="87"/>
      <c r="P892" s="78">
        <v>10.88</v>
      </c>
      <c r="Q892" s="247">
        <f>P892*F$10</f>
        <v>467.84000000000003</v>
      </c>
      <c r="R892" s="28">
        <f>Q892-Q892*0.2</f>
        <v>374.27200000000005</v>
      </c>
    </row>
    <row r="893" spans="1:18" ht="10.5" customHeight="1" x14ac:dyDescent="0.3">
      <c r="A893" s="18"/>
      <c r="B893" s="20"/>
      <c r="C893" s="20"/>
      <c r="D893" s="20"/>
      <c r="E893" s="20"/>
      <c r="F893" s="20"/>
      <c r="G893" s="20"/>
      <c r="H893" s="20"/>
      <c r="I893" s="101"/>
      <c r="J893" s="225" t="s">
        <v>1116</v>
      </c>
      <c r="K893" s="472" t="s">
        <v>1117</v>
      </c>
      <c r="L893" s="472" t="s">
        <v>1113</v>
      </c>
      <c r="M893" s="472">
        <v>8</v>
      </c>
      <c r="N893" s="94" t="s">
        <v>88</v>
      </c>
      <c r="O893" s="87"/>
      <c r="P893" s="78">
        <v>10.88</v>
      </c>
      <c r="Q893" s="247">
        <f>P893*F$10</f>
        <v>467.84000000000003</v>
      </c>
      <c r="R893" s="28">
        <f>Q893-Q893*0.2</f>
        <v>374.27200000000005</v>
      </c>
    </row>
    <row r="894" spans="1:18" ht="10.5" customHeight="1" x14ac:dyDescent="0.3">
      <c r="A894" s="18"/>
      <c r="B894" s="20"/>
      <c r="C894" s="20"/>
      <c r="D894" s="20"/>
      <c r="E894" s="20"/>
      <c r="F894" s="20"/>
      <c r="G894" s="20"/>
      <c r="H894" s="20"/>
      <c r="I894" s="101"/>
      <c r="J894" s="225" t="s">
        <v>1118</v>
      </c>
      <c r="K894" s="472" t="s">
        <v>1119</v>
      </c>
      <c r="L894" s="472" t="s">
        <v>1113</v>
      </c>
      <c r="M894" s="472">
        <v>8</v>
      </c>
      <c r="N894" s="94" t="s">
        <v>88</v>
      </c>
      <c r="O894" s="87"/>
      <c r="P894" s="78">
        <v>10.88</v>
      </c>
      <c r="Q894" s="247">
        <f>P894*F$10</f>
        <v>467.84000000000003</v>
      </c>
      <c r="R894" s="28">
        <f>Q894-Q894*0.2</f>
        <v>374.27200000000005</v>
      </c>
    </row>
    <row r="895" spans="1:18" ht="10.5" customHeight="1" x14ac:dyDescent="0.3">
      <c r="A895" s="55"/>
      <c r="B895" s="83"/>
      <c r="C895" s="83"/>
      <c r="D895" s="83"/>
      <c r="E895" s="83"/>
      <c r="F895" s="83"/>
      <c r="G895" s="83"/>
      <c r="H895" s="83"/>
      <c r="I895" s="116"/>
      <c r="J895" s="225" t="s">
        <v>1120</v>
      </c>
      <c r="K895" s="472" t="s">
        <v>1121</v>
      </c>
      <c r="L895" s="472" t="s">
        <v>1113</v>
      </c>
      <c r="M895" s="472">
        <v>8</v>
      </c>
      <c r="N895" s="94" t="s">
        <v>88</v>
      </c>
      <c r="O895" s="87"/>
      <c r="P895" s="78">
        <v>9.75</v>
      </c>
      <c r="Q895" s="247">
        <f>P895*F$10</f>
        <v>419.25</v>
      </c>
      <c r="R895" s="28">
        <f>Q895-Q895*0.2</f>
        <v>335.4</v>
      </c>
    </row>
    <row r="896" spans="1:18" ht="10.5" customHeight="1" x14ac:dyDescent="0.3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</row>
    <row r="897" spans="1:18" ht="15" customHeight="1" x14ac:dyDescent="0.3">
      <c r="A897" s="448" t="s">
        <v>1122</v>
      </c>
      <c r="B897" s="448"/>
      <c r="C897" s="448"/>
      <c r="D897" s="448"/>
      <c r="E897" s="448"/>
      <c r="F897" s="448"/>
      <c r="G897" s="448"/>
      <c r="H897" s="448"/>
      <c r="I897" s="448"/>
      <c r="J897" s="448"/>
      <c r="K897" s="448"/>
      <c r="L897" s="448"/>
      <c r="M897" s="448"/>
      <c r="N897" s="448"/>
      <c r="O897" s="448"/>
      <c r="P897" s="448"/>
      <c r="Q897" s="448"/>
      <c r="R897" s="448"/>
    </row>
    <row r="898" spans="1:18" ht="10.5" customHeight="1" x14ac:dyDescent="0.3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</row>
    <row r="899" spans="1:18" ht="10.5" customHeight="1" x14ac:dyDescent="0.3">
      <c r="A899" s="47" t="s">
        <v>1123</v>
      </c>
      <c r="B899" s="228" t="s">
        <v>1124</v>
      </c>
      <c r="C899" s="49"/>
      <c r="D899" s="49"/>
      <c r="E899" s="49"/>
      <c r="F899" s="49"/>
      <c r="G899" s="49"/>
      <c r="H899" s="49"/>
      <c r="I899" s="49"/>
      <c r="J899" s="446" t="s">
        <v>78</v>
      </c>
      <c r="K899" s="446" t="s">
        <v>79</v>
      </c>
      <c r="L899" s="446"/>
      <c r="M899" s="446"/>
      <c r="N899" s="447" t="s">
        <v>80</v>
      </c>
      <c r="O899" s="434"/>
      <c r="P899" s="61"/>
      <c r="Q899" s="16" t="s">
        <v>81</v>
      </c>
      <c r="R899" s="17" t="s">
        <v>82</v>
      </c>
    </row>
    <row r="900" spans="1:18" ht="10.5" customHeight="1" x14ac:dyDescent="0.3">
      <c r="A900" s="18"/>
      <c r="B900" s="20"/>
      <c r="C900" s="20"/>
      <c r="D900" s="20"/>
      <c r="E900" s="20"/>
      <c r="F900" s="20"/>
      <c r="G900" s="20"/>
      <c r="H900" s="20"/>
      <c r="I900" s="20"/>
      <c r="J900" s="446"/>
      <c r="K900" s="446"/>
      <c r="L900" s="446"/>
      <c r="M900" s="446"/>
      <c r="N900" s="447"/>
      <c r="O900" s="369"/>
      <c r="P900" s="68"/>
      <c r="Q900" s="69" t="s">
        <v>84</v>
      </c>
      <c r="R900" s="69" t="s">
        <v>84</v>
      </c>
    </row>
    <row r="901" spans="1:18" ht="10.5" customHeight="1" x14ac:dyDescent="0.3">
      <c r="A901" s="18"/>
      <c r="B901" s="20"/>
      <c r="C901" s="20"/>
      <c r="D901" s="20"/>
      <c r="E901" s="20"/>
      <c r="F901" s="20"/>
      <c r="G901" s="20"/>
      <c r="H901" s="20"/>
      <c r="I901" s="20"/>
      <c r="J901" s="79" t="str">
        <f>0&amp;4001&amp;0&amp;M901</f>
        <v>0400108</v>
      </c>
      <c r="K901" s="22" t="s">
        <v>1125</v>
      </c>
      <c r="L901" s="23" t="s">
        <v>1113</v>
      </c>
      <c r="M901" s="24">
        <v>8</v>
      </c>
      <c r="N901" s="94">
        <v>200</v>
      </c>
      <c r="O901" s="87"/>
      <c r="P901" s="78">
        <v>0.62</v>
      </c>
      <c r="Q901" s="247">
        <f t="shared" ref="Q901:Q909" si="129">P901*F$10</f>
        <v>26.66</v>
      </c>
      <c r="R901" s="28">
        <f t="shared" ref="R901:R909" si="130">Q901-Q901*0.2</f>
        <v>21.327999999999999</v>
      </c>
    </row>
    <row r="902" spans="1:18" ht="10.5" customHeight="1" x14ac:dyDescent="0.3">
      <c r="A902" s="18"/>
      <c r="B902" s="20"/>
      <c r="C902" s="20"/>
      <c r="D902" s="20"/>
      <c r="E902" s="20"/>
      <c r="F902" s="20"/>
      <c r="G902" s="20"/>
      <c r="H902" s="20"/>
      <c r="I902" s="20"/>
      <c r="J902" s="79" t="str">
        <f>0&amp;4001&amp;0&amp;M902</f>
        <v>0400109</v>
      </c>
      <c r="K902" s="22" t="s">
        <v>1125</v>
      </c>
      <c r="L902" s="23" t="s">
        <v>1113</v>
      </c>
      <c r="M902" s="24">
        <v>9</v>
      </c>
      <c r="N902" s="94">
        <v>200</v>
      </c>
      <c r="O902" s="94"/>
      <c r="P902" s="26">
        <v>0.76</v>
      </c>
      <c r="Q902" s="247">
        <f t="shared" si="129"/>
        <v>32.68</v>
      </c>
      <c r="R902" s="28">
        <f t="shared" si="130"/>
        <v>26.143999999999998</v>
      </c>
    </row>
    <row r="903" spans="1:18" ht="10.5" customHeight="1" x14ac:dyDescent="0.3">
      <c r="A903" s="118" t="s">
        <v>1126</v>
      </c>
      <c r="B903" s="20"/>
      <c r="C903" s="20"/>
      <c r="D903" s="20"/>
      <c r="E903" s="20"/>
      <c r="F903" s="20"/>
      <c r="G903" s="20"/>
      <c r="H903" s="20"/>
      <c r="I903" s="20"/>
      <c r="J903" s="79" t="str">
        <f t="shared" ref="J903:J909" si="131">0&amp;4001&amp;M903</f>
        <v>0400110</v>
      </c>
      <c r="K903" s="22" t="s">
        <v>1125</v>
      </c>
      <c r="L903" s="23" t="s">
        <v>1113</v>
      </c>
      <c r="M903" s="24">
        <v>10</v>
      </c>
      <c r="N903" s="94">
        <v>200</v>
      </c>
      <c r="O903" s="94"/>
      <c r="P903" s="26">
        <v>0.84</v>
      </c>
      <c r="Q903" s="247">
        <f t="shared" si="129"/>
        <v>36.119999999999997</v>
      </c>
      <c r="R903" s="28">
        <f t="shared" si="130"/>
        <v>28.895999999999997</v>
      </c>
    </row>
    <row r="904" spans="1:18" ht="10.5" customHeight="1" x14ac:dyDescent="0.3">
      <c r="A904" s="446" t="s">
        <v>78</v>
      </c>
      <c r="B904" s="446" t="s">
        <v>79</v>
      </c>
      <c r="C904" s="446"/>
      <c r="D904" s="446"/>
      <c r="E904" s="447" t="s">
        <v>80</v>
      </c>
      <c r="F904" s="61"/>
      <c r="G904" s="16" t="s">
        <v>81</v>
      </c>
      <c r="H904" s="17" t="s">
        <v>82</v>
      </c>
      <c r="I904" s="20"/>
      <c r="J904" s="79" t="str">
        <f t="shared" si="131"/>
        <v>0400112</v>
      </c>
      <c r="K904" s="22" t="s">
        <v>1125</v>
      </c>
      <c r="L904" s="23" t="s">
        <v>1113</v>
      </c>
      <c r="M904" s="24">
        <v>12</v>
      </c>
      <c r="N904" s="94">
        <v>200</v>
      </c>
      <c r="O904" s="94"/>
      <c r="P904" s="26">
        <v>1.1399999999999999</v>
      </c>
      <c r="Q904" s="247">
        <f t="shared" si="129"/>
        <v>49.019999999999996</v>
      </c>
      <c r="R904" s="28">
        <f t="shared" si="130"/>
        <v>39.215999999999994</v>
      </c>
    </row>
    <row r="905" spans="1:18" ht="10.5" customHeight="1" x14ac:dyDescent="0.3">
      <c r="A905" s="446"/>
      <c r="B905" s="446"/>
      <c r="C905" s="446"/>
      <c r="D905" s="446"/>
      <c r="E905" s="447"/>
      <c r="F905" s="68"/>
      <c r="G905" s="69" t="s">
        <v>84</v>
      </c>
      <c r="H905" s="69" t="s">
        <v>84</v>
      </c>
      <c r="I905" s="20"/>
      <c r="J905" s="79" t="str">
        <f t="shared" si="131"/>
        <v>0400114</v>
      </c>
      <c r="K905" s="22" t="s">
        <v>1125</v>
      </c>
      <c r="L905" s="23" t="s">
        <v>1113</v>
      </c>
      <c r="M905" s="24">
        <v>14</v>
      </c>
      <c r="N905" s="94">
        <v>50</v>
      </c>
      <c r="O905" s="94"/>
      <c r="P905" s="26">
        <v>1.83</v>
      </c>
      <c r="Q905" s="247">
        <f t="shared" si="129"/>
        <v>78.69</v>
      </c>
      <c r="R905" s="28">
        <f t="shared" si="130"/>
        <v>62.951999999999998</v>
      </c>
    </row>
    <row r="906" spans="1:18" ht="10.5" customHeight="1" x14ac:dyDescent="0.3">
      <c r="A906" s="73" t="str">
        <f>0&amp;4001&amp;0&amp;D906</f>
        <v>0400103</v>
      </c>
      <c r="B906" s="74" t="s">
        <v>1125</v>
      </c>
      <c r="C906" s="75" t="s">
        <v>1113</v>
      </c>
      <c r="D906" s="76">
        <v>3</v>
      </c>
      <c r="E906" s="87">
        <v>200</v>
      </c>
      <c r="F906" s="78">
        <v>0.3</v>
      </c>
      <c r="G906" s="247">
        <f>F906*F$10</f>
        <v>12.9</v>
      </c>
      <c r="H906" s="72">
        <f>G906-G906*0.2</f>
        <v>10.32</v>
      </c>
      <c r="I906" s="20"/>
      <c r="J906" s="79" t="str">
        <f t="shared" si="131"/>
        <v>0400116</v>
      </c>
      <c r="K906" s="22" t="s">
        <v>1125</v>
      </c>
      <c r="L906" s="23" t="s">
        <v>1113</v>
      </c>
      <c r="M906" s="24">
        <v>16</v>
      </c>
      <c r="N906" s="94">
        <v>50</v>
      </c>
      <c r="O906" s="94"/>
      <c r="P906" s="26">
        <v>2.19</v>
      </c>
      <c r="Q906" s="247">
        <f t="shared" si="129"/>
        <v>94.17</v>
      </c>
      <c r="R906" s="28">
        <f t="shared" si="130"/>
        <v>75.335999999999999</v>
      </c>
    </row>
    <row r="907" spans="1:18" ht="10.5" customHeight="1" x14ac:dyDescent="0.3">
      <c r="A907" s="79" t="str">
        <f>0&amp;4001&amp;0&amp;D907</f>
        <v>0400104</v>
      </c>
      <c r="B907" s="22" t="s">
        <v>1125</v>
      </c>
      <c r="C907" s="23" t="s">
        <v>1113</v>
      </c>
      <c r="D907" s="24">
        <v>4</v>
      </c>
      <c r="E907" s="94">
        <v>200</v>
      </c>
      <c r="F907" s="78">
        <v>0.3</v>
      </c>
      <c r="G907" s="247">
        <f>F907*F$10</f>
        <v>12.9</v>
      </c>
      <c r="H907" s="28">
        <f>G907-G907*0.2</f>
        <v>10.32</v>
      </c>
      <c r="I907" s="20"/>
      <c r="J907" s="79" t="str">
        <f t="shared" si="131"/>
        <v>0400118</v>
      </c>
      <c r="K907" s="22" t="s">
        <v>1125</v>
      </c>
      <c r="L907" s="23" t="s">
        <v>1113</v>
      </c>
      <c r="M907" s="24">
        <v>18</v>
      </c>
      <c r="N907" s="94">
        <v>50</v>
      </c>
      <c r="O907" s="94"/>
      <c r="P907" s="26">
        <v>2.71</v>
      </c>
      <c r="Q907" s="247">
        <f t="shared" si="129"/>
        <v>116.53</v>
      </c>
      <c r="R907" s="28">
        <f t="shared" si="130"/>
        <v>93.224000000000004</v>
      </c>
    </row>
    <row r="908" spans="1:18" ht="10.5" customHeight="1" x14ac:dyDescent="0.3">
      <c r="A908" s="79" t="str">
        <f>0&amp;4001&amp;0&amp;D908</f>
        <v>0400105</v>
      </c>
      <c r="B908" s="22" t="s">
        <v>1125</v>
      </c>
      <c r="C908" s="23" t="s">
        <v>1113</v>
      </c>
      <c r="D908" s="24">
        <v>5</v>
      </c>
      <c r="E908" s="94">
        <v>200</v>
      </c>
      <c r="F908" s="78">
        <v>0.33</v>
      </c>
      <c r="G908" s="247">
        <f>F908*F$10</f>
        <v>14.190000000000001</v>
      </c>
      <c r="H908" s="28">
        <f>G908-G908*0.2</f>
        <v>11.352</v>
      </c>
      <c r="I908" s="20"/>
      <c r="J908" s="79" t="str">
        <f t="shared" si="131"/>
        <v>0400120</v>
      </c>
      <c r="K908" s="22" t="s">
        <v>1125</v>
      </c>
      <c r="L908" s="23" t="s">
        <v>1113</v>
      </c>
      <c r="M908" s="24">
        <v>20</v>
      </c>
      <c r="N908" s="94">
        <v>50</v>
      </c>
      <c r="O908" s="94"/>
      <c r="P908" s="26">
        <v>3.4</v>
      </c>
      <c r="Q908" s="247">
        <f t="shared" si="129"/>
        <v>146.19999999999999</v>
      </c>
      <c r="R908" s="28">
        <f t="shared" si="130"/>
        <v>116.96</v>
      </c>
    </row>
    <row r="909" spans="1:18" ht="10.5" customHeight="1" x14ac:dyDescent="0.3">
      <c r="A909" s="79" t="str">
        <f>0&amp;4001&amp;0&amp;D909</f>
        <v>0400106</v>
      </c>
      <c r="B909" s="22" t="s">
        <v>1125</v>
      </c>
      <c r="C909" s="23" t="s">
        <v>1113</v>
      </c>
      <c r="D909" s="24">
        <v>6</v>
      </c>
      <c r="E909" s="94">
        <v>200</v>
      </c>
      <c r="F909" s="78">
        <v>0.44</v>
      </c>
      <c r="G909" s="247">
        <f>F909*F$10</f>
        <v>18.920000000000002</v>
      </c>
      <c r="H909" s="28">
        <f>G909-G909*0.2</f>
        <v>15.136000000000001</v>
      </c>
      <c r="I909" s="20"/>
      <c r="J909" s="79" t="str">
        <f t="shared" si="131"/>
        <v>0400122</v>
      </c>
      <c r="K909" s="22" t="s">
        <v>1125</v>
      </c>
      <c r="L909" s="23" t="s">
        <v>1113</v>
      </c>
      <c r="M909" s="24">
        <v>22</v>
      </c>
      <c r="N909" s="94">
        <v>50</v>
      </c>
      <c r="O909" s="94"/>
      <c r="P909" s="26">
        <v>4.04</v>
      </c>
      <c r="Q909" s="247">
        <f t="shared" si="129"/>
        <v>173.72</v>
      </c>
      <c r="R909" s="28">
        <f t="shared" si="130"/>
        <v>138.976</v>
      </c>
    </row>
    <row r="910" spans="1:18" ht="10.5" customHeight="1" x14ac:dyDescent="0.3">
      <c r="A910" s="79" t="str">
        <f>0&amp;4001&amp;0&amp;D910</f>
        <v>0400107</v>
      </c>
      <c r="B910" s="22" t="s">
        <v>1125</v>
      </c>
      <c r="C910" s="23" t="s">
        <v>1113</v>
      </c>
      <c r="D910" s="24">
        <v>7</v>
      </c>
      <c r="E910" s="94">
        <v>200</v>
      </c>
      <c r="F910" s="78">
        <v>0.54</v>
      </c>
      <c r="G910" s="247">
        <f>F910*F$10</f>
        <v>23.220000000000002</v>
      </c>
      <c r="H910" s="28">
        <f>G910-G910*0.2</f>
        <v>18.576000000000001</v>
      </c>
      <c r="I910" s="83"/>
      <c r="J910" s="83"/>
      <c r="K910" s="83"/>
      <c r="L910" s="83"/>
      <c r="M910" s="83"/>
      <c r="N910" s="83"/>
      <c r="O910" s="83"/>
      <c r="P910" s="83"/>
      <c r="Q910" s="83"/>
      <c r="R910" s="116"/>
    </row>
    <row r="911" spans="1:18" ht="10.5" customHeight="1" x14ac:dyDescent="0.3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</row>
    <row r="912" spans="1:18" ht="10.5" customHeight="1" x14ac:dyDescent="0.3">
      <c r="A912" s="47" t="s">
        <v>1127</v>
      </c>
      <c r="B912" s="228" t="s">
        <v>1128</v>
      </c>
      <c r="C912" s="49"/>
      <c r="D912" s="49"/>
      <c r="E912" s="49"/>
      <c r="F912" s="49"/>
      <c r="G912" s="49"/>
      <c r="H912" s="50"/>
      <c r="I912" s="49"/>
      <c r="J912" s="47" t="s">
        <v>1127</v>
      </c>
      <c r="K912" s="228" t="s">
        <v>1128</v>
      </c>
      <c r="L912" s="49"/>
      <c r="M912" s="49"/>
      <c r="N912" s="49"/>
      <c r="O912" s="49"/>
      <c r="P912" s="49"/>
      <c r="Q912" s="49"/>
      <c r="R912" s="50"/>
    </row>
    <row r="913" spans="1:18" ht="10.5" customHeight="1" x14ac:dyDescent="0.3">
      <c r="A913" s="18"/>
      <c r="B913" s="20"/>
      <c r="C913" s="20"/>
      <c r="D913" s="20"/>
      <c r="E913" s="20"/>
      <c r="F913" s="20"/>
      <c r="G913" s="20"/>
      <c r="H913" s="101"/>
      <c r="I913" s="20"/>
      <c r="J913" s="18"/>
      <c r="K913" s="20"/>
      <c r="L913" s="20"/>
      <c r="M913" s="20"/>
      <c r="N913" s="20"/>
      <c r="O913" s="20"/>
      <c r="P913" s="20"/>
      <c r="Q913" s="20"/>
      <c r="R913" s="101"/>
    </row>
    <row r="914" spans="1:18" ht="10.5" customHeight="1" x14ac:dyDescent="0.3">
      <c r="A914" s="18"/>
      <c r="B914" s="20"/>
      <c r="C914" s="20"/>
      <c r="D914" s="20"/>
      <c r="E914" s="20"/>
      <c r="F914" s="20"/>
      <c r="G914" s="20"/>
      <c r="H914" s="101"/>
      <c r="I914" s="20"/>
      <c r="J914" s="18"/>
      <c r="K914" s="20"/>
      <c r="L914" s="20"/>
      <c r="M914" s="20"/>
      <c r="N914" s="20"/>
      <c r="O914" s="20"/>
      <c r="P914" s="20"/>
      <c r="Q914" s="20"/>
      <c r="R914" s="101"/>
    </row>
    <row r="915" spans="1:18" ht="10.5" customHeight="1" x14ac:dyDescent="0.3">
      <c r="A915" s="18"/>
      <c r="B915" s="20"/>
      <c r="C915" s="20"/>
      <c r="D915" s="20"/>
      <c r="E915" s="20"/>
      <c r="F915" s="20"/>
      <c r="G915" s="20"/>
      <c r="H915" s="101"/>
      <c r="I915" s="20"/>
      <c r="J915" s="18"/>
      <c r="K915" s="20"/>
      <c r="L915" s="20"/>
      <c r="M915" s="20"/>
      <c r="N915" s="20"/>
      <c r="O915" s="20"/>
      <c r="P915" s="20"/>
      <c r="Q915" s="20"/>
      <c r="R915" s="101"/>
    </row>
    <row r="916" spans="1:18" ht="10.5" customHeight="1" x14ac:dyDescent="0.3">
      <c r="A916" s="18"/>
      <c r="B916" s="20"/>
      <c r="C916" s="20"/>
      <c r="D916" s="20"/>
      <c r="E916" s="20"/>
      <c r="F916" s="20"/>
      <c r="G916" s="20"/>
      <c r="H916" s="101"/>
      <c r="I916" s="20"/>
      <c r="J916" s="18"/>
      <c r="K916" s="20"/>
      <c r="L916" s="20"/>
      <c r="M916" s="20"/>
      <c r="N916" s="20"/>
      <c r="O916" s="20"/>
      <c r="P916" s="20"/>
      <c r="Q916" s="20"/>
      <c r="R916" s="101"/>
    </row>
    <row r="917" spans="1:18" ht="10.5" customHeight="1" x14ac:dyDescent="0.3">
      <c r="A917" s="118" t="s">
        <v>1129</v>
      </c>
      <c r="B917" s="20"/>
      <c r="C917" s="20"/>
      <c r="D917" s="20"/>
      <c r="E917" s="20"/>
      <c r="F917" s="20"/>
      <c r="G917" s="20"/>
      <c r="H917" s="101"/>
      <c r="I917" s="20"/>
      <c r="J917" s="118" t="s">
        <v>1130</v>
      </c>
      <c r="K917" s="20"/>
      <c r="L917" s="20"/>
      <c r="M917" s="20"/>
      <c r="N917" s="20"/>
      <c r="O917" s="20"/>
      <c r="P917" s="20"/>
      <c r="Q917" s="20"/>
      <c r="R917" s="101"/>
    </row>
    <row r="918" spans="1:18" ht="10.5" customHeight="1" x14ac:dyDescent="0.3">
      <c r="A918" s="446" t="s">
        <v>78</v>
      </c>
      <c r="B918" s="446" t="s">
        <v>79</v>
      </c>
      <c r="C918" s="446"/>
      <c r="D918" s="446"/>
      <c r="E918" s="447" t="s">
        <v>80</v>
      </c>
      <c r="F918" s="61"/>
      <c r="G918" s="16" t="s">
        <v>81</v>
      </c>
      <c r="H918" s="17" t="s">
        <v>82</v>
      </c>
      <c r="I918" s="20"/>
      <c r="J918" s="446" t="s">
        <v>78</v>
      </c>
      <c r="K918" s="446" t="s">
        <v>79</v>
      </c>
      <c r="L918" s="446"/>
      <c r="M918" s="446"/>
      <c r="N918" s="447" t="s">
        <v>80</v>
      </c>
      <c r="O918" s="434"/>
      <c r="P918" s="61"/>
      <c r="Q918" s="16" t="s">
        <v>81</v>
      </c>
      <c r="R918" s="17" t="s">
        <v>82</v>
      </c>
    </row>
    <row r="919" spans="1:18" ht="10.5" customHeight="1" x14ac:dyDescent="0.3">
      <c r="A919" s="446"/>
      <c r="B919" s="446"/>
      <c r="C919" s="446"/>
      <c r="D919" s="446"/>
      <c r="E919" s="447"/>
      <c r="F919" s="68"/>
      <c r="G919" s="69" t="s">
        <v>84</v>
      </c>
      <c r="H919" s="69" t="s">
        <v>84</v>
      </c>
      <c r="I919" s="20"/>
      <c r="J919" s="446"/>
      <c r="K919" s="446"/>
      <c r="L919" s="446"/>
      <c r="M919" s="446"/>
      <c r="N919" s="447"/>
      <c r="O919" s="369"/>
      <c r="P919" s="68"/>
      <c r="Q919" s="69" t="s">
        <v>84</v>
      </c>
      <c r="R919" s="69" t="s">
        <v>84</v>
      </c>
    </row>
    <row r="920" spans="1:18" ht="10.5" customHeight="1" x14ac:dyDescent="0.3">
      <c r="A920" s="73" t="s">
        <v>1131</v>
      </c>
      <c r="B920" s="74">
        <v>2.5</v>
      </c>
      <c r="C920" s="75" t="s">
        <v>86</v>
      </c>
      <c r="D920" s="76">
        <v>80</v>
      </c>
      <c r="E920" s="87">
        <v>100</v>
      </c>
      <c r="F920" s="78">
        <v>0.47099999999999992</v>
      </c>
      <c r="G920" s="247">
        <f t="shared" ref="G920:G933" si="132">F920*F$10</f>
        <v>20.252999999999997</v>
      </c>
      <c r="H920" s="72">
        <f t="shared" ref="H920:H933" si="133">G920-G920*0.2</f>
        <v>16.202399999999997</v>
      </c>
      <c r="I920" s="20"/>
      <c r="J920" s="21" t="str">
        <f>0&amp;40110001</f>
        <v>040110001</v>
      </c>
      <c r="K920" s="22">
        <v>2.5</v>
      </c>
      <c r="L920" s="23" t="s">
        <v>86</v>
      </c>
      <c r="M920" s="24">
        <v>80</v>
      </c>
      <c r="N920" s="94">
        <v>100</v>
      </c>
      <c r="O920" s="94"/>
      <c r="P920" s="26">
        <v>0.47099999999999992</v>
      </c>
      <c r="Q920" s="247">
        <f t="shared" ref="Q920:Q928" si="134">P920*F$10</f>
        <v>20.252999999999997</v>
      </c>
      <c r="R920" s="28">
        <f t="shared" ref="R920:R928" si="135">Q920-Q920*0.2</f>
        <v>16.202399999999997</v>
      </c>
    </row>
    <row r="921" spans="1:18" ht="10.5" customHeight="1" x14ac:dyDescent="0.3">
      <c r="A921" s="79" t="s">
        <v>1132</v>
      </c>
      <c r="B921" s="22">
        <v>2.5</v>
      </c>
      <c r="C921" s="23" t="s">
        <v>86</v>
      </c>
      <c r="D921" s="24">
        <v>100</v>
      </c>
      <c r="E921" s="94">
        <v>100</v>
      </c>
      <c r="F921" s="78">
        <v>0.54949999999999999</v>
      </c>
      <c r="G921" s="247">
        <f t="shared" si="132"/>
        <v>23.628499999999999</v>
      </c>
      <c r="H921" s="28">
        <f t="shared" si="133"/>
        <v>18.902799999999999</v>
      </c>
      <c r="I921" s="20"/>
      <c r="J921" s="79" t="str">
        <f>0&amp;40110002</f>
        <v>040110002</v>
      </c>
      <c r="K921" s="22">
        <v>2.5</v>
      </c>
      <c r="L921" s="23" t="s">
        <v>86</v>
      </c>
      <c r="M921" s="24">
        <v>100</v>
      </c>
      <c r="N921" s="94">
        <v>100</v>
      </c>
      <c r="O921" s="87"/>
      <c r="P921" s="78">
        <v>0.54949999999999999</v>
      </c>
      <c r="Q921" s="247">
        <f t="shared" si="134"/>
        <v>23.628499999999999</v>
      </c>
      <c r="R921" s="28">
        <f t="shared" si="135"/>
        <v>18.902799999999999</v>
      </c>
    </row>
    <row r="922" spans="1:18" ht="10.5" customHeight="1" x14ac:dyDescent="0.3">
      <c r="A922" s="79" t="s">
        <v>1133</v>
      </c>
      <c r="B922" s="22">
        <v>2.5</v>
      </c>
      <c r="C922" s="23" t="s">
        <v>86</v>
      </c>
      <c r="D922" s="24">
        <v>150</v>
      </c>
      <c r="E922" s="94">
        <v>100</v>
      </c>
      <c r="F922" s="78">
        <v>0.80069999999999997</v>
      </c>
      <c r="G922" s="247">
        <f t="shared" si="132"/>
        <v>34.430099999999996</v>
      </c>
      <c r="H922" s="28">
        <f t="shared" si="133"/>
        <v>27.544079999999997</v>
      </c>
      <c r="I922" s="20"/>
      <c r="J922" s="79" t="str">
        <f>0&amp;40110003</f>
        <v>040110003</v>
      </c>
      <c r="K922" s="22">
        <v>2.5</v>
      </c>
      <c r="L922" s="23" t="s">
        <v>86</v>
      </c>
      <c r="M922" s="24">
        <v>150</v>
      </c>
      <c r="N922" s="94">
        <v>100</v>
      </c>
      <c r="O922" s="87"/>
      <c r="P922" s="78">
        <v>0.80069999999999997</v>
      </c>
      <c r="Q922" s="247">
        <f t="shared" si="134"/>
        <v>34.430099999999996</v>
      </c>
      <c r="R922" s="28">
        <f t="shared" si="135"/>
        <v>27.544079999999997</v>
      </c>
    </row>
    <row r="923" spans="1:18" ht="10.5" customHeight="1" x14ac:dyDescent="0.3">
      <c r="A923" s="79" t="s">
        <v>1134</v>
      </c>
      <c r="B923" s="22">
        <v>2.5</v>
      </c>
      <c r="C923" s="23" t="s">
        <v>86</v>
      </c>
      <c r="D923" s="24">
        <v>200</v>
      </c>
      <c r="E923" s="94">
        <v>100</v>
      </c>
      <c r="F923" s="78">
        <v>1.1460999999999997</v>
      </c>
      <c r="G923" s="247">
        <f t="shared" si="132"/>
        <v>49.282299999999985</v>
      </c>
      <c r="H923" s="28">
        <f t="shared" si="133"/>
        <v>39.425839999999987</v>
      </c>
      <c r="I923" s="20"/>
      <c r="J923" s="79" t="str">
        <f>0&amp;40110004</f>
        <v>040110004</v>
      </c>
      <c r="K923" s="22">
        <v>2.5</v>
      </c>
      <c r="L923" s="23" t="s">
        <v>86</v>
      </c>
      <c r="M923" s="24">
        <v>200</v>
      </c>
      <c r="N923" s="94">
        <v>100</v>
      </c>
      <c r="O923" s="87"/>
      <c r="P923" s="78">
        <v>1.1460999999999997</v>
      </c>
      <c r="Q923" s="247">
        <f t="shared" si="134"/>
        <v>49.282299999999985</v>
      </c>
      <c r="R923" s="28">
        <f t="shared" si="135"/>
        <v>39.425839999999987</v>
      </c>
    </row>
    <row r="924" spans="1:18" ht="10.5" customHeight="1" x14ac:dyDescent="0.3">
      <c r="A924" s="79" t="str">
        <f>0&amp;40100007</f>
        <v>040100007</v>
      </c>
      <c r="B924" s="22">
        <v>3.6</v>
      </c>
      <c r="C924" s="23" t="s">
        <v>86</v>
      </c>
      <c r="D924" s="24">
        <v>150</v>
      </c>
      <c r="E924" s="94">
        <v>100</v>
      </c>
      <c r="F924" s="78">
        <v>1.3344999999999998</v>
      </c>
      <c r="G924" s="247">
        <f t="shared" si="132"/>
        <v>57.383499999999991</v>
      </c>
      <c r="H924" s="28">
        <f t="shared" si="133"/>
        <v>45.90679999999999</v>
      </c>
      <c r="I924" s="20"/>
      <c r="J924" s="79" t="str">
        <f>0&amp;40110007</f>
        <v>040110007</v>
      </c>
      <c r="K924" s="22">
        <v>3.6</v>
      </c>
      <c r="L924" s="23" t="s">
        <v>86</v>
      </c>
      <c r="M924" s="24">
        <v>150</v>
      </c>
      <c r="N924" s="94">
        <v>100</v>
      </c>
      <c r="O924" s="87"/>
      <c r="P924" s="78">
        <v>1.3344999999999998</v>
      </c>
      <c r="Q924" s="247">
        <f t="shared" si="134"/>
        <v>57.383499999999991</v>
      </c>
      <c r="R924" s="28">
        <f t="shared" si="135"/>
        <v>45.90679999999999</v>
      </c>
    </row>
    <row r="925" spans="1:18" ht="10.5" customHeight="1" x14ac:dyDescent="0.3">
      <c r="A925" s="79" t="str">
        <f>0&amp;40100008</f>
        <v>040100008</v>
      </c>
      <c r="B925" s="22">
        <v>3.6</v>
      </c>
      <c r="C925" s="23" t="s">
        <v>86</v>
      </c>
      <c r="D925" s="24">
        <v>200</v>
      </c>
      <c r="E925" s="94">
        <v>100</v>
      </c>
      <c r="F925" s="78">
        <v>1.7740999999999996</v>
      </c>
      <c r="G925" s="247">
        <f t="shared" si="132"/>
        <v>76.286299999999983</v>
      </c>
      <c r="H925" s="28">
        <f t="shared" si="133"/>
        <v>61.029039999999988</v>
      </c>
      <c r="I925" s="20"/>
      <c r="J925" s="79" t="str">
        <f>0&amp;40110008</f>
        <v>040110008</v>
      </c>
      <c r="K925" s="22">
        <v>3.6</v>
      </c>
      <c r="L925" s="23" t="s">
        <v>86</v>
      </c>
      <c r="M925" s="24">
        <v>200</v>
      </c>
      <c r="N925" s="94">
        <v>100</v>
      </c>
      <c r="O925" s="87"/>
      <c r="P925" s="78">
        <v>1.7740999999999996</v>
      </c>
      <c r="Q925" s="247">
        <f t="shared" si="134"/>
        <v>76.286299999999983</v>
      </c>
      <c r="R925" s="28">
        <f t="shared" si="135"/>
        <v>61.029039999999988</v>
      </c>
    </row>
    <row r="926" spans="1:18" ht="10.5" customHeight="1" x14ac:dyDescent="0.3">
      <c r="A926" s="79" t="str">
        <f>0&amp;40100009</f>
        <v>040100009</v>
      </c>
      <c r="B926" s="22">
        <v>3.6</v>
      </c>
      <c r="C926" s="23" t="s">
        <v>86</v>
      </c>
      <c r="D926" s="24">
        <v>250</v>
      </c>
      <c r="E926" s="94">
        <v>100</v>
      </c>
      <c r="F926" s="26">
        <v>2.1509</v>
      </c>
      <c r="G926" s="247">
        <f t="shared" si="132"/>
        <v>92.488699999999994</v>
      </c>
      <c r="H926" s="28">
        <f t="shared" si="133"/>
        <v>73.990960000000001</v>
      </c>
      <c r="I926" s="20"/>
      <c r="J926" s="79" t="str">
        <f>0&amp;40110009</f>
        <v>040110009</v>
      </c>
      <c r="K926" s="22">
        <v>3.6</v>
      </c>
      <c r="L926" s="23" t="s">
        <v>86</v>
      </c>
      <c r="M926" s="24">
        <v>250</v>
      </c>
      <c r="N926" s="94">
        <v>100</v>
      </c>
      <c r="O926" s="94"/>
      <c r="P926" s="26">
        <v>2.1509</v>
      </c>
      <c r="Q926" s="247">
        <f t="shared" si="134"/>
        <v>92.488699999999994</v>
      </c>
      <c r="R926" s="28">
        <f t="shared" si="135"/>
        <v>73.990960000000001</v>
      </c>
    </row>
    <row r="927" spans="1:18" ht="10.5" customHeight="1" x14ac:dyDescent="0.3">
      <c r="A927" s="79" t="str">
        <f>0&amp;40100010</f>
        <v>040100010</v>
      </c>
      <c r="B927" s="22">
        <v>3.6</v>
      </c>
      <c r="C927" s="23" t="s">
        <v>86</v>
      </c>
      <c r="D927" s="24">
        <v>300</v>
      </c>
      <c r="E927" s="94">
        <v>100</v>
      </c>
      <c r="F927" s="26">
        <v>2.5904999999999996</v>
      </c>
      <c r="G927" s="247">
        <f t="shared" si="132"/>
        <v>111.39149999999998</v>
      </c>
      <c r="H927" s="28">
        <f t="shared" si="133"/>
        <v>89.113199999999978</v>
      </c>
      <c r="I927" s="20"/>
      <c r="J927" s="79" t="str">
        <f>0&amp;40110010</f>
        <v>040110010</v>
      </c>
      <c r="K927" s="22">
        <v>3.6</v>
      </c>
      <c r="L927" s="23" t="s">
        <v>86</v>
      </c>
      <c r="M927" s="24">
        <v>300</v>
      </c>
      <c r="N927" s="94">
        <v>100</v>
      </c>
      <c r="O927" s="94"/>
      <c r="P927" s="26">
        <v>2.5904999999999996</v>
      </c>
      <c r="Q927" s="247">
        <f t="shared" si="134"/>
        <v>111.39149999999998</v>
      </c>
      <c r="R927" s="28">
        <f t="shared" si="135"/>
        <v>89.113199999999978</v>
      </c>
    </row>
    <row r="928" spans="1:18" ht="10.5" customHeight="1" x14ac:dyDescent="0.3">
      <c r="A928" s="79" t="str">
        <f>0&amp;40100011</f>
        <v>040100011</v>
      </c>
      <c r="B928" s="22">
        <v>3.6</v>
      </c>
      <c r="C928" s="23" t="s">
        <v>86</v>
      </c>
      <c r="D928" s="24">
        <v>350</v>
      </c>
      <c r="E928" s="94">
        <v>100</v>
      </c>
      <c r="F928" s="26">
        <v>3.3440999999999996</v>
      </c>
      <c r="G928" s="247">
        <f t="shared" si="132"/>
        <v>143.79629999999997</v>
      </c>
      <c r="H928" s="28">
        <f t="shared" si="133"/>
        <v>115.03703999999998</v>
      </c>
      <c r="I928" s="20"/>
      <c r="J928" s="79" t="str">
        <f>0&amp;40110011</f>
        <v>040110011</v>
      </c>
      <c r="K928" s="22">
        <v>3.6</v>
      </c>
      <c r="L928" s="23" t="s">
        <v>86</v>
      </c>
      <c r="M928" s="24">
        <v>350</v>
      </c>
      <c r="N928" s="94">
        <v>100</v>
      </c>
      <c r="O928" s="94"/>
      <c r="P928" s="26">
        <v>3.3440999999999996</v>
      </c>
      <c r="Q928" s="247">
        <f t="shared" si="134"/>
        <v>143.79629999999997</v>
      </c>
      <c r="R928" s="28">
        <f t="shared" si="135"/>
        <v>115.03703999999998</v>
      </c>
    </row>
    <row r="929" spans="1:18" ht="10.5" customHeight="1" x14ac:dyDescent="0.3">
      <c r="A929" s="79" t="str">
        <f>0&amp;40100013</f>
        <v>040100013</v>
      </c>
      <c r="B929" s="22">
        <v>4.5999999999999996</v>
      </c>
      <c r="C929" s="23" t="s">
        <v>86</v>
      </c>
      <c r="D929" s="24">
        <v>200</v>
      </c>
      <c r="E929" s="94">
        <v>100</v>
      </c>
      <c r="F929" s="26">
        <v>2.6532999999999998</v>
      </c>
      <c r="G929" s="247">
        <f t="shared" si="132"/>
        <v>114.0919</v>
      </c>
      <c r="H929" s="28">
        <f t="shared" si="133"/>
        <v>91.273519999999991</v>
      </c>
      <c r="I929" s="20"/>
      <c r="J929" s="20"/>
      <c r="K929" s="20"/>
      <c r="L929" s="20"/>
      <c r="M929" s="20"/>
      <c r="N929" s="20"/>
      <c r="O929" s="20"/>
      <c r="P929" s="20"/>
      <c r="Q929" s="20"/>
      <c r="R929" s="101"/>
    </row>
    <row r="930" spans="1:18" ht="10.5" customHeight="1" x14ac:dyDescent="0.3">
      <c r="A930" s="79" t="str">
        <f>0&amp;40100014</f>
        <v>040100014</v>
      </c>
      <c r="B930" s="22">
        <v>4.5999999999999996</v>
      </c>
      <c r="C930" s="23" t="s">
        <v>86</v>
      </c>
      <c r="D930" s="24">
        <v>250</v>
      </c>
      <c r="E930" s="94">
        <v>100</v>
      </c>
      <c r="F930" s="26">
        <v>2.8573999999999997</v>
      </c>
      <c r="G930" s="247">
        <f t="shared" si="132"/>
        <v>122.86819999999999</v>
      </c>
      <c r="H930" s="28">
        <f t="shared" si="133"/>
        <v>98.29455999999999</v>
      </c>
      <c r="I930" s="20"/>
      <c r="J930" s="20"/>
      <c r="K930" s="20"/>
      <c r="L930" s="20"/>
      <c r="M930" s="20"/>
      <c r="N930" s="20"/>
      <c r="O930" s="20"/>
      <c r="P930" s="20"/>
      <c r="Q930" s="20"/>
      <c r="R930" s="101"/>
    </row>
    <row r="931" spans="1:18" ht="10.5" customHeight="1" x14ac:dyDescent="0.3">
      <c r="A931" s="79" t="str">
        <f>0&amp;40100015</f>
        <v>040100015</v>
      </c>
      <c r="B931" s="22">
        <v>4.5999999999999996</v>
      </c>
      <c r="C931" s="23" t="s">
        <v>86</v>
      </c>
      <c r="D931" s="24">
        <v>300</v>
      </c>
      <c r="E931" s="94">
        <v>100</v>
      </c>
      <c r="F931" s="26">
        <v>3.7523</v>
      </c>
      <c r="G931" s="247">
        <f t="shared" si="132"/>
        <v>161.34889999999999</v>
      </c>
      <c r="H931" s="28">
        <f t="shared" si="133"/>
        <v>129.07911999999999</v>
      </c>
      <c r="I931" s="20"/>
      <c r="J931" s="20"/>
      <c r="K931" s="20"/>
      <c r="L931" s="20"/>
      <c r="M931" s="20"/>
      <c r="N931" s="20"/>
      <c r="O931" s="20"/>
      <c r="P931" s="20"/>
      <c r="Q931" s="20"/>
      <c r="R931" s="101"/>
    </row>
    <row r="932" spans="1:18" ht="10.5" customHeight="1" x14ac:dyDescent="0.3">
      <c r="A932" s="79" t="str">
        <f>0&amp;40100016</f>
        <v>040100016</v>
      </c>
      <c r="B932" s="22">
        <v>4.5999999999999996</v>
      </c>
      <c r="C932" s="23" t="s">
        <v>86</v>
      </c>
      <c r="D932" s="24">
        <v>350</v>
      </c>
      <c r="E932" s="94">
        <v>100</v>
      </c>
      <c r="F932" s="26">
        <v>4.5373000000000001</v>
      </c>
      <c r="G932" s="247">
        <f t="shared" si="132"/>
        <v>195.10390000000001</v>
      </c>
      <c r="H932" s="28">
        <f t="shared" si="133"/>
        <v>156.08312000000001</v>
      </c>
      <c r="I932" s="20"/>
      <c r="J932" s="20"/>
      <c r="K932" s="20"/>
      <c r="L932" s="20"/>
      <c r="M932" s="20"/>
      <c r="N932" s="20"/>
      <c r="O932" s="20"/>
      <c r="P932" s="20"/>
      <c r="Q932" s="20"/>
      <c r="R932" s="101"/>
    </row>
    <row r="933" spans="1:18" ht="10.5" customHeight="1" x14ac:dyDescent="0.3">
      <c r="A933" s="79" t="str">
        <f>0&amp;40100018</f>
        <v>040100018</v>
      </c>
      <c r="B933" s="22">
        <v>4.5999999999999996</v>
      </c>
      <c r="C933" s="23" t="s">
        <v>86</v>
      </c>
      <c r="D933" s="24">
        <v>450</v>
      </c>
      <c r="E933" s="94">
        <v>100</v>
      </c>
      <c r="F933" s="26">
        <v>5.8560999999999996</v>
      </c>
      <c r="G933" s="247">
        <f t="shared" si="132"/>
        <v>251.81229999999999</v>
      </c>
      <c r="H933" s="28">
        <f t="shared" si="133"/>
        <v>201.44983999999999</v>
      </c>
      <c r="I933" s="83"/>
      <c r="J933" s="83"/>
      <c r="K933" s="83"/>
      <c r="L933" s="83"/>
      <c r="M933" s="83"/>
      <c r="N933" s="83"/>
      <c r="O933" s="83"/>
      <c r="P933" s="83"/>
      <c r="Q933" s="83"/>
      <c r="R933" s="116"/>
    </row>
    <row r="934" spans="1:18" ht="10.5" customHeight="1" x14ac:dyDescent="0.3">
      <c r="A934" s="39"/>
      <c r="B934" s="40"/>
      <c r="C934" s="41"/>
      <c r="D934" s="42"/>
      <c r="E934" s="97"/>
      <c r="F934" s="44"/>
      <c r="G934" s="131"/>
      <c r="H934" s="46"/>
      <c r="I934" s="20"/>
      <c r="J934" s="20"/>
      <c r="K934" s="20"/>
      <c r="L934" s="20"/>
      <c r="M934" s="20"/>
      <c r="N934" s="20"/>
      <c r="O934" s="20"/>
      <c r="P934" s="20"/>
      <c r="Q934" s="20"/>
      <c r="R934" s="20"/>
    </row>
    <row r="935" spans="1:18" ht="10.5" customHeight="1" x14ac:dyDescent="0.3">
      <c r="A935" s="39"/>
      <c r="B935" s="40"/>
      <c r="C935" s="41"/>
      <c r="D935" s="42"/>
      <c r="E935" s="97"/>
      <c r="F935" s="44"/>
      <c r="G935" s="131"/>
      <c r="H935" s="46"/>
      <c r="I935" s="20"/>
      <c r="J935" s="20"/>
      <c r="K935" s="20"/>
      <c r="L935" s="20"/>
      <c r="M935" s="20"/>
      <c r="N935" s="20"/>
      <c r="O935" s="20"/>
      <c r="P935" s="20"/>
      <c r="Q935" s="20"/>
      <c r="R935" s="20"/>
    </row>
    <row r="936" spans="1:18" ht="15" customHeight="1" x14ac:dyDescent="0.3">
      <c r="A936" s="448" t="s">
        <v>1135</v>
      </c>
      <c r="B936" s="448"/>
      <c r="C936" s="448"/>
      <c r="D936" s="448"/>
      <c r="E936" s="448"/>
      <c r="F936" s="448"/>
      <c r="G936" s="448"/>
      <c r="H936" s="448"/>
      <c r="I936" s="448"/>
      <c r="J936" s="448"/>
      <c r="K936" s="448"/>
      <c r="L936" s="448"/>
      <c r="M936" s="448"/>
      <c r="N936" s="448"/>
      <c r="O936" s="448"/>
      <c r="P936" s="448"/>
      <c r="Q936" s="448"/>
      <c r="R936" s="448"/>
    </row>
    <row r="937" spans="1:18" ht="10.5" customHeight="1" x14ac:dyDescent="0.3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</row>
    <row r="938" spans="1:18" ht="10.5" customHeight="1" x14ac:dyDescent="0.3">
      <c r="A938" s="47" t="s">
        <v>1136</v>
      </c>
      <c r="B938" s="48" t="s">
        <v>1137</v>
      </c>
      <c r="C938" s="49"/>
      <c r="D938" s="49"/>
      <c r="E938" s="49"/>
      <c r="F938" s="49"/>
      <c r="G938" s="49"/>
      <c r="H938" s="49"/>
      <c r="I938" s="49"/>
      <c r="J938" s="446" t="s">
        <v>78</v>
      </c>
      <c r="K938" s="477" t="s">
        <v>79</v>
      </c>
      <c r="L938" s="477"/>
      <c r="M938" s="477"/>
      <c r="N938" s="473" t="s">
        <v>80</v>
      </c>
      <c r="O938" s="434"/>
      <c r="P938" s="61"/>
      <c r="Q938" s="16" t="s">
        <v>81</v>
      </c>
      <c r="R938" s="17" t="s">
        <v>82</v>
      </c>
    </row>
    <row r="939" spans="1:18" ht="10.5" customHeight="1" thickTop="1" x14ac:dyDescent="0.3">
      <c r="A939" s="18"/>
      <c r="B939" s="100" t="s">
        <v>457</v>
      </c>
      <c r="C939" s="20"/>
      <c r="D939" s="20"/>
      <c r="E939" s="20"/>
      <c r="F939" s="20"/>
      <c r="G939" s="20"/>
      <c r="H939" s="20"/>
      <c r="I939" s="20"/>
      <c r="J939" s="446"/>
      <c r="K939" s="477"/>
      <c r="L939" s="477"/>
      <c r="M939" s="477"/>
      <c r="N939" s="473"/>
      <c r="O939" s="369"/>
      <c r="P939" s="68"/>
      <c r="Q939" s="69" t="s">
        <v>84</v>
      </c>
      <c r="R939" s="15" t="s">
        <v>84</v>
      </c>
    </row>
    <row r="940" spans="1:18" ht="10.5" customHeight="1" x14ac:dyDescent="0.3">
      <c r="A940" s="18"/>
      <c r="B940" s="20"/>
      <c r="C940" s="20"/>
      <c r="D940" s="20"/>
      <c r="E940" s="20"/>
      <c r="F940" s="20"/>
      <c r="G940" s="20"/>
      <c r="H940" s="20"/>
      <c r="I940" s="20"/>
      <c r="J940" s="252">
        <v>50010004</v>
      </c>
      <c r="K940" s="476" t="s">
        <v>1138</v>
      </c>
      <c r="L940" s="476"/>
      <c r="M940" s="476"/>
      <c r="N940" s="170" t="s">
        <v>11</v>
      </c>
      <c r="O940" s="170"/>
      <c r="P940" s="249">
        <v>34.54</v>
      </c>
      <c r="Q940" s="250">
        <f t="shared" ref="Q940:Q949" si="136">P940*$F$10</f>
        <v>1485.22</v>
      </c>
      <c r="R940" s="28">
        <f t="shared" ref="R940:R949" si="137">Q940-Q940*0.2</f>
        <v>1188.1759999999999</v>
      </c>
    </row>
    <row r="941" spans="1:18" ht="10.5" customHeight="1" x14ac:dyDescent="0.3">
      <c r="A941" s="18"/>
      <c r="B941" s="20"/>
      <c r="C941" s="20"/>
      <c r="D941" s="20"/>
      <c r="E941" s="20"/>
      <c r="F941" s="20"/>
      <c r="G941" s="20"/>
      <c r="H941" s="20"/>
      <c r="I941" s="20"/>
      <c r="J941" s="252">
        <v>50010005</v>
      </c>
      <c r="K941" s="476" t="s">
        <v>1139</v>
      </c>
      <c r="L941" s="476"/>
      <c r="M941" s="476"/>
      <c r="N941" s="170" t="s">
        <v>11</v>
      </c>
      <c r="O941" s="170"/>
      <c r="P941" s="249">
        <v>33.700000000000003</v>
      </c>
      <c r="Q941" s="250">
        <f t="shared" si="136"/>
        <v>1449.1000000000001</v>
      </c>
      <c r="R941" s="28">
        <f t="shared" si="137"/>
        <v>1159.2800000000002</v>
      </c>
    </row>
    <row r="942" spans="1:18" ht="10.5" customHeight="1" x14ac:dyDescent="0.3">
      <c r="A942" s="18"/>
      <c r="B942" s="20"/>
      <c r="C942" s="20"/>
      <c r="D942" s="20"/>
      <c r="E942" s="20"/>
      <c r="F942" s="20"/>
      <c r="G942" s="20"/>
      <c r="H942" s="20"/>
      <c r="I942" s="20"/>
      <c r="J942" s="297">
        <v>50010006</v>
      </c>
      <c r="K942" s="475" t="s">
        <v>1140</v>
      </c>
      <c r="L942" s="475"/>
      <c r="M942" s="475"/>
      <c r="N942" s="58" t="s">
        <v>11</v>
      </c>
      <c r="O942" s="58"/>
      <c r="P942" s="60">
        <v>35.26</v>
      </c>
      <c r="Q942" s="250">
        <f t="shared" si="136"/>
        <v>1516.1799999999998</v>
      </c>
      <c r="R942" s="28">
        <f t="shared" si="137"/>
        <v>1212.944</v>
      </c>
    </row>
    <row r="943" spans="1:18" ht="10.5" customHeight="1" x14ac:dyDescent="0.3">
      <c r="A943" s="18"/>
      <c r="B943" s="20"/>
      <c r="C943" s="20"/>
      <c r="D943" s="20"/>
      <c r="E943" s="20"/>
      <c r="F943" s="20"/>
      <c r="G943" s="20"/>
      <c r="H943" s="20"/>
      <c r="I943" s="20"/>
      <c r="J943" s="251">
        <v>50010007</v>
      </c>
      <c r="K943" s="475" t="s">
        <v>1141</v>
      </c>
      <c r="L943" s="475"/>
      <c r="M943" s="475"/>
      <c r="N943" s="66" t="s">
        <v>11</v>
      </c>
      <c r="O943" s="66"/>
      <c r="P943" s="52">
        <v>40.07</v>
      </c>
      <c r="Q943" s="250">
        <f t="shared" si="136"/>
        <v>1723.01</v>
      </c>
      <c r="R943" s="28">
        <f t="shared" si="137"/>
        <v>1378.4079999999999</v>
      </c>
    </row>
    <row r="944" spans="1:18" ht="10.5" customHeight="1" x14ac:dyDescent="0.3">
      <c r="A944" s="18"/>
      <c r="B944" s="20"/>
      <c r="C944" s="20"/>
      <c r="D944" s="20"/>
      <c r="E944" s="20"/>
      <c r="F944" s="20"/>
      <c r="G944" s="20"/>
      <c r="H944" s="20"/>
      <c r="I944" s="20"/>
      <c r="J944" s="257">
        <v>50010008</v>
      </c>
      <c r="K944" s="475" t="s">
        <v>1142</v>
      </c>
      <c r="L944" s="475"/>
      <c r="M944" s="475"/>
      <c r="N944" s="66" t="s">
        <v>11</v>
      </c>
      <c r="O944" s="66"/>
      <c r="P944" s="52">
        <v>68.63</v>
      </c>
      <c r="Q944" s="250">
        <f t="shared" si="136"/>
        <v>2951.0899999999997</v>
      </c>
      <c r="R944" s="28">
        <f t="shared" si="137"/>
        <v>2360.8719999999998</v>
      </c>
    </row>
    <row r="945" spans="1:18" ht="10.5" customHeight="1" thickBot="1" x14ac:dyDescent="0.35">
      <c r="A945" s="446" t="s">
        <v>78</v>
      </c>
      <c r="B945" s="477" t="s">
        <v>79</v>
      </c>
      <c r="C945" s="477"/>
      <c r="D945" s="477"/>
      <c r="E945" s="473" t="s">
        <v>80</v>
      </c>
      <c r="F945" s="61"/>
      <c r="G945" s="16" t="s">
        <v>81</v>
      </c>
      <c r="H945" s="17" t="s">
        <v>82</v>
      </c>
      <c r="I945" s="20"/>
      <c r="J945" s="251">
        <v>50010009</v>
      </c>
      <c r="K945" s="475" t="s">
        <v>1143</v>
      </c>
      <c r="L945" s="475"/>
      <c r="M945" s="475"/>
      <c r="N945" s="66" t="s">
        <v>11</v>
      </c>
      <c r="O945" s="66"/>
      <c r="P945" s="52">
        <v>77.39</v>
      </c>
      <c r="Q945" s="250">
        <f t="shared" si="136"/>
        <v>3327.77</v>
      </c>
      <c r="R945" s="28">
        <f t="shared" si="137"/>
        <v>2662.2159999999999</v>
      </c>
    </row>
    <row r="946" spans="1:18" ht="10.5" customHeight="1" thickTop="1" x14ac:dyDescent="0.3">
      <c r="A946" s="446"/>
      <c r="B946" s="477"/>
      <c r="C946" s="477"/>
      <c r="D946" s="477"/>
      <c r="E946" s="473"/>
      <c r="F946" s="68"/>
      <c r="G946" s="69" t="s">
        <v>84</v>
      </c>
      <c r="H946" s="15" t="s">
        <v>84</v>
      </c>
      <c r="I946" s="20"/>
      <c r="J946" s="251">
        <v>50010011</v>
      </c>
      <c r="K946" s="475" t="s">
        <v>1144</v>
      </c>
      <c r="L946" s="475"/>
      <c r="M946" s="475"/>
      <c r="N946" s="66" t="s">
        <v>11</v>
      </c>
      <c r="O946" s="66"/>
      <c r="P946" s="52">
        <v>91.35</v>
      </c>
      <c r="Q946" s="250">
        <f t="shared" si="136"/>
        <v>3928.0499999999997</v>
      </c>
      <c r="R946" s="28">
        <f t="shared" si="137"/>
        <v>3142.4399999999996</v>
      </c>
    </row>
    <row r="947" spans="1:18" ht="10.5" customHeight="1" x14ac:dyDescent="0.3">
      <c r="A947" s="139">
        <v>50010001</v>
      </c>
      <c r="B947" s="474" t="s">
        <v>1145</v>
      </c>
      <c r="C947" s="474"/>
      <c r="D947" s="474"/>
      <c r="E947" s="169" t="s">
        <v>11</v>
      </c>
      <c r="F947" s="135">
        <v>24.35</v>
      </c>
      <c r="G947" s="250">
        <f>F947*$F$10</f>
        <v>1047.05</v>
      </c>
      <c r="H947" s="72">
        <f>G947-G947*0.2</f>
        <v>837.64</v>
      </c>
      <c r="I947" s="20"/>
      <c r="J947" s="251">
        <v>50010012</v>
      </c>
      <c r="K947" s="475" t="s">
        <v>1146</v>
      </c>
      <c r="L947" s="475"/>
      <c r="M947" s="475"/>
      <c r="N947" s="66" t="s">
        <v>11</v>
      </c>
      <c r="O947" s="66"/>
      <c r="P947" s="52">
        <v>127.07</v>
      </c>
      <c r="Q947" s="250">
        <f t="shared" si="136"/>
        <v>5464.0099999999993</v>
      </c>
      <c r="R947" s="28">
        <f t="shared" si="137"/>
        <v>4371.2079999999996</v>
      </c>
    </row>
    <row r="948" spans="1:18" ht="10.5" customHeight="1" x14ac:dyDescent="0.3">
      <c r="A948" s="252">
        <v>50010002</v>
      </c>
      <c r="B948" s="476" t="s">
        <v>1147</v>
      </c>
      <c r="C948" s="476"/>
      <c r="D948" s="476"/>
      <c r="E948" s="170" t="s">
        <v>11</v>
      </c>
      <c r="F948" s="249">
        <v>23.61</v>
      </c>
      <c r="G948" s="250">
        <f>F948*$F$10</f>
        <v>1015.23</v>
      </c>
      <c r="H948" s="28">
        <f>G948-G948*0.2</f>
        <v>812.18399999999997</v>
      </c>
      <c r="I948" s="20"/>
      <c r="J948" s="251">
        <v>50010013</v>
      </c>
      <c r="K948" s="475" t="s">
        <v>1148</v>
      </c>
      <c r="L948" s="475"/>
      <c r="M948" s="475"/>
      <c r="N948" s="66" t="s">
        <v>11</v>
      </c>
      <c r="O948" s="66"/>
      <c r="P948" s="52">
        <v>159.38999999999999</v>
      </c>
      <c r="Q948" s="250">
        <f t="shared" si="136"/>
        <v>6853.7699999999995</v>
      </c>
      <c r="R948" s="28">
        <f t="shared" si="137"/>
        <v>5483.0159999999996</v>
      </c>
    </row>
    <row r="949" spans="1:18" ht="10.5" customHeight="1" x14ac:dyDescent="0.3">
      <c r="A949" s="252">
        <v>50010003</v>
      </c>
      <c r="B949" s="476" t="s">
        <v>1149</v>
      </c>
      <c r="C949" s="476"/>
      <c r="D949" s="476"/>
      <c r="E949" s="170" t="s">
        <v>11</v>
      </c>
      <c r="F949" s="249">
        <v>24.96</v>
      </c>
      <c r="G949" s="250">
        <f>F949*$F$10</f>
        <v>1073.28</v>
      </c>
      <c r="H949" s="28">
        <f>G949-G949*0.2</f>
        <v>858.62400000000002</v>
      </c>
      <c r="I949" s="83"/>
      <c r="J949" s="251">
        <v>50010018</v>
      </c>
      <c r="K949" s="475" t="s">
        <v>1150</v>
      </c>
      <c r="L949" s="475"/>
      <c r="M949" s="475"/>
      <c r="N949" s="66" t="s">
        <v>11</v>
      </c>
      <c r="O949" s="66"/>
      <c r="P949" s="52">
        <v>191.76</v>
      </c>
      <c r="Q949" s="250">
        <f t="shared" si="136"/>
        <v>8245.68</v>
      </c>
      <c r="R949" s="28">
        <f t="shared" si="137"/>
        <v>6596.5439999999999</v>
      </c>
    </row>
    <row r="950" spans="1:18" ht="10.5" customHeight="1" x14ac:dyDescent="0.3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</row>
    <row r="951" spans="1:18" ht="10.5" customHeight="1" x14ac:dyDescent="0.3">
      <c r="A951" s="47" t="s">
        <v>1151</v>
      </c>
      <c r="B951" s="48" t="s">
        <v>1152</v>
      </c>
      <c r="C951" s="49"/>
      <c r="D951" s="49"/>
      <c r="E951" s="49"/>
      <c r="F951" s="49"/>
      <c r="G951" s="49"/>
      <c r="H951" s="50"/>
      <c r="I951" s="49"/>
      <c r="J951" s="47" t="s">
        <v>1153</v>
      </c>
      <c r="K951" s="48" t="s">
        <v>1154</v>
      </c>
      <c r="L951" s="49"/>
      <c r="M951" s="49"/>
      <c r="N951" s="49"/>
      <c r="O951" s="49"/>
      <c r="P951" s="49"/>
      <c r="Q951" s="49"/>
      <c r="R951" s="50"/>
    </row>
    <row r="952" spans="1:18" ht="10.5" customHeight="1" x14ac:dyDescent="0.3">
      <c r="A952" s="18"/>
      <c r="B952" s="20"/>
      <c r="C952" s="20"/>
      <c r="D952" s="20"/>
      <c r="E952" s="20"/>
      <c r="F952" s="20"/>
      <c r="G952" s="20"/>
      <c r="H952" s="101"/>
      <c r="I952" s="20"/>
      <c r="J952" s="18"/>
      <c r="K952" s="20"/>
      <c r="L952" s="20"/>
      <c r="M952" s="20"/>
      <c r="N952" s="20"/>
      <c r="O952" s="20"/>
      <c r="P952" s="20"/>
      <c r="Q952" s="20"/>
      <c r="R952" s="101"/>
    </row>
    <row r="953" spans="1:18" ht="10.5" customHeight="1" x14ac:dyDescent="0.3">
      <c r="A953" s="99"/>
      <c r="B953" s="20"/>
      <c r="C953" s="20"/>
      <c r="D953" s="20"/>
      <c r="E953" s="20"/>
      <c r="F953" s="20"/>
      <c r="G953" s="20"/>
      <c r="H953" s="101"/>
      <c r="I953" s="20"/>
      <c r="J953" s="99"/>
      <c r="K953" s="20"/>
      <c r="L953" s="20"/>
      <c r="M953" s="20"/>
      <c r="N953" s="20"/>
      <c r="O953" s="20"/>
      <c r="P953" s="20"/>
      <c r="Q953" s="20"/>
      <c r="R953" s="101"/>
    </row>
    <row r="954" spans="1:18" ht="10.5" customHeight="1" x14ac:dyDescent="0.3">
      <c r="A954" s="18"/>
      <c r="B954" s="20"/>
      <c r="C954" s="20"/>
      <c r="D954" s="20"/>
      <c r="E954" s="20"/>
      <c r="F954" s="20"/>
      <c r="G954" s="20"/>
      <c r="H954" s="101"/>
      <c r="I954" s="20"/>
      <c r="J954" s="18"/>
      <c r="K954" s="20"/>
      <c r="L954" s="20"/>
      <c r="M954" s="20"/>
      <c r="N954" s="20"/>
      <c r="O954" s="20"/>
      <c r="P954" s="20"/>
      <c r="Q954" s="20"/>
      <c r="R954" s="101"/>
    </row>
    <row r="955" spans="1:18" ht="10.5" customHeight="1" x14ac:dyDescent="0.3">
      <c r="A955" s="18"/>
      <c r="B955" s="20"/>
      <c r="C955" s="20"/>
      <c r="D955" s="20"/>
      <c r="E955" s="20"/>
      <c r="F955" s="20"/>
      <c r="G955" s="20"/>
      <c r="H955" s="101"/>
      <c r="I955" s="20"/>
      <c r="J955" s="18"/>
      <c r="K955" s="20"/>
      <c r="L955" s="20"/>
      <c r="M955" s="20"/>
      <c r="N955" s="20"/>
      <c r="O955" s="20"/>
      <c r="P955" s="20"/>
      <c r="Q955" s="20"/>
      <c r="R955" s="101"/>
    </row>
    <row r="956" spans="1:18" ht="10.5" customHeight="1" x14ac:dyDescent="0.3">
      <c r="A956" s="18"/>
      <c r="B956" s="20"/>
      <c r="C956" s="20"/>
      <c r="D956" s="20"/>
      <c r="E956" s="20"/>
      <c r="F956" s="20"/>
      <c r="G956" s="20"/>
      <c r="H956" s="101"/>
      <c r="I956" s="20"/>
      <c r="J956" s="18"/>
      <c r="K956" s="20"/>
      <c r="L956" s="20"/>
      <c r="M956" s="20"/>
      <c r="N956" s="20"/>
      <c r="O956" s="20"/>
      <c r="P956" s="20"/>
      <c r="Q956" s="20"/>
      <c r="R956" s="101"/>
    </row>
    <row r="957" spans="1:18" ht="10.5" customHeight="1" x14ac:dyDescent="0.3">
      <c r="A957" s="18"/>
      <c r="B957" s="20"/>
      <c r="C957" s="20"/>
      <c r="D957" s="20"/>
      <c r="E957" s="20"/>
      <c r="F957" s="20"/>
      <c r="G957" s="20"/>
      <c r="H957" s="101"/>
      <c r="I957" s="20"/>
      <c r="J957" s="18"/>
      <c r="K957" s="20"/>
      <c r="L957" s="20"/>
      <c r="M957" s="20"/>
      <c r="N957" s="20"/>
      <c r="O957" s="20"/>
      <c r="P957" s="20"/>
      <c r="Q957" s="20"/>
      <c r="R957" s="101"/>
    </row>
    <row r="958" spans="1:18" ht="10.5" customHeight="1" x14ac:dyDescent="0.3">
      <c r="A958" s="18"/>
      <c r="B958" s="20"/>
      <c r="C958" s="20"/>
      <c r="D958" s="20"/>
      <c r="E958" s="20"/>
      <c r="F958" s="20"/>
      <c r="G958" s="20"/>
      <c r="H958" s="101"/>
      <c r="I958" s="20"/>
      <c r="J958" s="18"/>
      <c r="K958" s="20"/>
      <c r="L958" s="20"/>
      <c r="M958" s="20"/>
      <c r="N958" s="20"/>
      <c r="O958" s="20"/>
      <c r="P958" s="20"/>
      <c r="Q958" s="20"/>
      <c r="R958" s="101"/>
    </row>
    <row r="959" spans="1:18" ht="10.5" customHeight="1" x14ac:dyDescent="0.3">
      <c r="A959" s="18"/>
      <c r="B959" s="20"/>
      <c r="C959" s="20"/>
      <c r="D959" s="20"/>
      <c r="E959" s="20"/>
      <c r="F959" s="20"/>
      <c r="G959" s="20"/>
      <c r="H959" s="101"/>
      <c r="I959" s="20"/>
      <c r="J959" s="18"/>
      <c r="K959" s="20"/>
      <c r="L959" s="20"/>
      <c r="M959" s="20"/>
      <c r="N959" s="20"/>
      <c r="O959" s="20"/>
      <c r="P959" s="20"/>
      <c r="Q959" s="20"/>
      <c r="R959" s="101"/>
    </row>
    <row r="960" spans="1:18" ht="10.5" customHeight="1" x14ac:dyDescent="0.3">
      <c r="A960" s="446" t="s">
        <v>78</v>
      </c>
      <c r="B960" s="477" t="s">
        <v>79</v>
      </c>
      <c r="C960" s="477"/>
      <c r="D960" s="477"/>
      <c r="E960" s="473" t="s">
        <v>80</v>
      </c>
      <c r="F960" s="61"/>
      <c r="G960" s="16" t="s">
        <v>81</v>
      </c>
      <c r="H960" s="17" t="s">
        <v>82</v>
      </c>
      <c r="I960" s="20"/>
      <c r="J960" s="446" t="s">
        <v>78</v>
      </c>
      <c r="K960" s="477" t="s">
        <v>79</v>
      </c>
      <c r="L960" s="477"/>
      <c r="M960" s="477"/>
      <c r="N960" s="473" t="s">
        <v>80</v>
      </c>
      <c r="O960" s="434"/>
      <c r="P960" s="61"/>
      <c r="Q960" s="16" t="s">
        <v>81</v>
      </c>
      <c r="R960" s="17" t="s">
        <v>82</v>
      </c>
    </row>
    <row r="961" spans="1:18" ht="10.5" customHeight="1" x14ac:dyDescent="0.3">
      <c r="A961" s="446"/>
      <c r="B961" s="477"/>
      <c r="C961" s="477"/>
      <c r="D961" s="477"/>
      <c r="E961" s="473"/>
      <c r="F961" s="68"/>
      <c r="G961" s="69" t="s">
        <v>375</v>
      </c>
      <c r="H961" s="15" t="s">
        <v>375</v>
      </c>
      <c r="I961" s="20"/>
      <c r="J961" s="446"/>
      <c r="K961" s="477"/>
      <c r="L961" s="477"/>
      <c r="M961" s="477"/>
      <c r="N961" s="473"/>
      <c r="O961" s="369"/>
      <c r="P961" s="68"/>
      <c r="Q961" s="69" t="s">
        <v>375</v>
      </c>
      <c r="R961" s="15" t="s">
        <v>375</v>
      </c>
    </row>
    <row r="962" spans="1:18" ht="10.5" customHeight="1" x14ac:dyDescent="0.3">
      <c r="A962" s="73" t="s">
        <v>1155</v>
      </c>
      <c r="B962" s="479" t="s">
        <v>1156</v>
      </c>
      <c r="C962" s="479"/>
      <c r="D962" s="479"/>
      <c r="E962" s="169" t="s">
        <v>11</v>
      </c>
      <c r="F962" s="78">
        <v>0.11586599999999997</v>
      </c>
      <c r="G962" s="250">
        <f t="shared" ref="G962:G983" si="138">F962*$F$10</f>
        <v>4.9822379999999988</v>
      </c>
      <c r="H962" s="72">
        <f t="shared" ref="H962:H983" si="139">G962-G962*0.2</f>
        <v>3.9857903999999991</v>
      </c>
      <c r="I962" s="20"/>
      <c r="J962" s="73" t="s">
        <v>1157</v>
      </c>
      <c r="K962" s="479" t="s">
        <v>1158</v>
      </c>
      <c r="L962" s="479"/>
      <c r="M962" s="479"/>
      <c r="N962" s="169" t="s">
        <v>11</v>
      </c>
      <c r="O962" s="169"/>
      <c r="P962" s="78">
        <v>0.13999689999999998</v>
      </c>
      <c r="Q962" s="250">
        <f t="shared" ref="Q962:Q979" si="140">P962*$F$10</f>
        <v>6.0198666999999988</v>
      </c>
      <c r="R962" s="72">
        <f t="shared" ref="R962:R979" si="141">Q962-Q962*0.2</f>
        <v>4.8158933599999987</v>
      </c>
    </row>
    <row r="963" spans="1:18" ht="10.5" customHeight="1" x14ac:dyDescent="0.3">
      <c r="A963" s="79" t="s">
        <v>1159</v>
      </c>
      <c r="B963" s="478" t="s">
        <v>1158</v>
      </c>
      <c r="C963" s="478"/>
      <c r="D963" s="478"/>
      <c r="E963" s="170" t="s">
        <v>11</v>
      </c>
      <c r="F963" s="26">
        <v>0.11586599999999997</v>
      </c>
      <c r="G963" s="250">
        <f t="shared" si="138"/>
        <v>4.9822379999999988</v>
      </c>
      <c r="H963" s="28">
        <f t="shared" si="139"/>
        <v>3.9857903999999991</v>
      </c>
      <c r="I963" s="20"/>
      <c r="J963" s="73" t="s">
        <v>1160</v>
      </c>
      <c r="K963" s="478" t="s">
        <v>1161</v>
      </c>
      <c r="L963" s="478"/>
      <c r="M963" s="478"/>
      <c r="N963" s="170" t="s">
        <v>11</v>
      </c>
      <c r="O963" s="170"/>
      <c r="P963" s="26">
        <v>0.13999689999999998</v>
      </c>
      <c r="Q963" s="250">
        <f t="shared" si="140"/>
        <v>6.0198666999999988</v>
      </c>
      <c r="R963" s="28">
        <f t="shared" si="141"/>
        <v>4.8158933599999987</v>
      </c>
    </row>
    <row r="964" spans="1:18" ht="10.5" customHeight="1" x14ac:dyDescent="0.3">
      <c r="A964" s="79" t="s">
        <v>1162</v>
      </c>
      <c r="B964" s="478" t="s">
        <v>1161</v>
      </c>
      <c r="C964" s="478"/>
      <c r="D964" s="478"/>
      <c r="E964" s="170" t="s">
        <v>11</v>
      </c>
      <c r="F964" s="26">
        <v>0.1214866</v>
      </c>
      <c r="G964" s="250">
        <f t="shared" si="138"/>
        <v>5.2239237999999997</v>
      </c>
      <c r="H964" s="28">
        <f t="shared" si="139"/>
        <v>4.1791390399999999</v>
      </c>
      <c r="I964" s="20"/>
      <c r="J964" s="73" t="s">
        <v>1163</v>
      </c>
      <c r="K964" s="478" t="s">
        <v>1164</v>
      </c>
      <c r="L964" s="478"/>
      <c r="M964" s="478"/>
      <c r="N964" s="170" t="s">
        <v>11</v>
      </c>
      <c r="O964" s="170"/>
      <c r="P964" s="26">
        <v>0.14999779999999999</v>
      </c>
      <c r="Q964" s="250">
        <f t="shared" si="140"/>
        <v>6.4499053999999996</v>
      </c>
      <c r="R964" s="28">
        <f t="shared" si="141"/>
        <v>5.15992432</v>
      </c>
    </row>
    <row r="965" spans="1:18" ht="10.5" customHeight="1" x14ac:dyDescent="0.3">
      <c r="A965" s="252" t="s">
        <v>1165</v>
      </c>
      <c r="B965" s="478" t="s">
        <v>1166</v>
      </c>
      <c r="C965" s="478"/>
      <c r="D965" s="478"/>
      <c r="E965" s="170" t="s">
        <v>11</v>
      </c>
      <c r="F965" s="26">
        <v>0.12088999999999998</v>
      </c>
      <c r="G965" s="250">
        <f t="shared" si="138"/>
        <v>5.1982699999999991</v>
      </c>
      <c r="H965" s="28">
        <f t="shared" si="139"/>
        <v>4.1586159999999994</v>
      </c>
      <c r="I965" s="20"/>
      <c r="J965" s="73" t="s">
        <v>1167</v>
      </c>
      <c r="K965" s="478" t="s">
        <v>1168</v>
      </c>
      <c r="L965" s="478"/>
      <c r="M965" s="478"/>
      <c r="N965" s="66" t="s">
        <v>11</v>
      </c>
      <c r="O965" s="66"/>
      <c r="P965" s="26">
        <v>0.16999959999999997</v>
      </c>
      <c r="Q965" s="250">
        <f t="shared" si="140"/>
        <v>7.3099827999999984</v>
      </c>
      <c r="R965" s="28">
        <f t="shared" si="141"/>
        <v>5.8479862399999991</v>
      </c>
    </row>
    <row r="966" spans="1:18" ht="10.5" customHeight="1" x14ac:dyDescent="0.3">
      <c r="A966" s="79" t="s">
        <v>1169</v>
      </c>
      <c r="B966" s="478" t="s">
        <v>1164</v>
      </c>
      <c r="C966" s="478"/>
      <c r="D966" s="478"/>
      <c r="E966" s="66" t="s">
        <v>11</v>
      </c>
      <c r="F966" s="26">
        <v>0.12444008399999996</v>
      </c>
      <c r="G966" s="250">
        <f t="shared" si="138"/>
        <v>5.3509236119999981</v>
      </c>
      <c r="H966" s="28">
        <f t="shared" si="139"/>
        <v>4.2807388895999985</v>
      </c>
      <c r="I966" s="20"/>
      <c r="J966" s="73" t="s">
        <v>1170</v>
      </c>
      <c r="K966" s="478" t="s">
        <v>1171</v>
      </c>
      <c r="L966" s="478"/>
      <c r="M966" s="478"/>
      <c r="N966" s="66" t="s">
        <v>11</v>
      </c>
      <c r="O966" s="66"/>
      <c r="P966" s="26">
        <v>0.18000049999999998</v>
      </c>
      <c r="Q966" s="250">
        <f t="shared" si="140"/>
        <v>7.7400214999999992</v>
      </c>
      <c r="R966" s="28">
        <f t="shared" si="141"/>
        <v>6.1920171999999996</v>
      </c>
    </row>
    <row r="967" spans="1:18" ht="10.5" customHeight="1" x14ac:dyDescent="0.3">
      <c r="A967" s="121" t="s">
        <v>1172</v>
      </c>
      <c r="B967" s="478" t="s">
        <v>1173</v>
      </c>
      <c r="C967" s="478"/>
      <c r="D967" s="478"/>
      <c r="E967" s="66" t="s">
        <v>11</v>
      </c>
      <c r="F967" s="26">
        <v>0.12444008399999996</v>
      </c>
      <c r="G967" s="250">
        <f t="shared" si="138"/>
        <v>5.3509236119999981</v>
      </c>
      <c r="H967" s="28">
        <f t="shared" si="139"/>
        <v>4.2807388895999985</v>
      </c>
      <c r="I967" s="20"/>
      <c r="J967" s="73" t="s">
        <v>1174</v>
      </c>
      <c r="K967" s="478" t="s">
        <v>1175</v>
      </c>
      <c r="L967" s="478"/>
      <c r="M967" s="478"/>
      <c r="N967" s="66" t="s">
        <v>11</v>
      </c>
      <c r="O967" s="66"/>
      <c r="P967" s="26">
        <v>0.23014668292682924</v>
      </c>
      <c r="Q967" s="250">
        <f t="shared" si="140"/>
        <v>9.8963073658536569</v>
      </c>
      <c r="R967" s="28">
        <f t="shared" si="141"/>
        <v>7.9170458926829257</v>
      </c>
    </row>
    <row r="968" spans="1:18" ht="10.5" customHeight="1" x14ac:dyDescent="0.3">
      <c r="A968" s="79" t="s">
        <v>1176</v>
      </c>
      <c r="B968" s="478" t="s">
        <v>1168</v>
      </c>
      <c r="C968" s="478"/>
      <c r="D968" s="478"/>
      <c r="E968" s="66" t="s">
        <v>11</v>
      </c>
      <c r="F968" s="26">
        <v>0.13731408399999998</v>
      </c>
      <c r="G968" s="250">
        <f t="shared" si="138"/>
        <v>5.9045056119999986</v>
      </c>
      <c r="H968" s="28">
        <f t="shared" si="139"/>
        <v>4.7236044895999987</v>
      </c>
      <c r="I968" s="20"/>
      <c r="J968" s="73" t="s">
        <v>1177</v>
      </c>
      <c r="K968" s="478" t="s">
        <v>1178</v>
      </c>
      <c r="L968" s="478"/>
      <c r="M968" s="478"/>
      <c r="N968" s="66" t="s">
        <v>11</v>
      </c>
      <c r="O968" s="66"/>
      <c r="P968" s="26">
        <v>0.20000229999999999</v>
      </c>
      <c r="Q968" s="250">
        <f t="shared" si="140"/>
        <v>8.600098899999999</v>
      </c>
      <c r="R968" s="28">
        <f t="shared" si="141"/>
        <v>6.8800791199999995</v>
      </c>
    </row>
    <row r="969" spans="1:18" ht="10.5" customHeight="1" x14ac:dyDescent="0.3">
      <c r="A969" s="79" t="s">
        <v>1179</v>
      </c>
      <c r="B969" s="478" t="s">
        <v>1171</v>
      </c>
      <c r="C969" s="478"/>
      <c r="D969" s="478"/>
      <c r="E969" s="66" t="s">
        <v>11</v>
      </c>
      <c r="F969" s="26">
        <v>0.14161399999999996</v>
      </c>
      <c r="G969" s="250">
        <f t="shared" si="138"/>
        <v>6.089401999999998</v>
      </c>
      <c r="H969" s="28">
        <f t="shared" si="139"/>
        <v>4.8715215999999986</v>
      </c>
      <c r="I969" s="20"/>
      <c r="J969" s="73" t="s">
        <v>1180</v>
      </c>
      <c r="K969" s="478" t="s">
        <v>1181</v>
      </c>
      <c r="L969" s="478"/>
      <c r="M969" s="478"/>
      <c r="N969" s="66" t="s">
        <v>11</v>
      </c>
      <c r="O969" s="66"/>
      <c r="P969" s="26">
        <v>0.24751624390243898</v>
      </c>
      <c r="Q969" s="250">
        <f t="shared" si="140"/>
        <v>10.643198487804876</v>
      </c>
      <c r="R969" s="28">
        <f t="shared" si="141"/>
        <v>8.5145587902438997</v>
      </c>
    </row>
    <row r="970" spans="1:18" ht="10.5" customHeight="1" x14ac:dyDescent="0.3">
      <c r="A970" s="79" t="s">
        <v>1182</v>
      </c>
      <c r="B970" s="478" t="s">
        <v>1183</v>
      </c>
      <c r="C970" s="478"/>
      <c r="D970" s="478"/>
      <c r="E970" s="66" t="s">
        <v>11</v>
      </c>
      <c r="F970" s="26">
        <v>0.15448799999999996</v>
      </c>
      <c r="G970" s="250">
        <f t="shared" si="138"/>
        <v>6.6429839999999984</v>
      </c>
      <c r="H970" s="28">
        <f t="shared" si="139"/>
        <v>5.3143871999999988</v>
      </c>
      <c r="I970" s="20"/>
      <c r="J970" s="73" t="s">
        <v>1184</v>
      </c>
      <c r="K970" s="478" t="s">
        <v>1185</v>
      </c>
      <c r="L970" s="478"/>
      <c r="M970" s="478"/>
      <c r="N970" s="66" t="s">
        <v>11</v>
      </c>
      <c r="O970" s="66"/>
      <c r="P970" s="26">
        <v>0.25837221951219508</v>
      </c>
      <c r="Q970" s="250">
        <f t="shared" si="140"/>
        <v>11.110005439024388</v>
      </c>
      <c r="R970" s="28">
        <f t="shared" si="141"/>
        <v>8.8880043512195108</v>
      </c>
    </row>
    <row r="971" spans="1:18" ht="10.5" customHeight="1" x14ac:dyDescent="0.3">
      <c r="A971" s="79" t="s">
        <v>1186</v>
      </c>
      <c r="B971" s="478" t="s">
        <v>1178</v>
      </c>
      <c r="C971" s="478"/>
      <c r="D971" s="478"/>
      <c r="E971" s="66" t="s">
        <v>11</v>
      </c>
      <c r="F971" s="26">
        <v>0.1514422</v>
      </c>
      <c r="G971" s="250">
        <f t="shared" si="138"/>
        <v>6.5120145999999997</v>
      </c>
      <c r="H971" s="28">
        <f t="shared" si="139"/>
        <v>5.2096116800000001</v>
      </c>
      <c r="I971" s="20"/>
      <c r="J971" s="73" t="s">
        <v>1187</v>
      </c>
      <c r="K971" s="478" t="s">
        <v>1188</v>
      </c>
      <c r="L971" s="478"/>
      <c r="M971" s="478"/>
      <c r="N971" s="66" t="s">
        <v>11</v>
      </c>
      <c r="O971" s="66"/>
      <c r="P971" s="26">
        <v>0.28949268292682923</v>
      </c>
      <c r="Q971" s="250">
        <f t="shared" si="140"/>
        <v>12.448185365853657</v>
      </c>
      <c r="R971" s="28">
        <f t="shared" si="141"/>
        <v>9.9585482926829254</v>
      </c>
    </row>
    <row r="972" spans="1:18" ht="10.5" customHeight="1" x14ac:dyDescent="0.3">
      <c r="A972" s="79" t="s">
        <v>1189</v>
      </c>
      <c r="B972" s="478" t="s">
        <v>1181</v>
      </c>
      <c r="C972" s="478"/>
      <c r="D972" s="478"/>
      <c r="E972" s="66" t="s">
        <v>11</v>
      </c>
      <c r="F972" s="26">
        <v>0.16475579999999998</v>
      </c>
      <c r="G972" s="250">
        <f t="shared" si="138"/>
        <v>7.0844993999999994</v>
      </c>
      <c r="H972" s="28">
        <f t="shared" si="139"/>
        <v>5.6675995199999996</v>
      </c>
      <c r="I972" s="20"/>
      <c r="J972" s="73" t="s">
        <v>1190</v>
      </c>
      <c r="K972" s="478" t="s">
        <v>1191</v>
      </c>
      <c r="L972" s="478"/>
      <c r="M972" s="478"/>
      <c r="N972" s="66" t="s">
        <v>11</v>
      </c>
      <c r="O972" s="66"/>
      <c r="P972" s="26">
        <v>0.30613851219512189</v>
      </c>
      <c r="Q972" s="250">
        <f t="shared" si="140"/>
        <v>13.163956024390242</v>
      </c>
      <c r="R972" s="28">
        <f t="shared" si="141"/>
        <v>10.531164819512194</v>
      </c>
    </row>
    <row r="973" spans="1:18" ht="10.5" customHeight="1" x14ac:dyDescent="0.3">
      <c r="A973" s="79" t="s">
        <v>1192</v>
      </c>
      <c r="B973" s="478" t="s">
        <v>1193</v>
      </c>
      <c r="C973" s="478"/>
      <c r="D973" s="478"/>
      <c r="E973" s="66" t="s">
        <v>11</v>
      </c>
      <c r="F973" s="26">
        <v>0.19873417721518882</v>
      </c>
      <c r="G973" s="250">
        <f t="shared" si="138"/>
        <v>8.5455696202531186</v>
      </c>
      <c r="H973" s="28">
        <f t="shared" si="139"/>
        <v>6.8364556962024947</v>
      </c>
      <c r="I973" s="20"/>
      <c r="J973" s="73" t="s">
        <v>1194</v>
      </c>
      <c r="K973" s="478" t="s">
        <v>1195</v>
      </c>
      <c r="L973" s="478"/>
      <c r="M973" s="478"/>
      <c r="N973" s="66" t="s">
        <v>11</v>
      </c>
      <c r="O973" s="66"/>
      <c r="P973" s="26">
        <v>0.33725897560975604</v>
      </c>
      <c r="Q973" s="250">
        <f t="shared" si="140"/>
        <v>14.502135951219509</v>
      </c>
      <c r="R973" s="28">
        <f t="shared" si="141"/>
        <v>11.601708760975608</v>
      </c>
    </row>
    <row r="974" spans="1:18" ht="10.5" customHeight="1" x14ac:dyDescent="0.3">
      <c r="A974" s="79" t="s">
        <v>1196</v>
      </c>
      <c r="B974" s="478" t="s">
        <v>1185</v>
      </c>
      <c r="C974" s="478"/>
      <c r="D974" s="478"/>
      <c r="E974" s="66" t="s">
        <v>11</v>
      </c>
      <c r="F974" s="26">
        <v>0.18023599999999998</v>
      </c>
      <c r="G974" s="250">
        <f t="shared" si="138"/>
        <v>7.7501479999999994</v>
      </c>
      <c r="H974" s="28">
        <f t="shared" si="139"/>
        <v>6.2001183999999991</v>
      </c>
      <c r="I974" s="20"/>
      <c r="J974" s="73" t="s">
        <v>1197</v>
      </c>
      <c r="K974" s="478" t="s">
        <v>1198</v>
      </c>
      <c r="L974" s="478"/>
      <c r="M974" s="478"/>
      <c r="N974" s="66" t="s">
        <v>11</v>
      </c>
      <c r="O974" s="66"/>
      <c r="P974" s="26">
        <v>0.33998349999999994</v>
      </c>
      <c r="Q974" s="250">
        <f t="shared" si="140"/>
        <v>14.619290499999998</v>
      </c>
      <c r="R974" s="28">
        <f t="shared" si="141"/>
        <v>11.695432399999998</v>
      </c>
    </row>
    <row r="975" spans="1:18" ht="10.5" customHeight="1" x14ac:dyDescent="0.3">
      <c r="A975" s="79" t="s">
        <v>1199</v>
      </c>
      <c r="B975" s="478" t="s">
        <v>1188</v>
      </c>
      <c r="C975" s="478"/>
      <c r="D975" s="478"/>
      <c r="E975" s="66" t="s">
        <v>11</v>
      </c>
      <c r="F975" s="26">
        <v>0.19310999999999995</v>
      </c>
      <c r="G975" s="250">
        <f t="shared" si="138"/>
        <v>8.3037299999999981</v>
      </c>
      <c r="H975" s="28">
        <f t="shared" si="139"/>
        <v>6.6429839999999984</v>
      </c>
      <c r="I975" s="20"/>
      <c r="J975" s="73" t="s">
        <v>1200</v>
      </c>
      <c r="K975" s="478" t="s">
        <v>1201</v>
      </c>
      <c r="L975" s="478"/>
      <c r="M975" s="478"/>
      <c r="N975" s="66" t="s">
        <v>11</v>
      </c>
      <c r="O975" s="66"/>
      <c r="P975" s="26">
        <v>0.38445853658536577</v>
      </c>
      <c r="Q975" s="250">
        <f t="shared" si="140"/>
        <v>16.531717073170729</v>
      </c>
      <c r="R975" s="28">
        <f t="shared" si="141"/>
        <v>13.225373658536583</v>
      </c>
    </row>
    <row r="976" spans="1:18" ht="10.5" customHeight="1" x14ac:dyDescent="0.3">
      <c r="A976" s="79" t="s">
        <v>1202</v>
      </c>
      <c r="B976" s="478" t="s">
        <v>1191</v>
      </c>
      <c r="C976" s="478"/>
      <c r="D976" s="478"/>
      <c r="E976" s="66" t="s">
        <v>11</v>
      </c>
      <c r="F976" s="26">
        <v>0.21028391599999996</v>
      </c>
      <c r="G976" s="250">
        <f t="shared" si="138"/>
        <v>9.0422083879999988</v>
      </c>
      <c r="H976" s="28">
        <f t="shared" si="139"/>
        <v>7.2337667103999994</v>
      </c>
      <c r="I976" s="20"/>
      <c r="J976" s="73" t="s">
        <v>1203</v>
      </c>
      <c r="K976" s="478" t="s">
        <v>1204</v>
      </c>
      <c r="L976" s="478"/>
      <c r="M976" s="478"/>
      <c r="N976" s="66" t="s">
        <v>11</v>
      </c>
      <c r="O976" s="66"/>
      <c r="P976" s="26">
        <v>0.39671219512195116</v>
      </c>
      <c r="Q976" s="250">
        <f t="shared" si="140"/>
        <v>17.058624390243899</v>
      </c>
      <c r="R976" s="28">
        <f t="shared" si="141"/>
        <v>13.64689951219512</v>
      </c>
    </row>
    <row r="977" spans="1:18" ht="10.5" customHeight="1" x14ac:dyDescent="0.3">
      <c r="A977" s="79" t="s">
        <v>1205</v>
      </c>
      <c r="B977" s="478" t="s">
        <v>1195</v>
      </c>
      <c r="C977" s="478"/>
      <c r="D977" s="478"/>
      <c r="E977" s="66" t="s">
        <v>11</v>
      </c>
      <c r="F977" s="26">
        <v>0.19970399999999999</v>
      </c>
      <c r="G977" s="250">
        <f t="shared" si="138"/>
        <v>8.5872720000000005</v>
      </c>
      <c r="H977" s="28">
        <f t="shared" si="139"/>
        <v>6.8698176000000002</v>
      </c>
      <c r="I977" s="20"/>
      <c r="J977" s="73" t="s">
        <v>1206</v>
      </c>
      <c r="K977" s="478" t="s">
        <v>1207</v>
      </c>
      <c r="L977" s="478"/>
      <c r="M977" s="478"/>
      <c r="N977" s="66" t="s">
        <v>11</v>
      </c>
      <c r="O977" s="66"/>
      <c r="P977" s="26">
        <v>0.41000549999999997</v>
      </c>
      <c r="Q977" s="250">
        <f t="shared" si="140"/>
        <v>17.630236499999999</v>
      </c>
      <c r="R977" s="28">
        <f t="shared" si="141"/>
        <v>14.104189199999999</v>
      </c>
    </row>
    <row r="978" spans="1:18" ht="10.5" customHeight="1" x14ac:dyDescent="0.3">
      <c r="A978" s="79" t="s">
        <v>1208</v>
      </c>
      <c r="B978" s="478" t="s">
        <v>1198</v>
      </c>
      <c r="C978" s="478"/>
      <c r="D978" s="478"/>
      <c r="E978" s="66" t="s">
        <v>11</v>
      </c>
      <c r="F978" s="26">
        <v>0.22633119999999998</v>
      </c>
      <c r="G978" s="250">
        <f t="shared" si="138"/>
        <v>9.7322416</v>
      </c>
      <c r="H978" s="28">
        <f t="shared" si="139"/>
        <v>7.78579328</v>
      </c>
      <c r="I978" s="20"/>
      <c r="J978" s="73" t="s">
        <v>1209</v>
      </c>
      <c r="K978" s="478" t="s">
        <v>1210</v>
      </c>
      <c r="L978" s="478"/>
      <c r="M978" s="478"/>
      <c r="N978" s="66" t="s">
        <v>11</v>
      </c>
      <c r="O978" s="66"/>
      <c r="P978" s="26">
        <v>0.46000999999999992</v>
      </c>
      <c r="Q978" s="250">
        <f t="shared" si="140"/>
        <v>19.780429999999996</v>
      </c>
      <c r="R978" s="28">
        <f t="shared" si="141"/>
        <v>15.824343999999996</v>
      </c>
    </row>
    <row r="979" spans="1:18" ht="10.5" customHeight="1" x14ac:dyDescent="0.3">
      <c r="A979" s="79" t="s">
        <v>1211</v>
      </c>
      <c r="B979" s="478" t="s">
        <v>1201</v>
      </c>
      <c r="C979" s="478"/>
      <c r="D979" s="478"/>
      <c r="E979" s="66" t="s">
        <v>11</v>
      </c>
      <c r="F979" s="26">
        <v>0.24460599999999996</v>
      </c>
      <c r="G979" s="250">
        <f t="shared" si="138"/>
        <v>10.518057999999998</v>
      </c>
      <c r="H979" s="28">
        <f t="shared" si="139"/>
        <v>8.4144463999999992</v>
      </c>
      <c r="I979" s="20"/>
      <c r="J979" s="79" t="s">
        <v>1212</v>
      </c>
      <c r="K979" s="478" t="s">
        <v>1213</v>
      </c>
      <c r="L979" s="478"/>
      <c r="M979" s="478"/>
      <c r="N979" s="66" t="s">
        <v>11</v>
      </c>
      <c r="O979" s="66"/>
      <c r="P979" s="26">
        <v>0.47998039999999992</v>
      </c>
      <c r="Q979" s="247">
        <f t="shared" si="140"/>
        <v>20.639157199999996</v>
      </c>
      <c r="R979" s="28">
        <f t="shared" si="141"/>
        <v>16.511325759999998</v>
      </c>
    </row>
    <row r="980" spans="1:18" ht="10.5" customHeight="1" x14ac:dyDescent="0.3">
      <c r="A980" s="79" t="s">
        <v>1214</v>
      </c>
      <c r="B980" s="478" t="s">
        <v>1204</v>
      </c>
      <c r="C980" s="478"/>
      <c r="D980" s="478"/>
      <c r="E980" s="66" t="s">
        <v>11</v>
      </c>
      <c r="F980" s="26">
        <v>0.26177991599999995</v>
      </c>
      <c r="G980" s="250">
        <f t="shared" si="138"/>
        <v>11.256536387999997</v>
      </c>
      <c r="H980" s="28">
        <f t="shared" si="139"/>
        <v>9.0052291103999984</v>
      </c>
      <c r="I980" s="20"/>
      <c r="J980" s="49"/>
      <c r="K980" s="49"/>
      <c r="L980" s="49"/>
      <c r="M980" s="49"/>
      <c r="N980" s="49"/>
      <c r="O980" s="49"/>
      <c r="P980" s="49"/>
      <c r="Q980" s="49"/>
      <c r="R980" s="50"/>
    </row>
    <row r="981" spans="1:18" ht="10.5" customHeight="1" x14ac:dyDescent="0.3">
      <c r="A981" s="79" t="s">
        <v>1215</v>
      </c>
      <c r="B981" s="478" t="s">
        <v>1207</v>
      </c>
      <c r="C981" s="478"/>
      <c r="D981" s="478"/>
      <c r="E981" s="66" t="s">
        <v>11</v>
      </c>
      <c r="F981" s="26">
        <v>0.27465391599999994</v>
      </c>
      <c r="G981" s="250">
        <f t="shared" si="138"/>
        <v>11.810118387999998</v>
      </c>
      <c r="H981" s="28">
        <f t="shared" si="139"/>
        <v>9.4480947103999977</v>
      </c>
      <c r="I981" s="20"/>
      <c r="J981" s="20"/>
      <c r="K981" s="20"/>
      <c r="L981" s="20"/>
      <c r="M981" s="20"/>
      <c r="N981" s="20"/>
      <c r="O981" s="20"/>
      <c r="P981" s="20"/>
      <c r="Q981" s="20"/>
      <c r="R981" s="101"/>
    </row>
    <row r="982" spans="1:18" ht="10.5" customHeight="1" x14ac:dyDescent="0.3">
      <c r="A982" s="121" t="s">
        <v>1216</v>
      </c>
      <c r="B982" s="478" t="s">
        <v>1210</v>
      </c>
      <c r="C982" s="478"/>
      <c r="D982" s="478"/>
      <c r="E982" s="66" t="s">
        <v>11</v>
      </c>
      <c r="F982" s="36">
        <v>0.25979732</v>
      </c>
      <c r="G982" s="250">
        <f t="shared" si="138"/>
        <v>11.171284760000001</v>
      </c>
      <c r="H982" s="28">
        <f t="shared" si="139"/>
        <v>8.9370278079999999</v>
      </c>
      <c r="I982" s="20"/>
      <c r="J982" s="20"/>
      <c r="K982" s="20"/>
      <c r="L982" s="20"/>
      <c r="M982" s="20"/>
      <c r="N982" s="20"/>
      <c r="O982" s="20"/>
      <c r="P982" s="20"/>
      <c r="Q982" s="20"/>
      <c r="R982" s="101"/>
    </row>
    <row r="983" spans="1:18" ht="10.5" customHeight="1" x14ac:dyDescent="0.3">
      <c r="A983" s="79" t="s">
        <v>1217</v>
      </c>
      <c r="B983" s="478" t="s">
        <v>1213</v>
      </c>
      <c r="C983" s="478"/>
      <c r="D983" s="478"/>
      <c r="E983" s="66" t="s">
        <v>11</v>
      </c>
      <c r="F983" s="26">
        <v>0.30040191599999999</v>
      </c>
      <c r="G983" s="250">
        <f t="shared" si="138"/>
        <v>12.917282388</v>
      </c>
      <c r="H983" s="28">
        <f t="shared" si="139"/>
        <v>10.3338259104</v>
      </c>
      <c r="I983" s="83"/>
      <c r="J983" s="83"/>
      <c r="K983" s="83"/>
      <c r="L983" s="83"/>
      <c r="M983" s="83"/>
      <c r="N983" s="83"/>
      <c r="O983" s="83"/>
      <c r="P983" s="83"/>
      <c r="Q983" s="83"/>
      <c r="R983" s="116"/>
    </row>
    <row r="984" spans="1:18" ht="10.5" customHeight="1" x14ac:dyDescent="0.3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</row>
    <row r="985" spans="1:18" ht="10.5" customHeight="1" x14ac:dyDescent="0.3">
      <c r="A985" s="47" t="s">
        <v>1218</v>
      </c>
      <c r="B985" s="48" t="s">
        <v>1219</v>
      </c>
      <c r="C985" s="49"/>
      <c r="D985" s="49"/>
      <c r="E985" s="49"/>
      <c r="F985" s="49"/>
      <c r="G985" s="49"/>
      <c r="H985" s="49"/>
      <c r="I985" s="49"/>
      <c r="J985" s="446" t="s">
        <v>78</v>
      </c>
      <c r="K985" s="477" t="s">
        <v>79</v>
      </c>
      <c r="L985" s="477"/>
      <c r="M985" s="477"/>
      <c r="N985" s="473" t="s">
        <v>80</v>
      </c>
      <c r="O985" s="434"/>
      <c r="P985" s="61"/>
      <c r="Q985" s="16" t="s">
        <v>81</v>
      </c>
      <c r="R985" s="17" t="s">
        <v>82</v>
      </c>
    </row>
    <row r="986" spans="1:18" ht="10.5" customHeight="1" x14ac:dyDescent="0.3">
      <c r="A986" s="18"/>
      <c r="B986" s="20"/>
      <c r="C986" s="20"/>
      <c r="D986" s="20"/>
      <c r="E986" s="20"/>
      <c r="F986" s="20"/>
      <c r="G986" s="20"/>
      <c r="H986" s="20"/>
      <c r="I986" s="20"/>
      <c r="J986" s="446"/>
      <c r="K986" s="477"/>
      <c r="L986" s="477"/>
      <c r="M986" s="477"/>
      <c r="N986" s="473"/>
      <c r="O986" s="369"/>
      <c r="P986" s="68"/>
      <c r="Q986" s="69" t="s">
        <v>375</v>
      </c>
      <c r="R986" s="15" t="s">
        <v>375</v>
      </c>
    </row>
    <row r="987" spans="1:18" ht="10.5" customHeight="1" x14ac:dyDescent="0.3">
      <c r="A987" s="99" t="s">
        <v>457</v>
      </c>
      <c r="B987" s="20"/>
      <c r="C987" s="20"/>
      <c r="D987" s="20"/>
      <c r="E987" s="20"/>
      <c r="F987" s="20"/>
      <c r="G987" s="20"/>
      <c r="H987" s="20"/>
      <c r="I987" s="20"/>
      <c r="J987" s="73">
        <v>50050001</v>
      </c>
      <c r="K987" s="479" t="s">
        <v>1161</v>
      </c>
      <c r="L987" s="479"/>
      <c r="M987" s="479"/>
      <c r="N987" s="169" t="s">
        <v>11</v>
      </c>
      <c r="O987" s="169"/>
      <c r="P987" s="78">
        <v>0.2</v>
      </c>
      <c r="Q987" s="250">
        <f>P987*$F$10</f>
        <v>8.6</v>
      </c>
      <c r="R987" s="72">
        <f>Q987-Q987*0.2</f>
        <v>6.88</v>
      </c>
    </row>
    <row r="988" spans="1:18" ht="10.5" customHeight="1" x14ac:dyDescent="0.3">
      <c r="A988" s="138" t="s">
        <v>457</v>
      </c>
      <c r="B988" s="20"/>
      <c r="C988" s="20"/>
      <c r="D988" s="20"/>
      <c r="E988" s="20"/>
      <c r="F988" s="20"/>
      <c r="G988" s="20"/>
      <c r="H988" s="20"/>
      <c r="I988" s="20"/>
      <c r="J988" s="73">
        <v>50050002</v>
      </c>
      <c r="K988" s="478" t="s">
        <v>1164</v>
      </c>
      <c r="L988" s="478"/>
      <c r="M988" s="478"/>
      <c r="N988" s="170" t="s">
        <v>11</v>
      </c>
      <c r="O988" s="170"/>
      <c r="P988" s="26">
        <v>0.21000000000000002</v>
      </c>
      <c r="Q988" s="250">
        <f>P988*$F$10</f>
        <v>9.0300000000000011</v>
      </c>
      <c r="R988" s="28">
        <f>Q988-Q988*0.2</f>
        <v>7.2240000000000011</v>
      </c>
    </row>
    <row r="989" spans="1:18" ht="10.5" customHeight="1" x14ac:dyDescent="0.3">
      <c r="A989" s="18"/>
      <c r="B989" s="20"/>
      <c r="C989" s="20"/>
      <c r="D989" s="20"/>
      <c r="E989" s="20"/>
      <c r="F989" s="20"/>
      <c r="G989" s="20"/>
      <c r="H989" s="20"/>
      <c r="I989" s="20"/>
      <c r="J989" s="73">
        <v>50050003</v>
      </c>
      <c r="K989" s="478" t="s">
        <v>1168</v>
      </c>
      <c r="L989" s="478"/>
      <c r="M989" s="478"/>
      <c r="N989" s="170" t="s">
        <v>11</v>
      </c>
      <c r="O989" s="170"/>
      <c r="P989" s="26">
        <v>0.22</v>
      </c>
      <c r="Q989" s="250">
        <f>P989*$F$10</f>
        <v>9.4600000000000009</v>
      </c>
      <c r="R989" s="28">
        <f>Q989-Q989*0.2</f>
        <v>7.5680000000000005</v>
      </c>
    </row>
    <row r="990" spans="1:18" ht="10.5" customHeight="1" x14ac:dyDescent="0.3">
      <c r="A990" s="18"/>
      <c r="B990" s="20"/>
      <c r="C990" s="20"/>
      <c r="D990" s="20"/>
      <c r="E990" s="20"/>
      <c r="F990" s="20"/>
      <c r="G990" s="20"/>
      <c r="H990" s="20"/>
      <c r="I990" s="20"/>
      <c r="J990" s="39"/>
      <c r="K990" s="43"/>
      <c r="L990" s="253"/>
      <c r="M990" s="253"/>
      <c r="N990" s="199"/>
      <c r="O990" s="199"/>
      <c r="P990" s="44"/>
      <c r="Q990" s="131"/>
      <c r="R990" s="120"/>
    </row>
    <row r="991" spans="1:18" ht="10.5" customHeight="1" x14ac:dyDescent="0.3">
      <c r="A991" s="18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101"/>
    </row>
    <row r="992" spans="1:18" ht="10.5" customHeight="1" x14ac:dyDescent="0.3">
      <c r="A992" s="55"/>
      <c r="B992" s="83"/>
      <c r="C992" s="83"/>
      <c r="D992" s="83"/>
      <c r="E992" s="83"/>
      <c r="F992" s="83"/>
      <c r="G992" s="83"/>
      <c r="H992" s="83"/>
      <c r="I992" s="83"/>
      <c r="J992" s="83"/>
      <c r="K992" s="83"/>
      <c r="L992" s="83"/>
      <c r="M992" s="83"/>
      <c r="N992" s="83"/>
      <c r="O992" s="83"/>
      <c r="P992" s="83"/>
      <c r="Q992" s="83"/>
      <c r="R992" s="116"/>
    </row>
    <row r="993" spans="1:18" ht="10.5" customHeight="1" x14ac:dyDescent="0.3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101"/>
    </row>
    <row r="994" spans="1:18" ht="10.5" customHeight="1" x14ac:dyDescent="0.3">
      <c r="A994" s="47" t="s">
        <v>1220</v>
      </c>
      <c r="B994" s="48" t="s">
        <v>1221</v>
      </c>
      <c r="C994" s="49"/>
      <c r="D994" s="49"/>
      <c r="E994" s="49"/>
      <c r="F994" s="49"/>
      <c r="G994" s="49"/>
      <c r="H994" s="49"/>
      <c r="I994" s="49"/>
      <c r="J994" s="446" t="s">
        <v>78</v>
      </c>
      <c r="K994" s="477" t="s">
        <v>79</v>
      </c>
      <c r="L994" s="477"/>
      <c r="M994" s="477"/>
      <c r="N994" s="473" t="s">
        <v>80</v>
      </c>
      <c r="O994" s="434"/>
      <c r="P994" s="61"/>
      <c r="Q994" s="16" t="s">
        <v>81</v>
      </c>
      <c r="R994" s="17" t="s">
        <v>82</v>
      </c>
    </row>
    <row r="995" spans="1:18" ht="10.5" customHeight="1" x14ac:dyDescent="0.3">
      <c r="A995" s="18"/>
      <c r="B995" s="20"/>
      <c r="C995" s="20"/>
      <c r="D995" s="20"/>
      <c r="E995" s="20"/>
      <c r="F995" s="20"/>
      <c r="G995" s="20"/>
      <c r="H995" s="20"/>
      <c r="I995" s="20"/>
      <c r="J995" s="446"/>
      <c r="K995" s="477"/>
      <c r="L995" s="477"/>
      <c r="M995" s="477"/>
      <c r="N995" s="473"/>
      <c r="O995" s="369"/>
      <c r="P995" s="68"/>
      <c r="Q995" s="69" t="s">
        <v>375</v>
      </c>
      <c r="R995" s="15" t="s">
        <v>375</v>
      </c>
    </row>
    <row r="996" spans="1:18" ht="10.5" customHeight="1" x14ac:dyDescent="0.3">
      <c r="A996" s="138" t="s">
        <v>457</v>
      </c>
      <c r="B996" s="20"/>
      <c r="C996" s="20"/>
      <c r="D996" s="20"/>
      <c r="E996" s="20"/>
      <c r="F996" s="20"/>
      <c r="G996" s="20"/>
      <c r="H996" s="20"/>
      <c r="I996" s="20"/>
      <c r="J996" s="73">
        <v>50060001</v>
      </c>
      <c r="K996" s="480" t="s">
        <v>1222</v>
      </c>
      <c r="L996" s="480"/>
      <c r="M996" s="480"/>
      <c r="N996" s="169" t="s">
        <v>11</v>
      </c>
      <c r="O996" s="169"/>
      <c r="P996" s="78">
        <v>0.50969433214285709</v>
      </c>
      <c r="Q996" s="250">
        <f>P996*$F$10</f>
        <v>21.916856282142856</v>
      </c>
      <c r="R996" s="72">
        <f>Q996-Q996*0.2</f>
        <v>17.533485025714285</v>
      </c>
    </row>
    <row r="997" spans="1:18" ht="10.5" customHeight="1" x14ac:dyDescent="0.3">
      <c r="A997" s="138"/>
      <c r="B997" s="20"/>
      <c r="C997" s="20"/>
      <c r="D997" s="20"/>
      <c r="E997" s="20"/>
      <c r="F997" s="20"/>
      <c r="G997" s="20"/>
      <c r="H997" s="20"/>
      <c r="I997" s="20"/>
      <c r="J997" s="73">
        <v>50060002</v>
      </c>
      <c r="K997" s="482" t="s">
        <v>1223</v>
      </c>
      <c r="L997" s="450"/>
      <c r="M997" s="483"/>
      <c r="N997" s="169" t="s">
        <v>11</v>
      </c>
      <c r="O997" s="169"/>
      <c r="P997" s="78">
        <v>0.5181</v>
      </c>
      <c r="Q997" s="250">
        <f t="shared" ref="Q997:Q1009" si="142">P997*$F$10</f>
        <v>22.278300000000002</v>
      </c>
      <c r="R997" s="72">
        <f t="shared" ref="R997:R1009" si="143">Q997-Q997*0.2</f>
        <v>17.82264</v>
      </c>
    </row>
    <row r="998" spans="1:18" ht="10.5" customHeight="1" x14ac:dyDescent="0.3">
      <c r="A998" s="138"/>
      <c r="B998" s="20"/>
      <c r="C998" s="20"/>
      <c r="D998" s="20"/>
      <c r="E998" s="20"/>
      <c r="F998" s="20"/>
      <c r="G998" s="20"/>
      <c r="H998" s="20"/>
      <c r="I998" s="20"/>
      <c r="J998" s="73">
        <v>50060003</v>
      </c>
      <c r="K998" s="449" t="s">
        <v>1224</v>
      </c>
      <c r="L998" s="450"/>
      <c r="M998" s="451"/>
      <c r="N998" s="425" t="s">
        <v>11</v>
      </c>
      <c r="O998" s="425"/>
      <c r="P998" s="78">
        <v>0.5181</v>
      </c>
      <c r="Q998" s="250">
        <f t="shared" si="142"/>
        <v>22.278300000000002</v>
      </c>
      <c r="R998" s="72">
        <f t="shared" si="143"/>
        <v>17.82264</v>
      </c>
    </row>
    <row r="999" spans="1:18" ht="10.5" customHeight="1" x14ac:dyDescent="0.3">
      <c r="A999" s="138"/>
      <c r="B999" s="20"/>
      <c r="C999" s="20"/>
      <c r="D999" s="20"/>
      <c r="E999" s="20"/>
      <c r="F999" s="20"/>
      <c r="G999" s="20"/>
      <c r="H999" s="20"/>
      <c r="I999" s="20"/>
      <c r="J999" s="73">
        <v>50060004</v>
      </c>
      <c r="K999" s="449" t="s">
        <v>1225</v>
      </c>
      <c r="L999" s="450"/>
      <c r="M999" s="451"/>
      <c r="N999" s="425" t="s">
        <v>11</v>
      </c>
      <c r="O999" s="425"/>
      <c r="P999" s="78">
        <v>0.5181</v>
      </c>
      <c r="Q999" s="250">
        <f t="shared" si="142"/>
        <v>22.278300000000002</v>
      </c>
      <c r="R999" s="72">
        <f t="shared" si="143"/>
        <v>17.82264</v>
      </c>
    </row>
    <row r="1000" spans="1:18" ht="10.5" customHeight="1" x14ac:dyDescent="0.3">
      <c r="A1000" s="18"/>
      <c r="B1000" s="20"/>
      <c r="C1000" s="20"/>
      <c r="D1000" s="20"/>
      <c r="E1000" s="20"/>
      <c r="F1000" s="20"/>
      <c r="G1000" s="20"/>
      <c r="H1000" s="20"/>
      <c r="I1000" s="20"/>
      <c r="J1000" s="73">
        <v>50060005</v>
      </c>
      <c r="K1000" s="480" t="s">
        <v>1226</v>
      </c>
      <c r="L1000" s="480"/>
      <c r="M1000" s="480"/>
      <c r="N1000" s="170" t="s">
        <v>11</v>
      </c>
      <c r="O1000" s="170"/>
      <c r="P1000" s="26">
        <v>0.52775549999999993</v>
      </c>
      <c r="Q1000" s="250">
        <f t="shared" si="142"/>
        <v>22.693486499999999</v>
      </c>
      <c r="R1000" s="72">
        <f t="shared" si="143"/>
        <v>18.1547892</v>
      </c>
    </row>
    <row r="1001" spans="1:18" ht="10.5" customHeight="1" x14ac:dyDescent="0.3">
      <c r="A1001" s="18"/>
      <c r="B1001" s="20"/>
      <c r="C1001" s="20"/>
      <c r="D1001" s="20"/>
      <c r="E1001" s="20"/>
      <c r="F1001" s="20"/>
      <c r="G1001" s="20"/>
      <c r="H1001" s="20"/>
      <c r="I1001" s="20"/>
      <c r="J1001" s="73">
        <v>50060006</v>
      </c>
      <c r="K1001" s="449" t="s">
        <v>1227</v>
      </c>
      <c r="L1001" s="450"/>
      <c r="M1001" s="451"/>
      <c r="N1001" s="426" t="s">
        <v>11</v>
      </c>
      <c r="O1001" s="426"/>
      <c r="P1001" s="26">
        <v>0.52775549999999993</v>
      </c>
      <c r="Q1001" s="250">
        <f t="shared" si="142"/>
        <v>22.693486499999999</v>
      </c>
      <c r="R1001" s="72">
        <f t="shared" si="143"/>
        <v>18.1547892</v>
      </c>
    </row>
    <row r="1002" spans="1:18" ht="10.5" customHeight="1" x14ac:dyDescent="0.3">
      <c r="A1002" s="18"/>
      <c r="B1002" s="20"/>
      <c r="C1002" s="20"/>
      <c r="D1002" s="20"/>
      <c r="E1002" s="20"/>
      <c r="F1002" s="20"/>
      <c r="G1002" s="20"/>
      <c r="H1002" s="20"/>
      <c r="I1002" s="20"/>
      <c r="J1002" s="73">
        <v>50060007</v>
      </c>
      <c r="K1002" s="479" t="s">
        <v>1228</v>
      </c>
      <c r="L1002" s="479"/>
      <c r="M1002" s="479"/>
      <c r="N1002" s="170" t="s">
        <v>11</v>
      </c>
      <c r="O1002" s="170"/>
      <c r="P1002" s="26">
        <v>0.59659999999999991</v>
      </c>
      <c r="Q1002" s="250">
        <f t="shared" si="142"/>
        <v>25.653799999999997</v>
      </c>
      <c r="R1002" s="72">
        <f t="shared" si="143"/>
        <v>20.523039999999998</v>
      </c>
    </row>
    <row r="1003" spans="1:18" ht="10.5" customHeight="1" x14ac:dyDescent="0.3">
      <c r="A1003" s="18"/>
      <c r="B1003" s="20"/>
      <c r="C1003" s="20"/>
      <c r="D1003" s="20"/>
      <c r="E1003" s="20"/>
      <c r="F1003" s="20"/>
      <c r="G1003" s="20"/>
      <c r="H1003" s="20"/>
      <c r="I1003" s="20"/>
      <c r="J1003" s="73">
        <v>50060008</v>
      </c>
      <c r="K1003" s="478" t="s">
        <v>1229</v>
      </c>
      <c r="L1003" s="478"/>
      <c r="M1003" s="478"/>
      <c r="N1003" s="170" t="s">
        <v>11</v>
      </c>
      <c r="O1003" s="170"/>
      <c r="P1003" s="26">
        <v>0.59659999999999991</v>
      </c>
      <c r="Q1003" s="250">
        <f t="shared" si="142"/>
        <v>25.653799999999997</v>
      </c>
      <c r="R1003" s="72">
        <f t="shared" si="143"/>
        <v>20.523039999999998</v>
      </c>
    </row>
    <row r="1004" spans="1:18" ht="10.5" customHeight="1" x14ac:dyDescent="0.3">
      <c r="A1004" s="18"/>
      <c r="B1004" s="20"/>
      <c r="C1004" s="20"/>
      <c r="D1004" s="20"/>
      <c r="E1004" s="20"/>
      <c r="F1004" s="20"/>
      <c r="G1004" s="20"/>
      <c r="H1004" s="20"/>
      <c r="I1004" s="20"/>
      <c r="J1004" s="73">
        <v>50060009</v>
      </c>
      <c r="K1004" s="481" t="s">
        <v>1230</v>
      </c>
      <c r="L1004" s="481"/>
      <c r="M1004" s="481"/>
      <c r="N1004" s="193" t="s">
        <v>11</v>
      </c>
      <c r="O1004" s="193"/>
      <c r="P1004" s="36">
        <v>0.60276785714285708</v>
      </c>
      <c r="Q1004" s="250">
        <f t="shared" si="142"/>
        <v>25.919017857142855</v>
      </c>
      <c r="R1004" s="72">
        <f t="shared" si="143"/>
        <v>20.735214285714285</v>
      </c>
    </row>
    <row r="1005" spans="1:18" ht="10.5" customHeight="1" x14ac:dyDescent="0.3">
      <c r="A1005" s="18"/>
      <c r="B1005" s="20"/>
      <c r="C1005" s="20"/>
      <c r="D1005" s="20"/>
      <c r="E1005" s="20"/>
      <c r="F1005" s="20"/>
      <c r="G1005" s="20"/>
      <c r="H1005" s="20"/>
      <c r="I1005" s="20"/>
      <c r="J1005" s="73">
        <v>50060010</v>
      </c>
      <c r="K1005" s="449" t="s">
        <v>1231</v>
      </c>
      <c r="L1005" s="450"/>
      <c r="M1005" s="451"/>
      <c r="N1005" s="422" t="s">
        <v>11</v>
      </c>
      <c r="O1005" s="422"/>
      <c r="P1005" s="421">
        <v>0.65042857142857136</v>
      </c>
      <c r="Q1005" s="250">
        <f>P1005*$F$10</f>
        <v>27.968428571428568</v>
      </c>
      <c r="R1005" s="72">
        <f t="shared" si="143"/>
        <v>22.374742857142856</v>
      </c>
    </row>
    <row r="1006" spans="1:18" ht="10.5" customHeight="1" x14ac:dyDescent="0.3">
      <c r="A1006" s="18"/>
      <c r="B1006" s="20"/>
      <c r="C1006" s="20"/>
      <c r="D1006" s="20"/>
      <c r="E1006" s="20"/>
      <c r="F1006" s="20"/>
      <c r="G1006" s="20"/>
      <c r="H1006" s="20"/>
      <c r="I1006" s="20"/>
      <c r="J1006" s="73">
        <v>50060011</v>
      </c>
      <c r="K1006" s="449" t="s">
        <v>1232</v>
      </c>
      <c r="L1006" s="450"/>
      <c r="M1006" s="451"/>
      <c r="N1006" s="422" t="s">
        <v>11</v>
      </c>
      <c r="O1006" s="422"/>
      <c r="P1006" s="421">
        <v>0.8141571428571428</v>
      </c>
      <c r="Q1006" s="250">
        <f t="shared" si="142"/>
        <v>35.008757142857142</v>
      </c>
      <c r="R1006" s="72">
        <f t="shared" si="143"/>
        <v>28.007005714285715</v>
      </c>
    </row>
    <row r="1007" spans="1:18" ht="10.5" customHeight="1" x14ac:dyDescent="0.3">
      <c r="A1007" s="18"/>
      <c r="B1007" s="20"/>
      <c r="C1007" s="20"/>
      <c r="D1007" s="20"/>
      <c r="E1007" s="20"/>
      <c r="F1007" s="20"/>
      <c r="G1007" s="20"/>
      <c r="H1007" s="20"/>
      <c r="I1007" s="20"/>
      <c r="J1007" s="73">
        <v>50060012</v>
      </c>
      <c r="K1007" s="449" t="s">
        <v>1233</v>
      </c>
      <c r="L1007" s="450"/>
      <c r="M1007" s="451"/>
      <c r="N1007" s="422" t="s">
        <v>11</v>
      </c>
      <c r="O1007" s="422"/>
      <c r="P1007" s="421">
        <v>0.84275357142857144</v>
      </c>
      <c r="Q1007" s="250">
        <f t="shared" si="142"/>
        <v>36.23840357142857</v>
      </c>
      <c r="R1007" s="72">
        <f t="shared" si="143"/>
        <v>28.990722857142856</v>
      </c>
    </row>
    <row r="1008" spans="1:18" ht="10.5" customHeight="1" x14ac:dyDescent="0.3">
      <c r="A1008" s="18"/>
      <c r="B1008" s="20"/>
      <c r="C1008" s="20"/>
      <c r="D1008" s="20"/>
      <c r="E1008" s="20"/>
      <c r="F1008" s="20"/>
      <c r="G1008" s="20"/>
      <c r="H1008" s="20"/>
      <c r="I1008" s="20"/>
      <c r="J1008" s="53">
        <v>50060013</v>
      </c>
      <c r="K1008" s="449" t="s">
        <v>1234</v>
      </c>
      <c r="L1008" s="450"/>
      <c r="M1008" s="451"/>
      <c r="N1008" s="423" t="s">
        <v>11</v>
      </c>
      <c r="O1008" s="423"/>
      <c r="P1008" s="424">
        <v>0.89994642857142859</v>
      </c>
      <c r="Q1008" s="250">
        <f t="shared" si="142"/>
        <v>38.697696428571426</v>
      </c>
      <c r="R1008" s="72">
        <f t="shared" si="143"/>
        <v>30.958157142857139</v>
      </c>
    </row>
    <row r="1009" spans="1:18" ht="10.5" customHeight="1" x14ac:dyDescent="0.3">
      <c r="A1009" s="18"/>
      <c r="B1009" s="20"/>
      <c r="C1009" s="20"/>
      <c r="D1009" s="20"/>
      <c r="E1009" s="20"/>
      <c r="F1009" s="20"/>
      <c r="G1009" s="20"/>
      <c r="H1009" s="20"/>
      <c r="I1009" s="20"/>
      <c r="J1009" s="420">
        <v>50060014</v>
      </c>
      <c r="K1009" s="449" t="s">
        <v>1235</v>
      </c>
      <c r="L1009" s="450"/>
      <c r="M1009" s="451"/>
      <c r="N1009" s="422" t="s">
        <v>11</v>
      </c>
      <c r="O1009" s="422"/>
      <c r="P1009" s="421">
        <v>1.2980535714285713</v>
      </c>
      <c r="Q1009" s="250">
        <f t="shared" si="142"/>
        <v>55.816303571428563</v>
      </c>
      <c r="R1009" s="72">
        <f t="shared" si="143"/>
        <v>44.65304285714285</v>
      </c>
    </row>
    <row r="1010" spans="1:18" ht="10.5" customHeight="1" x14ac:dyDescent="0.3">
      <c r="A1010" s="55"/>
      <c r="B1010" s="83"/>
      <c r="C1010" s="83"/>
      <c r="D1010" s="83"/>
      <c r="E1010" s="83"/>
      <c r="F1010" s="83"/>
      <c r="G1010" s="83"/>
      <c r="H1010" s="83"/>
      <c r="I1010" s="83"/>
      <c r="J1010" s="83"/>
      <c r="K1010" s="83"/>
      <c r="L1010" s="83"/>
      <c r="M1010" s="83"/>
      <c r="N1010" s="83"/>
      <c r="O1010" s="83"/>
      <c r="P1010" s="83"/>
      <c r="Q1010" s="83"/>
      <c r="R1010" s="116"/>
    </row>
    <row r="1011" spans="1:18" ht="10.5" customHeight="1" x14ac:dyDescent="0.3">
      <c r="A1011" s="20"/>
      <c r="B1011" s="20"/>
      <c r="C1011" s="20"/>
      <c r="D1011" s="20"/>
      <c r="E1011" s="20"/>
      <c r="F1011" s="20"/>
      <c r="G1011" s="20"/>
      <c r="H1011" s="20"/>
      <c r="I1011" s="20"/>
      <c r="J1011" s="20"/>
      <c r="K1011" s="20"/>
      <c r="L1011" s="20"/>
      <c r="M1011" s="20"/>
      <c r="N1011" s="20"/>
      <c r="O1011" s="20"/>
      <c r="P1011" s="20"/>
      <c r="Q1011" s="20"/>
      <c r="R1011" s="20"/>
    </row>
    <row r="1012" spans="1:18" ht="10.5" customHeight="1" x14ac:dyDescent="0.3">
      <c r="A1012" s="20"/>
      <c r="B1012" s="20"/>
      <c r="C1012" s="20"/>
      <c r="D1012" s="20"/>
      <c r="E1012" s="20"/>
      <c r="F1012" s="20"/>
      <c r="G1012" s="20"/>
      <c r="H1012" s="20"/>
      <c r="I1012" s="20"/>
      <c r="J1012" s="20"/>
      <c r="K1012" s="20"/>
      <c r="L1012" s="20"/>
      <c r="M1012" s="20"/>
      <c r="N1012" s="20"/>
      <c r="O1012" s="20"/>
      <c r="P1012" s="20"/>
      <c r="Q1012" s="20"/>
      <c r="R1012" s="20"/>
    </row>
    <row r="1013" spans="1:18" ht="10.5" customHeight="1" x14ac:dyDescent="0.3">
      <c r="A1013" s="20"/>
      <c r="B1013" s="20"/>
      <c r="C1013" s="20"/>
      <c r="D1013" s="20"/>
      <c r="E1013" s="20"/>
      <c r="F1013" s="20"/>
      <c r="G1013" s="20"/>
      <c r="H1013" s="20"/>
      <c r="I1013" s="20"/>
      <c r="J1013" s="20"/>
      <c r="K1013" s="20"/>
      <c r="L1013" s="20"/>
      <c r="M1013" s="20"/>
      <c r="N1013" s="20"/>
      <c r="O1013" s="20"/>
      <c r="P1013" s="20"/>
      <c r="Q1013" s="20"/>
      <c r="R1013" s="20"/>
    </row>
    <row r="1014" spans="1:18" ht="10.5" customHeight="1" x14ac:dyDescent="0.3">
      <c r="A1014" s="20"/>
      <c r="B1014" s="20"/>
      <c r="C1014" s="20"/>
      <c r="D1014" s="20"/>
      <c r="E1014" s="20"/>
      <c r="F1014" s="20"/>
      <c r="G1014" s="20"/>
      <c r="H1014" s="20"/>
      <c r="I1014" s="20"/>
      <c r="J1014" s="20"/>
      <c r="K1014" s="20"/>
      <c r="L1014" s="20"/>
      <c r="M1014" s="20"/>
      <c r="N1014" s="20"/>
      <c r="O1014" s="20"/>
      <c r="P1014" s="20"/>
      <c r="Q1014" s="20"/>
      <c r="R1014" s="20"/>
    </row>
    <row r="1015" spans="1:18" ht="10.5" customHeight="1" x14ac:dyDescent="0.3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</row>
    <row r="1016" spans="1:18" ht="10.5" customHeight="1" x14ac:dyDescent="0.3">
      <c r="A1016" s="20"/>
      <c r="B1016" s="20"/>
      <c r="C1016" s="20"/>
      <c r="D1016" s="20"/>
      <c r="E1016" s="20"/>
      <c r="F1016" s="20"/>
      <c r="G1016" s="20"/>
      <c r="H1016" s="20"/>
      <c r="I1016" s="20"/>
      <c r="J1016" s="20"/>
      <c r="K1016" s="20"/>
      <c r="L1016" s="20"/>
      <c r="M1016" s="20"/>
      <c r="N1016" s="20"/>
      <c r="O1016" s="20"/>
      <c r="P1016" s="20"/>
      <c r="Q1016" s="20"/>
      <c r="R1016" s="20"/>
    </row>
    <row r="1017" spans="1:18" ht="10.5" customHeight="1" x14ac:dyDescent="0.3">
      <c r="A1017" s="47" t="s">
        <v>1236</v>
      </c>
      <c r="B1017" s="48" t="s">
        <v>1237</v>
      </c>
      <c r="C1017" s="49"/>
      <c r="D1017" s="49"/>
      <c r="E1017" s="49"/>
      <c r="F1017" s="49"/>
      <c r="G1017" s="49"/>
      <c r="H1017" s="49"/>
      <c r="I1017" s="49"/>
      <c r="J1017" s="446" t="s">
        <v>78</v>
      </c>
      <c r="K1017" s="477" t="s">
        <v>79</v>
      </c>
      <c r="L1017" s="477"/>
      <c r="M1017" s="477"/>
      <c r="N1017" s="473" t="s">
        <v>80</v>
      </c>
      <c r="O1017" s="434"/>
      <c r="P1017" s="61"/>
      <c r="Q1017" s="16" t="s">
        <v>81</v>
      </c>
      <c r="R1017" s="17" t="s">
        <v>82</v>
      </c>
    </row>
    <row r="1018" spans="1:18" ht="10.5" customHeight="1" x14ac:dyDescent="0.3">
      <c r="A1018" s="18"/>
      <c r="B1018" s="20"/>
      <c r="C1018" s="20"/>
      <c r="D1018" s="20"/>
      <c r="E1018" s="20"/>
      <c r="F1018" s="20"/>
      <c r="G1018" s="20"/>
      <c r="H1018" s="20"/>
      <c r="I1018" s="20"/>
      <c r="J1018" s="446"/>
      <c r="K1018" s="477"/>
      <c r="L1018" s="477"/>
      <c r="M1018" s="477"/>
      <c r="N1018" s="473"/>
      <c r="O1018" s="369"/>
      <c r="P1018" s="68"/>
      <c r="Q1018" s="69" t="s">
        <v>84</v>
      </c>
      <c r="R1018" s="15" t="s">
        <v>84</v>
      </c>
    </row>
    <row r="1019" spans="1:18" ht="10.5" customHeight="1" x14ac:dyDescent="0.3">
      <c r="A1019" s="18"/>
      <c r="B1019" s="20"/>
      <c r="C1019" s="20"/>
      <c r="D1019" s="20"/>
      <c r="E1019" s="20"/>
      <c r="F1019" s="20"/>
      <c r="G1019" s="20"/>
      <c r="H1019" s="20"/>
      <c r="I1019" s="20"/>
      <c r="J1019" s="73" t="str">
        <f t="shared" ref="J1019:J1024" si="144">0&amp;5001&amp;0&amp;M1019</f>
        <v>05001016</v>
      </c>
      <c r="K1019" s="74" t="s">
        <v>1125</v>
      </c>
      <c r="L1019" s="75" t="s">
        <v>1113</v>
      </c>
      <c r="M1019" s="76">
        <v>16</v>
      </c>
      <c r="N1019" s="87">
        <v>100</v>
      </c>
      <c r="O1019" s="87"/>
      <c r="P1019" s="78">
        <v>1.44</v>
      </c>
      <c r="Q1019" s="250">
        <f t="shared" ref="Q1019:Q1024" si="145">P1019*$F$10</f>
        <v>61.919999999999995</v>
      </c>
      <c r="R1019" s="72">
        <f t="shared" ref="R1019:R1024" si="146">Q1019-Q1019*0.2</f>
        <v>49.535999999999994</v>
      </c>
    </row>
    <row r="1020" spans="1:18" ht="10.5" customHeight="1" x14ac:dyDescent="0.3">
      <c r="A1020" s="18"/>
      <c r="B1020" s="20"/>
      <c r="C1020" s="20"/>
      <c r="D1020" s="20"/>
      <c r="E1020" s="20"/>
      <c r="F1020" s="20"/>
      <c r="G1020" s="20"/>
      <c r="H1020" s="20"/>
      <c r="I1020" s="20"/>
      <c r="J1020" s="79" t="str">
        <f t="shared" si="144"/>
        <v>05001020</v>
      </c>
      <c r="K1020" s="22" t="s">
        <v>1125</v>
      </c>
      <c r="L1020" s="23" t="s">
        <v>1113</v>
      </c>
      <c r="M1020" s="24">
        <v>20</v>
      </c>
      <c r="N1020" s="94">
        <v>50</v>
      </c>
      <c r="O1020" s="94"/>
      <c r="P1020" s="26">
        <v>1.96</v>
      </c>
      <c r="Q1020" s="250">
        <f t="shared" si="145"/>
        <v>84.28</v>
      </c>
      <c r="R1020" s="28">
        <f t="shared" si="146"/>
        <v>67.424000000000007</v>
      </c>
    </row>
    <row r="1021" spans="1:18" ht="10.5" customHeight="1" x14ac:dyDescent="0.3">
      <c r="A1021" s="18"/>
      <c r="B1021" s="20"/>
      <c r="C1021" s="20"/>
      <c r="D1021" s="20"/>
      <c r="E1021" s="20"/>
      <c r="F1021" s="20"/>
      <c r="G1021" s="20"/>
      <c r="H1021" s="20"/>
      <c r="I1021" s="20"/>
      <c r="J1021" s="79" t="str">
        <f t="shared" si="144"/>
        <v>05001025</v>
      </c>
      <c r="K1021" s="22" t="s">
        <v>1125</v>
      </c>
      <c r="L1021" s="23" t="s">
        <v>1113</v>
      </c>
      <c r="M1021" s="24">
        <v>25</v>
      </c>
      <c r="N1021" s="94">
        <v>50</v>
      </c>
      <c r="O1021" s="94"/>
      <c r="P1021" s="26">
        <v>2.99</v>
      </c>
      <c r="Q1021" s="250">
        <f t="shared" si="145"/>
        <v>128.57000000000002</v>
      </c>
      <c r="R1021" s="28">
        <f t="shared" si="146"/>
        <v>102.85600000000002</v>
      </c>
    </row>
    <row r="1022" spans="1:18" ht="10.5" customHeight="1" x14ac:dyDescent="0.3">
      <c r="A1022" s="18"/>
      <c r="B1022" s="20"/>
      <c r="C1022" s="20"/>
      <c r="D1022" s="20"/>
      <c r="E1022" s="20"/>
      <c r="F1022" s="20"/>
      <c r="G1022" s="20"/>
      <c r="H1022" s="20"/>
      <c r="I1022" s="20"/>
      <c r="J1022" s="79" t="str">
        <f t="shared" si="144"/>
        <v>05001032</v>
      </c>
      <c r="K1022" s="22" t="s">
        <v>1125</v>
      </c>
      <c r="L1022" s="23" t="s">
        <v>1113</v>
      </c>
      <c r="M1022" s="24">
        <v>32</v>
      </c>
      <c r="N1022" s="94">
        <v>25</v>
      </c>
      <c r="O1022" s="94"/>
      <c r="P1022" s="26">
        <v>3.15</v>
      </c>
      <c r="Q1022" s="250">
        <f t="shared" si="145"/>
        <v>135.44999999999999</v>
      </c>
      <c r="R1022" s="28">
        <f t="shared" si="146"/>
        <v>108.35999999999999</v>
      </c>
    </row>
    <row r="1023" spans="1:18" ht="10.5" customHeight="1" x14ac:dyDescent="0.3">
      <c r="A1023" s="18"/>
      <c r="B1023" s="20"/>
      <c r="C1023" s="20"/>
      <c r="D1023" s="20"/>
      <c r="E1023" s="20"/>
      <c r="F1023" s="20"/>
      <c r="G1023" s="20"/>
      <c r="H1023" s="20"/>
      <c r="I1023" s="20"/>
      <c r="J1023" s="79" t="str">
        <f t="shared" si="144"/>
        <v>05001040</v>
      </c>
      <c r="K1023" s="22" t="s">
        <v>1125</v>
      </c>
      <c r="L1023" s="23" t="s">
        <v>1113</v>
      </c>
      <c r="M1023" s="24">
        <v>40</v>
      </c>
      <c r="N1023" s="94">
        <v>25</v>
      </c>
      <c r="O1023" s="94"/>
      <c r="P1023" s="26">
        <v>3.6</v>
      </c>
      <c r="Q1023" s="250">
        <f t="shared" si="145"/>
        <v>154.80000000000001</v>
      </c>
      <c r="R1023" s="28">
        <f t="shared" si="146"/>
        <v>123.84</v>
      </c>
    </row>
    <row r="1024" spans="1:18" ht="10.5" customHeight="1" x14ac:dyDescent="0.3">
      <c r="A1024" s="55"/>
      <c r="B1024" s="83"/>
      <c r="C1024" s="83"/>
      <c r="D1024" s="83"/>
      <c r="E1024" s="83"/>
      <c r="F1024" s="83"/>
      <c r="G1024" s="83"/>
      <c r="H1024" s="83"/>
      <c r="I1024" s="83"/>
      <c r="J1024" s="79" t="str">
        <f t="shared" si="144"/>
        <v>05001050</v>
      </c>
      <c r="K1024" s="22" t="s">
        <v>1125</v>
      </c>
      <c r="L1024" s="23" t="s">
        <v>1113</v>
      </c>
      <c r="M1024" s="24">
        <v>50</v>
      </c>
      <c r="N1024" s="94">
        <v>25</v>
      </c>
      <c r="O1024" s="94"/>
      <c r="P1024" s="26">
        <v>4.34</v>
      </c>
      <c r="Q1024" s="250">
        <f t="shared" si="145"/>
        <v>186.62</v>
      </c>
      <c r="R1024" s="28">
        <f t="shared" si="146"/>
        <v>149.29599999999999</v>
      </c>
    </row>
    <row r="1025" spans="1:18" ht="10.5" customHeight="1" x14ac:dyDescent="0.3">
      <c r="A1025" s="20"/>
      <c r="B1025" s="20"/>
      <c r="C1025" s="20"/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  <c r="N1025" s="20"/>
      <c r="O1025" s="20"/>
      <c r="P1025" s="20"/>
      <c r="Q1025" s="20"/>
      <c r="R1025" s="20"/>
    </row>
    <row r="1026" spans="1:18" ht="15" customHeight="1" x14ac:dyDescent="0.3">
      <c r="A1026" s="448" t="s">
        <v>1238</v>
      </c>
      <c r="B1026" s="448"/>
      <c r="C1026" s="448"/>
      <c r="D1026" s="448"/>
      <c r="E1026" s="448"/>
      <c r="F1026" s="448"/>
      <c r="G1026" s="448"/>
      <c r="H1026" s="448"/>
      <c r="I1026" s="448"/>
      <c r="J1026" s="448"/>
      <c r="K1026" s="448"/>
      <c r="L1026" s="448"/>
      <c r="M1026" s="448"/>
      <c r="N1026" s="448"/>
      <c r="O1026" s="448"/>
      <c r="P1026" s="448"/>
      <c r="Q1026" s="448"/>
      <c r="R1026" s="448"/>
    </row>
    <row r="1027" spans="1:18" ht="10.5" customHeight="1" x14ac:dyDescent="0.3">
      <c r="A1027" s="47" t="s">
        <v>1239</v>
      </c>
      <c r="B1027" s="48" t="s">
        <v>1240</v>
      </c>
      <c r="C1027" s="49"/>
      <c r="D1027" s="49"/>
      <c r="E1027" s="49"/>
      <c r="F1027" s="49"/>
      <c r="G1027" s="49"/>
      <c r="H1027" s="49"/>
      <c r="I1027" s="49"/>
      <c r="J1027" s="446" t="s">
        <v>78</v>
      </c>
      <c r="K1027" s="477" t="s">
        <v>79</v>
      </c>
      <c r="L1027" s="477"/>
      <c r="M1027" s="477"/>
      <c r="N1027" s="473" t="s">
        <v>80</v>
      </c>
      <c r="O1027" s="434"/>
      <c r="P1027" s="61"/>
      <c r="Q1027" s="16" t="s">
        <v>81</v>
      </c>
      <c r="R1027" s="17" t="s">
        <v>82</v>
      </c>
    </row>
    <row r="1028" spans="1:18" ht="10.5" customHeight="1" thickTop="1" x14ac:dyDescent="0.3">
      <c r="A1028" s="18"/>
      <c r="B1028" s="20"/>
      <c r="C1028" s="20"/>
      <c r="D1028" s="20"/>
      <c r="E1028" s="20"/>
      <c r="F1028" s="20"/>
      <c r="G1028" s="20"/>
      <c r="H1028" s="20"/>
      <c r="I1028" s="20"/>
      <c r="J1028" s="446"/>
      <c r="K1028" s="477"/>
      <c r="L1028" s="477"/>
      <c r="M1028" s="477"/>
      <c r="N1028" s="473"/>
      <c r="O1028" s="369"/>
      <c r="P1028" s="68"/>
      <c r="Q1028" s="69" t="s">
        <v>84</v>
      </c>
      <c r="R1028" s="15" t="s">
        <v>84</v>
      </c>
    </row>
    <row r="1029" spans="1:18" ht="10.5" customHeight="1" x14ac:dyDescent="0.3">
      <c r="A1029" s="18"/>
      <c r="B1029" s="20"/>
      <c r="C1029" s="20"/>
      <c r="D1029" s="20"/>
      <c r="E1029" s="20"/>
      <c r="F1029" s="20"/>
      <c r="G1029" s="20"/>
      <c r="H1029" s="20"/>
      <c r="I1029" s="20"/>
      <c r="J1029" s="252" t="s">
        <v>1241</v>
      </c>
      <c r="K1029" s="22">
        <v>4</v>
      </c>
      <c r="L1029" s="23" t="s">
        <v>86</v>
      </c>
      <c r="M1029" s="24">
        <v>18</v>
      </c>
      <c r="N1029" s="94">
        <v>500</v>
      </c>
      <c r="O1029" s="94"/>
      <c r="P1029" s="26">
        <v>1.6845829268292682</v>
      </c>
      <c r="Q1029" s="72">
        <f t="shared" ref="Q1029:Q1044" si="147">P1029*$F$10</f>
        <v>72.437065853658538</v>
      </c>
      <c r="R1029" s="28">
        <f t="shared" ref="R1029:R1044" si="148">Q1029-Q1029*0.2</f>
        <v>57.949652682926832</v>
      </c>
    </row>
    <row r="1030" spans="1:18" ht="10.5" customHeight="1" x14ac:dyDescent="0.3">
      <c r="A1030" s="18"/>
      <c r="B1030" s="20"/>
      <c r="C1030" s="20"/>
      <c r="D1030" s="20"/>
      <c r="E1030" s="20"/>
      <c r="F1030" s="20"/>
      <c r="G1030" s="20"/>
      <c r="H1030" s="20"/>
      <c r="I1030" s="20"/>
      <c r="J1030" s="252" t="s">
        <v>1242</v>
      </c>
      <c r="K1030" s="22">
        <v>4</v>
      </c>
      <c r="L1030" s="23" t="s">
        <v>86</v>
      </c>
      <c r="M1030" s="24">
        <v>20</v>
      </c>
      <c r="N1030" s="94">
        <v>500</v>
      </c>
      <c r="O1030" s="94"/>
      <c r="P1030" s="26">
        <v>1.7569560975609757</v>
      </c>
      <c r="Q1030" s="72">
        <f t="shared" si="147"/>
        <v>75.54911219512195</v>
      </c>
      <c r="R1030" s="28">
        <f t="shared" si="148"/>
        <v>60.439289756097558</v>
      </c>
    </row>
    <row r="1031" spans="1:18" ht="10.5" customHeight="1" x14ac:dyDescent="0.3">
      <c r="A1031" s="118" t="s">
        <v>1243</v>
      </c>
      <c r="B1031" s="20"/>
      <c r="C1031" s="20"/>
      <c r="D1031" s="20"/>
      <c r="E1031" s="20"/>
      <c r="F1031" s="20"/>
      <c r="G1031" s="20"/>
      <c r="H1031" s="20"/>
      <c r="I1031" s="20"/>
      <c r="J1031" s="252" t="s">
        <v>1244</v>
      </c>
      <c r="K1031" s="22">
        <v>4.8</v>
      </c>
      <c r="L1031" s="23" t="s">
        <v>86</v>
      </c>
      <c r="M1031" s="24">
        <v>8</v>
      </c>
      <c r="N1031" s="94">
        <v>500</v>
      </c>
      <c r="O1031" s="94"/>
      <c r="P1031" s="26">
        <v>1.7569560975609757</v>
      </c>
      <c r="Q1031" s="72">
        <f t="shared" si="147"/>
        <v>75.54911219512195</v>
      </c>
      <c r="R1031" s="28">
        <f t="shared" si="148"/>
        <v>60.439289756097558</v>
      </c>
    </row>
    <row r="1032" spans="1:18" ht="10.5" customHeight="1" thickBot="1" x14ac:dyDescent="0.35">
      <c r="A1032" s="446" t="s">
        <v>78</v>
      </c>
      <c r="B1032" s="477" t="s">
        <v>79</v>
      </c>
      <c r="C1032" s="477"/>
      <c r="D1032" s="477"/>
      <c r="E1032" s="473" t="s">
        <v>80</v>
      </c>
      <c r="F1032" s="61"/>
      <c r="G1032" s="16" t="s">
        <v>81</v>
      </c>
      <c r="H1032" s="17" t="s">
        <v>82</v>
      </c>
      <c r="I1032" s="20"/>
      <c r="J1032" s="252" t="s">
        <v>1245</v>
      </c>
      <c r="K1032" s="22">
        <v>4.8</v>
      </c>
      <c r="L1032" s="23" t="s">
        <v>86</v>
      </c>
      <c r="M1032" s="24">
        <v>10</v>
      </c>
      <c r="N1032" s="94">
        <v>500</v>
      </c>
      <c r="O1032" s="94"/>
      <c r="P1032" s="26">
        <v>1.8899847114838964</v>
      </c>
      <c r="Q1032" s="72">
        <f t="shared" si="147"/>
        <v>81.269342593807536</v>
      </c>
      <c r="R1032" s="28">
        <f t="shared" si="148"/>
        <v>65.015474075046029</v>
      </c>
    </row>
    <row r="1033" spans="1:18" ht="10.5" customHeight="1" thickTop="1" x14ac:dyDescent="0.3">
      <c r="A1033" s="446"/>
      <c r="B1033" s="477"/>
      <c r="C1033" s="477"/>
      <c r="D1033" s="477"/>
      <c r="E1033" s="473"/>
      <c r="F1033" s="68"/>
      <c r="G1033" s="69" t="s">
        <v>84</v>
      </c>
      <c r="H1033" s="15" t="s">
        <v>84</v>
      </c>
      <c r="I1033" s="20"/>
      <c r="J1033" s="252" t="s">
        <v>1246</v>
      </c>
      <c r="K1033" s="22">
        <v>4.8</v>
      </c>
      <c r="L1033" s="23" t="s">
        <v>86</v>
      </c>
      <c r="M1033" s="24">
        <v>12</v>
      </c>
      <c r="N1033" s="94">
        <v>500</v>
      </c>
      <c r="O1033" s="94"/>
      <c r="P1033" s="26">
        <v>1.988990689701186</v>
      </c>
      <c r="Q1033" s="72">
        <f t="shared" si="147"/>
        <v>85.526599657150996</v>
      </c>
      <c r="R1033" s="28">
        <f t="shared" si="148"/>
        <v>68.421279725720794</v>
      </c>
    </row>
    <row r="1034" spans="1:18" ht="10.5" customHeight="1" x14ac:dyDescent="0.3">
      <c r="A1034" s="214" t="s">
        <v>1247</v>
      </c>
      <c r="B1034" s="254">
        <v>3</v>
      </c>
      <c r="C1034" s="75" t="s">
        <v>86</v>
      </c>
      <c r="D1034" s="255">
        <v>12</v>
      </c>
      <c r="E1034" s="87">
        <v>1000</v>
      </c>
      <c r="F1034" s="256">
        <v>0.90030487804878034</v>
      </c>
      <c r="G1034" s="72">
        <f t="shared" ref="G1034:G1045" si="149">F1034*$F$10</f>
        <v>38.713109756097552</v>
      </c>
      <c r="H1034" s="28">
        <f t="shared" ref="H1034:H1045" si="150">G1034-G1034*0.2</f>
        <v>30.97048780487804</v>
      </c>
      <c r="I1034" s="20"/>
      <c r="J1034" s="257" t="s">
        <v>1248</v>
      </c>
      <c r="K1034" s="22">
        <v>4.8</v>
      </c>
      <c r="L1034" s="23" t="s">
        <v>86</v>
      </c>
      <c r="M1034" s="24">
        <v>14</v>
      </c>
      <c r="N1034" s="94">
        <v>500</v>
      </c>
      <c r="O1034" s="94"/>
      <c r="P1034" s="26">
        <v>2.1188219512195121</v>
      </c>
      <c r="Q1034" s="72">
        <f t="shared" si="147"/>
        <v>91.109343902439022</v>
      </c>
      <c r="R1034" s="28">
        <f t="shared" si="148"/>
        <v>72.887475121951212</v>
      </c>
    </row>
    <row r="1035" spans="1:18" ht="10.5" customHeight="1" x14ac:dyDescent="0.3">
      <c r="A1035" s="139" t="s">
        <v>1249</v>
      </c>
      <c r="B1035" s="74">
        <v>3.2</v>
      </c>
      <c r="C1035" s="75" t="s">
        <v>86</v>
      </c>
      <c r="D1035" s="76">
        <v>6</v>
      </c>
      <c r="E1035" s="87">
        <v>1000</v>
      </c>
      <c r="F1035" s="78">
        <v>0.81299169284252926</v>
      </c>
      <c r="G1035" s="72">
        <f t="shared" si="149"/>
        <v>34.958642792228758</v>
      </c>
      <c r="H1035" s="72">
        <f t="shared" si="150"/>
        <v>27.966914233783008</v>
      </c>
      <c r="I1035" s="20"/>
      <c r="J1035" s="257" t="s">
        <v>1250</v>
      </c>
      <c r="K1035" s="22">
        <v>4.8</v>
      </c>
      <c r="L1035" s="23" t="s">
        <v>86</v>
      </c>
      <c r="M1035" s="24">
        <v>16</v>
      </c>
      <c r="N1035" s="94">
        <v>500</v>
      </c>
      <c r="O1035" s="94"/>
      <c r="P1035" s="26">
        <v>2.1979903161292693</v>
      </c>
      <c r="Q1035" s="72">
        <f t="shared" si="147"/>
        <v>94.513583593558579</v>
      </c>
      <c r="R1035" s="28">
        <f t="shared" si="148"/>
        <v>75.610866874846863</v>
      </c>
    </row>
    <row r="1036" spans="1:18" ht="10.5" customHeight="1" x14ac:dyDescent="0.3">
      <c r="A1036" s="252" t="s">
        <v>1251</v>
      </c>
      <c r="B1036" s="22">
        <v>3.2</v>
      </c>
      <c r="C1036" s="23" t="s">
        <v>86</v>
      </c>
      <c r="D1036" s="24">
        <v>8</v>
      </c>
      <c r="E1036" s="94">
        <v>1000</v>
      </c>
      <c r="F1036" s="26">
        <v>0.86797370847449673</v>
      </c>
      <c r="G1036" s="72">
        <f t="shared" si="149"/>
        <v>37.322869464403361</v>
      </c>
      <c r="H1036" s="28">
        <f t="shared" si="150"/>
        <v>29.858295571522689</v>
      </c>
      <c r="I1036" s="20"/>
      <c r="J1036" s="257" t="s">
        <v>1252</v>
      </c>
      <c r="K1036" s="22">
        <v>4.8</v>
      </c>
      <c r="L1036" s="23" t="s">
        <v>86</v>
      </c>
      <c r="M1036" s="24">
        <v>18</v>
      </c>
      <c r="N1036" s="94">
        <v>500</v>
      </c>
      <c r="O1036" s="94"/>
      <c r="P1036" s="26">
        <v>2.4069910761917166</v>
      </c>
      <c r="Q1036" s="72">
        <f t="shared" si="147"/>
        <v>103.50061627624382</v>
      </c>
      <c r="R1036" s="28">
        <f t="shared" si="148"/>
        <v>82.800493020995049</v>
      </c>
    </row>
    <row r="1037" spans="1:18" ht="10.5" customHeight="1" x14ac:dyDescent="0.3">
      <c r="A1037" s="252" t="s">
        <v>1253</v>
      </c>
      <c r="B1037" s="22">
        <v>3.2</v>
      </c>
      <c r="C1037" s="23" t="s">
        <v>86</v>
      </c>
      <c r="D1037" s="24">
        <v>10</v>
      </c>
      <c r="E1037" s="94">
        <v>1000</v>
      </c>
      <c r="F1037" s="26">
        <v>0.90099405663882504</v>
      </c>
      <c r="G1037" s="72">
        <f t="shared" si="149"/>
        <v>38.742744435469476</v>
      </c>
      <c r="H1037" s="28">
        <f t="shared" si="150"/>
        <v>30.994195548375579</v>
      </c>
      <c r="I1037" s="20"/>
      <c r="J1037" s="257" t="s">
        <v>1254</v>
      </c>
      <c r="K1037" s="22">
        <v>4.8</v>
      </c>
      <c r="L1037" s="23" t="s">
        <v>86</v>
      </c>
      <c r="M1037" s="24">
        <v>20</v>
      </c>
      <c r="N1037" s="94">
        <v>500</v>
      </c>
      <c r="O1037" s="94"/>
      <c r="P1037" s="26">
        <v>2.6159569932503248</v>
      </c>
      <c r="Q1037" s="72">
        <f t="shared" si="147"/>
        <v>112.48615070976396</v>
      </c>
      <c r="R1037" s="28">
        <f t="shared" si="148"/>
        <v>89.988920567811164</v>
      </c>
    </row>
    <row r="1038" spans="1:18" ht="10.5" customHeight="1" x14ac:dyDescent="0.3">
      <c r="A1038" s="252" t="s">
        <v>1255</v>
      </c>
      <c r="B1038" s="22">
        <v>3.2</v>
      </c>
      <c r="C1038" s="23" t="s">
        <v>86</v>
      </c>
      <c r="D1038" s="24">
        <v>12</v>
      </c>
      <c r="E1038" s="94">
        <v>1000</v>
      </c>
      <c r="F1038" s="78">
        <v>0.96699333232058782</v>
      </c>
      <c r="G1038" s="72">
        <f t="shared" si="149"/>
        <v>41.58071328978528</v>
      </c>
      <c r="H1038" s="28">
        <f t="shared" si="150"/>
        <v>33.264570631828221</v>
      </c>
      <c r="I1038" s="20"/>
      <c r="J1038" s="257" t="s">
        <v>1256</v>
      </c>
      <c r="K1038" s="22">
        <v>4.8</v>
      </c>
      <c r="L1038" s="23" t="s">
        <v>86</v>
      </c>
      <c r="M1038" s="24">
        <v>24</v>
      </c>
      <c r="N1038" s="94">
        <v>500</v>
      </c>
      <c r="O1038" s="94"/>
      <c r="P1038" s="26">
        <v>2.8425536585365849</v>
      </c>
      <c r="Q1038" s="72">
        <f t="shared" si="147"/>
        <v>122.22980731707315</v>
      </c>
      <c r="R1038" s="28">
        <f t="shared" si="148"/>
        <v>97.783845853658519</v>
      </c>
    </row>
    <row r="1039" spans="1:18" ht="10.5" customHeight="1" x14ac:dyDescent="0.3">
      <c r="A1039" s="252" t="s">
        <v>1257</v>
      </c>
      <c r="B1039" s="22">
        <v>3.2</v>
      </c>
      <c r="C1039" s="23" t="s">
        <v>86</v>
      </c>
      <c r="D1039" s="24">
        <v>16</v>
      </c>
      <c r="E1039" s="94">
        <v>1000</v>
      </c>
      <c r="F1039" s="78">
        <v>1.0955975609756097</v>
      </c>
      <c r="G1039" s="72">
        <f t="shared" si="149"/>
        <v>47.110695121951217</v>
      </c>
      <c r="H1039" s="28">
        <f t="shared" si="150"/>
        <v>37.688556097560976</v>
      </c>
      <c r="I1039" s="20"/>
      <c r="J1039" s="257" t="s">
        <v>1258</v>
      </c>
      <c r="K1039" s="22">
        <v>5</v>
      </c>
      <c r="L1039" s="23" t="s">
        <v>86</v>
      </c>
      <c r="M1039" s="24">
        <v>16</v>
      </c>
      <c r="N1039" s="94">
        <v>500</v>
      </c>
      <c r="O1039" s="94"/>
      <c r="P1039" s="26">
        <v>2.3359414634146343</v>
      </c>
      <c r="Q1039" s="72">
        <f t="shared" si="147"/>
        <v>100.44548292682927</v>
      </c>
      <c r="R1039" s="28">
        <f t="shared" si="148"/>
        <v>80.35638634146342</v>
      </c>
    </row>
    <row r="1040" spans="1:18" ht="10.5" customHeight="1" x14ac:dyDescent="0.3">
      <c r="A1040" s="252" t="s">
        <v>1259</v>
      </c>
      <c r="B1040" s="22">
        <v>4</v>
      </c>
      <c r="C1040" s="23" t="s">
        <v>86</v>
      </c>
      <c r="D1040" s="24">
        <v>6</v>
      </c>
      <c r="E1040" s="94">
        <v>1000</v>
      </c>
      <c r="F1040" s="26">
        <v>1.0769972389459102</v>
      </c>
      <c r="G1040" s="72">
        <f t="shared" si="149"/>
        <v>46.310881274674138</v>
      </c>
      <c r="H1040" s="28">
        <f t="shared" si="150"/>
        <v>37.048705019739309</v>
      </c>
      <c r="I1040" s="20"/>
      <c r="J1040" s="257" t="s">
        <v>1260</v>
      </c>
      <c r="K1040" s="22">
        <v>5</v>
      </c>
      <c r="L1040" s="23" t="s">
        <v>86</v>
      </c>
      <c r="M1040" s="24">
        <v>30</v>
      </c>
      <c r="N1040" s="94">
        <v>500</v>
      </c>
      <c r="O1040" s="94"/>
      <c r="P1040" s="26">
        <v>3.9410749999999997</v>
      </c>
      <c r="Q1040" s="72">
        <f t="shared" si="147"/>
        <v>169.46622499999998</v>
      </c>
      <c r="R1040" s="28">
        <f t="shared" si="148"/>
        <v>135.57297999999997</v>
      </c>
    </row>
    <row r="1041" spans="1:18" ht="10.5" customHeight="1" x14ac:dyDescent="0.3">
      <c r="A1041" s="252" t="s">
        <v>1261</v>
      </c>
      <c r="B1041" s="22">
        <v>4</v>
      </c>
      <c r="C1041" s="23" t="s">
        <v>86</v>
      </c>
      <c r="D1041" s="24">
        <v>8</v>
      </c>
      <c r="E1041" s="94">
        <v>1000</v>
      </c>
      <c r="F1041" s="26">
        <v>1.2089905615877743</v>
      </c>
      <c r="G1041" s="72">
        <f t="shared" si="149"/>
        <v>51.986594148274293</v>
      </c>
      <c r="H1041" s="28">
        <f t="shared" si="150"/>
        <v>41.589275318619435</v>
      </c>
      <c r="I1041" s="20"/>
      <c r="J1041" s="257" t="s">
        <v>1262</v>
      </c>
      <c r="K1041" s="22">
        <v>6</v>
      </c>
      <c r="L1041" s="23" t="s">
        <v>86</v>
      </c>
      <c r="M1041" s="24">
        <v>16</v>
      </c>
      <c r="N1041" s="94">
        <v>500</v>
      </c>
      <c r="O1041" s="94"/>
      <c r="P1041" s="26">
        <v>4.3759963551227967</v>
      </c>
      <c r="Q1041" s="72">
        <f t="shared" si="147"/>
        <v>188.16784327028026</v>
      </c>
      <c r="R1041" s="28">
        <f t="shared" si="148"/>
        <v>150.5342746162242</v>
      </c>
    </row>
    <row r="1042" spans="1:18" ht="10.5" customHeight="1" x14ac:dyDescent="0.3">
      <c r="A1042" s="252" t="s">
        <v>1263</v>
      </c>
      <c r="B1042" s="22">
        <v>4</v>
      </c>
      <c r="C1042" s="23" t="s">
        <v>86</v>
      </c>
      <c r="D1042" s="24">
        <v>10</v>
      </c>
      <c r="E1042" s="94">
        <v>1000</v>
      </c>
      <c r="F1042" s="26">
        <v>1.3519811931621213</v>
      </c>
      <c r="G1042" s="72">
        <f t="shared" si="149"/>
        <v>58.135191305971219</v>
      </c>
      <c r="H1042" s="28">
        <f t="shared" si="150"/>
        <v>46.508153044776975</v>
      </c>
      <c r="I1042" s="20"/>
      <c r="J1042" s="257" t="s">
        <v>1264</v>
      </c>
      <c r="K1042" s="22">
        <v>6</v>
      </c>
      <c r="L1042" s="23" t="s">
        <v>86</v>
      </c>
      <c r="M1042" s="24">
        <v>20</v>
      </c>
      <c r="N1042" s="94">
        <v>500</v>
      </c>
      <c r="O1042" s="94"/>
      <c r="P1042" s="26">
        <v>4.9413756097560961</v>
      </c>
      <c r="Q1042" s="72">
        <f t="shared" si="147"/>
        <v>212.47915121951215</v>
      </c>
      <c r="R1042" s="28">
        <f t="shared" si="148"/>
        <v>169.98332097560973</v>
      </c>
    </row>
    <row r="1043" spans="1:18" ht="10.5" customHeight="1" x14ac:dyDescent="0.3">
      <c r="A1043" s="252" t="s">
        <v>1265</v>
      </c>
      <c r="B1043" s="22">
        <v>4</v>
      </c>
      <c r="C1043" s="23" t="s">
        <v>86</v>
      </c>
      <c r="D1043" s="24">
        <v>12</v>
      </c>
      <c r="E1043" s="94">
        <v>1000</v>
      </c>
      <c r="F1043" s="26">
        <v>1.5014999999999998</v>
      </c>
      <c r="G1043" s="72">
        <f t="shared" si="149"/>
        <v>64.564499999999995</v>
      </c>
      <c r="H1043" s="28">
        <f t="shared" si="150"/>
        <v>51.651599999999995</v>
      </c>
      <c r="I1043" s="20"/>
      <c r="J1043" s="257" t="s">
        <v>1266</v>
      </c>
      <c r="K1043" s="22">
        <v>6</v>
      </c>
      <c r="L1043" s="23" t="s">
        <v>86</v>
      </c>
      <c r="M1043" s="24">
        <v>25</v>
      </c>
      <c r="N1043" s="94">
        <v>500</v>
      </c>
      <c r="O1043" s="94"/>
      <c r="P1043" s="26">
        <v>5.230868292682926</v>
      </c>
      <c r="Q1043" s="72">
        <f t="shared" si="147"/>
        <v>224.92733658536582</v>
      </c>
      <c r="R1043" s="28">
        <f t="shared" si="148"/>
        <v>179.94186926829266</v>
      </c>
    </row>
    <row r="1044" spans="1:18" ht="10.5" customHeight="1" x14ac:dyDescent="0.3">
      <c r="A1044" s="252" t="s">
        <v>1267</v>
      </c>
      <c r="B1044" s="22">
        <v>4</v>
      </c>
      <c r="C1044" s="23" t="s">
        <v>86</v>
      </c>
      <c r="D1044" s="24">
        <v>14</v>
      </c>
      <c r="E1044" s="94">
        <v>500</v>
      </c>
      <c r="F1044" s="26">
        <v>1.68106</v>
      </c>
      <c r="G1044" s="72">
        <f t="shared" si="149"/>
        <v>72.285579999999996</v>
      </c>
      <c r="H1044" s="28">
        <f t="shared" si="150"/>
        <v>57.828463999999997</v>
      </c>
      <c r="I1044" s="20"/>
      <c r="J1044" s="257" t="s">
        <v>1268</v>
      </c>
      <c r="K1044" s="22">
        <v>6</v>
      </c>
      <c r="L1044" s="23" t="s">
        <v>86</v>
      </c>
      <c r="M1044" s="24">
        <v>30</v>
      </c>
      <c r="N1044" s="94">
        <v>500</v>
      </c>
      <c r="O1044" s="94"/>
      <c r="P1044" s="26">
        <v>6.3627999999999991</v>
      </c>
      <c r="Q1044" s="72">
        <f t="shared" si="147"/>
        <v>273.60039999999998</v>
      </c>
      <c r="R1044" s="28">
        <f t="shared" si="148"/>
        <v>218.88031999999998</v>
      </c>
    </row>
    <row r="1045" spans="1:18" ht="10.5" customHeight="1" x14ac:dyDescent="0.3">
      <c r="A1045" s="252" t="s">
        <v>1269</v>
      </c>
      <c r="B1045" s="22">
        <v>4</v>
      </c>
      <c r="C1045" s="23" t="s">
        <v>86</v>
      </c>
      <c r="D1045" s="24">
        <v>16</v>
      </c>
      <c r="E1045" s="94">
        <v>500</v>
      </c>
      <c r="F1045" s="26">
        <v>1.6845829268292682</v>
      </c>
      <c r="G1045" s="72">
        <f t="shared" si="149"/>
        <v>72.437065853658538</v>
      </c>
      <c r="H1045" s="28">
        <f t="shared" si="150"/>
        <v>57.949652682926832</v>
      </c>
      <c r="I1045" s="83"/>
      <c r="J1045" s="83"/>
      <c r="K1045" s="83"/>
      <c r="L1045" s="83"/>
      <c r="M1045" s="83"/>
      <c r="N1045" s="83"/>
      <c r="O1045" s="83"/>
      <c r="P1045" s="83"/>
      <c r="Q1045" s="83"/>
      <c r="R1045" s="116"/>
    </row>
    <row r="1046" spans="1:18" ht="10.5" customHeight="1" x14ac:dyDescent="0.3">
      <c r="A1046" s="20"/>
      <c r="B1046" s="20"/>
      <c r="C1046" s="20"/>
      <c r="D1046" s="20"/>
      <c r="E1046" s="20"/>
      <c r="F1046" s="20"/>
      <c r="G1046" s="20"/>
      <c r="H1046" s="20"/>
      <c r="I1046" s="20"/>
      <c r="J1046" s="20"/>
      <c r="K1046" s="20"/>
      <c r="L1046" s="20"/>
      <c r="M1046" s="20"/>
      <c r="N1046" s="20"/>
      <c r="O1046" s="20"/>
      <c r="P1046" s="20"/>
      <c r="Q1046" s="20"/>
      <c r="R1046" s="20"/>
    </row>
    <row r="1047" spans="1:18" ht="10.5" customHeight="1" x14ac:dyDescent="0.3">
      <c r="A1047" s="47" t="s">
        <v>1270</v>
      </c>
      <c r="B1047" s="49"/>
      <c r="C1047" s="49"/>
      <c r="D1047" s="49"/>
      <c r="E1047" s="49"/>
      <c r="F1047" s="49"/>
      <c r="G1047" s="49"/>
      <c r="H1047" s="49"/>
      <c r="I1047" s="49"/>
      <c r="J1047" s="446" t="s">
        <v>78</v>
      </c>
      <c r="K1047" s="477" t="s">
        <v>79</v>
      </c>
      <c r="L1047" s="477"/>
      <c r="M1047" s="477"/>
      <c r="N1047" s="473" t="s">
        <v>80</v>
      </c>
      <c r="O1047" s="434"/>
      <c r="P1047" s="61"/>
      <c r="Q1047" s="16" t="s">
        <v>81</v>
      </c>
      <c r="R1047" s="17" t="s">
        <v>82</v>
      </c>
    </row>
    <row r="1048" spans="1:18" ht="10.5" customHeight="1" x14ac:dyDescent="0.3">
      <c r="A1048" s="99" t="s">
        <v>1271</v>
      </c>
      <c r="B1048" s="20"/>
      <c r="C1048" s="20"/>
      <c r="D1048" s="20"/>
      <c r="E1048" s="20"/>
      <c r="F1048" s="20"/>
      <c r="G1048" s="20"/>
      <c r="H1048" s="20"/>
      <c r="I1048" s="20"/>
      <c r="J1048" s="446"/>
      <c r="K1048" s="477"/>
      <c r="L1048" s="477"/>
      <c r="M1048" s="477"/>
      <c r="N1048" s="473"/>
      <c r="O1048" s="369"/>
      <c r="P1048" s="68"/>
      <c r="Q1048" s="69" t="s">
        <v>84</v>
      </c>
      <c r="R1048" s="15" t="s">
        <v>84</v>
      </c>
    </row>
    <row r="1049" spans="1:18" ht="10.5" customHeight="1" x14ac:dyDescent="0.3">
      <c r="A1049" s="18"/>
      <c r="B1049" s="20"/>
      <c r="C1049" s="20"/>
      <c r="D1049" s="20"/>
      <c r="E1049" s="20"/>
      <c r="F1049" s="20"/>
      <c r="G1049" s="20"/>
      <c r="H1049" s="20"/>
      <c r="I1049" s="20"/>
      <c r="J1049" s="73" t="s">
        <v>1272</v>
      </c>
      <c r="K1049" s="74">
        <v>4</v>
      </c>
      <c r="L1049" s="75" t="s">
        <v>86</v>
      </c>
      <c r="M1049" s="76">
        <v>10</v>
      </c>
      <c r="N1049" s="87" t="s">
        <v>170</v>
      </c>
      <c r="O1049" s="87"/>
      <c r="P1049" s="78">
        <v>1.57</v>
      </c>
      <c r="Q1049" s="72">
        <f>P1049*$F$10</f>
        <v>67.510000000000005</v>
      </c>
      <c r="R1049" s="72">
        <f>Q1049-Q1049*0.2</f>
        <v>54.008000000000003</v>
      </c>
    </row>
    <row r="1050" spans="1:18" ht="10.5" customHeight="1" x14ac:dyDescent="0.3">
      <c r="A1050" s="18"/>
      <c r="B1050" s="20"/>
      <c r="C1050" s="20"/>
      <c r="D1050" s="20"/>
      <c r="E1050" s="20"/>
      <c r="F1050" s="20"/>
      <c r="G1050" s="20"/>
      <c r="H1050" s="20"/>
      <c r="I1050" s="20"/>
      <c r="J1050" s="20"/>
      <c r="K1050" s="20"/>
      <c r="L1050" s="20"/>
      <c r="M1050" s="20"/>
      <c r="N1050" s="20"/>
      <c r="O1050" s="20"/>
      <c r="P1050" s="20"/>
      <c r="Q1050" s="20"/>
      <c r="R1050" s="101"/>
    </row>
    <row r="1051" spans="1:18" ht="10.5" customHeight="1" x14ac:dyDescent="0.3">
      <c r="A1051" s="258" t="s">
        <v>1273</v>
      </c>
      <c r="B1051" s="83"/>
      <c r="C1051" s="83"/>
      <c r="D1051" s="83"/>
      <c r="E1051" s="83"/>
      <c r="F1051" s="83"/>
      <c r="G1051" s="83"/>
      <c r="H1051" s="83"/>
      <c r="I1051" s="83"/>
      <c r="J1051" s="83"/>
      <c r="K1051" s="83"/>
      <c r="L1051" s="83"/>
      <c r="M1051" s="83"/>
      <c r="N1051" s="83"/>
      <c r="O1051" s="83"/>
      <c r="P1051" s="83"/>
      <c r="Q1051" s="83"/>
      <c r="R1051" s="116"/>
    </row>
    <row r="1052" spans="1:18" ht="10.5" customHeight="1" x14ac:dyDescent="0.3">
      <c r="A1052" s="20"/>
      <c r="B1052" s="20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  <c r="M1052" s="20"/>
      <c r="N1052" s="20"/>
      <c r="O1052" s="20"/>
      <c r="P1052" s="20"/>
      <c r="Q1052" s="20"/>
      <c r="R1052" s="20"/>
    </row>
    <row r="1053" spans="1:18" ht="15" customHeight="1" x14ac:dyDescent="0.3">
      <c r="A1053" s="448" t="s">
        <v>1274</v>
      </c>
      <c r="B1053" s="448"/>
      <c r="C1053" s="448"/>
      <c r="D1053" s="448"/>
      <c r="E1053" s="448"/>
      <c r="F1053" s="448"/>
      <c r="G1053" s="448"/>
      <c r="H1053" s="448"/>
      <c r="I1053" s="448"/>
      <c r="J1053" s="448"/>
      <c r="K1053" s="448"/>
      <c r="L1053" s="448"/>
      <c r="M1053" s="448"/>
      <c r="N1053" s="448"/>
      <c r="O1053" s="448"/>
      <c r="P1053" s="448"/>
      <c r="Q1053" s="448"/>
      <c r="R1053" s="448"/>
    </row>
    <row r="1054" spans="1:18" ht="10.5" customHeight="1" x14ac:dyDescent="0.3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20"/>
      <c r="O1054" s="20"/>
      <c r="P1054" s="20"/>
      <c r="Q1054" s="20"/>
      <c r="R1054" s="20"/>
    </row>
    <row r="1055" spans="1:18" ht="10.5" customHeight="1" x14ac:dyDescent="0.3">
      <c r="A1055" s="47" t="s">
        <v>1275</v>
      </c>
      <c r="B1055" s="48" t="s">
        <v>1276</v>
      </c>
      <c r="C1055" s="49"/>
      <c r="D1055" s="49"/>
      <c r="E1055" s="49"/>
      <c r="F1055" s="49"/>
      <c r="G1055" s="49"/>
      <c r="H1055" s="50"/>
      <c r="I1055" s="49"/>
      <c r="J1055" s="47" t="s">
        <v>1275</v>
      </c>
      <c r="K1055" s="228" t="s">
        <v>1277</v>
      </c>
      <c r="L1055" s="49"/>
      <c r="M1055" s="49"/>
      <c r="N1055" s="49"/>
      <c r="O1055" s="49"/>
      <c r="P1055" s="49"/>
      <c r="Q1055" s="49"/>
      <c r="R1055" s="50"/>
    </row>
    <row r="1056" spans="1:18" ht="10.5" customHeight="1" x14ac:dyDescent="0.3">
      <c r="A1056" s="18"/>
      <c r="B1056" s="20"/>
      <c r="C1056" s="20"/>
      <c r="D1056" s="20"/>
      <c r="E1056" s="20"/>
      <c r="F1056" s="20"/>
      <c r="G1056" s="20"/>
      <c r="H1056" s="101"/>
      <c r="I1056" s="20"/>
      <c r="J1056" s="18"/>
      <c r="K1056" s="20"/>
      <c r="L1056" s="20"/>
      <c r="M1056" s="20"/>
      <c r="N1056" s="20"/>
      <c r="O1056" s="20"/>
      <c r="P1056" s="20"/>
      <c r="Q1056" s="20"/>
      <c r="R1056" s="101"/>
    </row>
    <row r="1057" spans="1:18" ht="10.5" customHeight="1" x14ac:dyDescent="0.3">
      <c r="A1057" s="18"/>
      <c r="B1057" s="20"/>
      <c r="C1057" s="20"/>
      <c r="D1057" s="20"/>
      <c r="E1057" s="20"/>
      <c r="F1057" s="20"/>
      <c r="G1057" s="20"/>
      <c r="H1057" s="101"/>
      <c r="I1057" s="20"/>
      <c r="J1057" s="18"/>
      <c r="K1057" s="20"/>
      <c r="L1057" s="20"/>
      <c r="M1057" s="20"/>
      <c r="N1057" s="20"/>
      <c r="O1057" s="20"/>
      <c r="P1057" s="20"/>
      <c r="Q1057" s="20"/>
      <c r="R1057" s="101"/>
    </row>
    <row r="1058" spans="1:18" ht="10.5" customHeight="1" x14ac:dyDescent="0.3">
      <c r="A1058" s="18"/>
      <c r="B1058" s="20"/>
      <c r="C1058" s="20"/>
      <c r="D1058" s="20"/>
      <c r="E1058" s="20"/>
      <c r="F1058" s="20"/>
      <c r="G1058" s="20"/>
      <c r="H1058" s="101"/>
      <c r="I1058" s="20"/>
      <c r="J1058" s="18"/>
      <c r="K1058" s="20"/>
      <c r="L1058" s="20"/>
      <c r="M1058" s="20"/>
      <c r="N1058" s="20"/>
      <c r="O1058" s="20"/>
      <c r="P1058" s="20"/>
      <c r="Q1058" s="20"/>
      <c r="R1058" s="101"/>
    </row>
    <row r="1059" spans="1:18" ht="10.5" customHeight="1" x14ac:dyDescent="0.3">
      <c r="A1059" s="18"/>
      <c r="B1059" s="20"/>
      <c r="C1059" s="20"/>
      <c r="D1059" s="20"/>
      <c r="E1059" s="20"/>
      <c r="F1059" s="20">
        <v>40</v>
      </c>
      <c r="G1059" s="20"/>
      <c r="H1059" s="101"/>
      <c r="I1059" s="20"/>
      <c r="J1059" s="18"/>
      <c r="K1059" s="20"/>
      <c r="L1059" s="20"/>
      <c r="M1059" s="20"/>
      <c r="N1059" s="20"/>
      <c r="O1059" s="20"/>
      <c r="P1059" s="20"/>
      <c r="Q1059" s="20"/>
      <c r="R1059" s="101"/>
    </row>
    <row r="1060" spans="1:18" ht="10.5" customHeight="1" x14ac:dyDescent="0.3">
      <c r="A1060" s="446" t="s">
        <v>78</v>
      </c>
      <c r="B1060" s="477" t="s">
        <v>79</v>
      </c>
      <c r="C1060" s="477"/>
      <c r="D1060" s="477"/>
      <c r="E1060" s="473" t="s">
        <v>80</v>
      </c>
      <c r="F1060" s="61"/>
      <c r="G1060" s="16" t="s">
        <v>81</v>
      </c>
      <c r="H1060" s="17" t="s">
        <v>82</v>
      </c>
      <c r="I1060" s="20"/>
      <c r="J1060" s="446" t="s">
        <v>78</v>
      </c>
      <c r="K1060" s="477" t="s">
        <v>79</v>
      </c>
      <c r="L1060" s="477"/>
      <c r="M1060" s="477"/>
      <c r="N1060" s="473" t="s">
        <v>80</v>
      </c>
      <c r="O1060" s="434"/>
      <c r="P1060" s="61"/>
      <c r="Q1060" s="16" t="s">
        <v>81</v>
      </c>
      <c r="R1060" s="17" t="s">
        <v>82</v>
      </c>
    </row>
    <row r="1061" spans="1:18" ht="10.5" customHeight="1" x14ac:dyDescent="0.3">
      <c r="A1061" s="446"/>
      <c r="B1061" s="477"/>
      <c r="C1061" s="477"/>
      <c r="D1061" s="477"/>
      <c r="E1061" s="473"/>
      <c r="F1061" s="68"/>
      <c r="G1061" s="69" t="s">
        <v>84</v>
      </c>
      <c r="H1061" s="15" t="s">
        <v>84</v>
      </c>
      <c r="I1061" s="20"/>
      <c r="J1061" s="446"/>
      <c r="K1061" s="477"/>
      <c r="L1061" s="477"/>
      <c r="M1061" s="477"/>
      <c r="N1061" s="473"/>
      <c r="O1061" s="369"/>
      <c r="P1061" s="68"/>
      <c r="Q1061" s="69" t="s">
        <v>84</v>
      </c>
      <c r="R1061" s="15" t="s">
        <v>84</v>
      </c>
    </row>
    <row r="1062" spans="1:18" ht="10.5" customHeight="1" x14ac:dyDescent="0.3">
      <c r="A1062" s="79" t="s">
        <v>1278</v>
      </c>
      <c r="B1062" s="153">
        <v>8</v>
      </c>
      <c r="C1062" s="41" t="s">
        <v>86</v>
      </c>
      <c r="D1062" s="154">
        <v>100</v>
      </c>
      <c r="E1062" s="259" t="s">
        <v>11</v>
      </c>
      <c r="F1062" s="155">
        <v>0.71</v>
      </c>
      <c r="G1062" s="28">
        <f>F1062*$F$10</f>
        <v>30.529999999999998</v>
      </c>
      <c r="H1062" s="28">
        <f>G1062-G1062*0.2</f>
        <v>24.423999999999999</v>
      </c>
      <c r="I1062" s="20"/>
      <c r="J1062" s="121" t="s">
        <v>1279</v>
      </c>
      <c r="K1062" s="74">
        <v>6</v>
      </c>
      <c r="L1062" s="75" t="s">
        <v>86</v>
      </c>
      <c r="M1062" s="76">
        <v>80</v>
      </c>
      <c r="N1062" s="87" t="s">
        <v>11</v>
      </c>
      <c r="O1062" s="87"/>
      <c r="P1062" s="78">
        <v>0.38</v>
      </c>
      <c r="Q1062" s="72">
        <f>P1062*$F$10</f>
        <v>16.34</v>
      </c>
      <c r="R1062" s="72">
        <f>Q1062-Q1062*0.2</f>
        <v>13.071999999999999</v>
      </c>
    </row>
    <row r="1063" spans="1:18" ht="10.5" customHeight="1" x14ac:dyDescent="0.3">
      <c r="A1063" s="121" t="s">
        <v>1280</v>
      </c>
      <c r="B1063" s="22">
        <v>8</v>
      </c>
      <c r="C1063" s="23" t="s">
        <v>86</v>
      </c>
      <c r="D1063" s="24">
        <v>120</v>
      </c>
      <c r="E1063" s="211" t="s">
        <v>11</v>
      </c>
      <c r="F1063" s="26">
        <v>0.82</v>
      </c>
      <c r="G1063" s="28">
        <f>F1063*$F$10</f>
        <v>35.26</v>
      </c>
      <c r="H1063" s="28">
        <f>G1063-G1063*0.2</f>
        <v>28.207999999999998</v>
      </c>
      <c r="I1063" s="83"/>
      <c r="J1063" s="83"/>
      <c r="K1063" s="83"/>
      <c r="L1063" s="83"/>
      <c r="M1063" s="83"/>
      <c r="N1063" s="83"/>
      <c r="O1063" s="83"/>
      <c r="P1063" s="83"/>
      <c r="Q1063" s="83"/>
      <c r="R1063" s="116"/>
    </row>
    <row r="1064" spans="1:18" ht="10.5" customHeight="1" x14ac:dyDescent="0.3">
      <c r="A1064" s="20"/>
      <c r="B1064" s="20"/>
      <c r="C1064" s="20"/>
      <c r="D1064" s="20"/>
      <c r="E1064" s="20"/>
      <c r="F1064" s="20"/>
      <c r="G1064" s="20"/>
      <c r="H1064" s="20"/>
      <c r="I1064" s="20"/>
      <c r="J1064" s="20"/>
      <c r="K1064" s="20"/>
      <c r="L1064" s="20"/>
      <c r="M1064" s="20"/>
      <c r="N1064" s="20"/>
      <c r="O1064" s="20"/>
      <c r="P1064" s="20"/>
      <c r="Q1064" s="20"/>
      <c r="R1064" s="20"/>
    </row>
    <row r="1065" spans="1:18" ht="15" customHeight="1" x14ac:dyDescent="0.3">
      <c r="A1065" s="448" t="s">
        <v>1281</v>
      </c>
      <c r="B1065" s="448"/>
      <c r="C1065" s="448"/>
      <c r="D1065" s="448"/>
      <c r="E1065" s="448"/>
      <c r="F1065" s="448"/>
      <c r="G1065" s="448"/>
      <c r="H1065" s="448"/>
      <c r="I1065" s="448"/>
      <c r="J1065" s="448"/>
      <c r="K1065" s="448"/>
      <c r="L1065" s="448"/>
      <c r="M1065" s="448"/>
      <c r="N1065" s="448"/>
      <c r="O1065" s="448"/>
      <c r="P1065" s="448"/>
      <c r="Q1065" s="448"/>
      <c r="R1065" s="448"/>
    </row>
    <row r="1066" spans="1:18" ht="10.5" customHeight="1" x14ac:dyDescent="0.3">
      <c r="A1066" s="20"/>
      <c r="B1066" s="20"/>
      <c r="C1066" s="20"/>
      <c r="D1066" s="20"/>
      <c r="E1066" s="20"/>
      <c r="F1066" s="20"/>
      <c r="G1066" s="20"/>
      <c r="H1066" s="20"/>
      <c r="I1066" s="20"/>
      <c r="J1066" s="20"/>
      <c r="K1066" s="20"/>
      <c r="L1066" s="20"/>
      <c r="M1066" s="20"/>
      <c r="N1066" s="20"/>
      <c r="O1066" s="20"/>
      <c r="P1066" s="20"/>
      <c r="Q1066" s="20"/>
      <c r="R1066" s="20"/>
    </row>
    <row r="1067" spans="1:18" ht="10.5" customHeight="1" x14ac:dyDescent="0.3">
      <c r="A1067" s="166" t="s">
        <v>1282</v>
      </c>
      <c r="B1067" s="48" t="s">
        <v>1283</v>
      </c>
      <c r="C1067" s="49"/>
      <c r="D1067" s="49"/>
      <c r="E1067" s="49"/>
      <c r="F1067" s="49"/>
      <c r="G1067" s="49"/>
      <c r="H1067" s="49"/>
      <c r="I1067" s="49"/>
      <c r="J1067" s="446" t="s">
        <v>78</v>
      </c>
      <c r="K1067" s="477" t="s">
        <v>79</v>
      </c>
      <c r="L1067" s="477"/>
      <c r="M1067" s="477"/>
      <c r="N1067" s="473" t="s">
        <v>80</v>
      </c>
      <c r="O1067" s="434"/>
      <c r="P1067" s="61"/>
      <c r="Q1067" s="16" t="s">
        <v>81</v>
      </c>
      <c r="R1067" s="17" t="s">
        <v>82</v>
      </c>
    </row>
    <row r="1068" spans="1:18" ht="10.5" customHeight="1" x14ac:dyDescent="0.3">
      <c r="A1068" s="18"/>
      <c r="B1068" s="20"/>
      <c r="C1068" s="20"/>
      <c r="D1068" s="20"/>
      <c r="E1068" s="20"/>
      <c r="F1068" s="20"/>
      <c r="G1068" s="20"/>
      <c r="H1068" s="20"/>
      <c r="I1068" s="20"/>
      <c r="J1068" s="446"/>
      <c r="K1068" s="477"/>
      <c r="L1068" s="477"/>
      <c r="M1068" s="477"/>
      <c r="N1068" s="473"/>
      <c r="O1068" s="369"/>
      <c r="P1068" s="68"/>
      <c r="Q1068" s="69" t="s">
        <v>84</v>
      </c>
      <c r="R1068" s="15" t="s">
        <v>84</v>
      </c>
    </row>
    <row r="1069" spans="1:18" ht="10.5" customHeight="1" x14ac:dyDescent="0.3">
      <c r="A1069" s="18"/>
      <c r="B1069" s="20"/>
      <c r="C1069" s="20"/>
      <c r="D1069" s="20"/>
      <c r="E1069" s="20"/>
      <c r="F1069" s="20"/>
      <c r="G1069" s="20"/>
      <c r="H1069" s="20"/>
      <c r="I1069" s="20"/>
      <c r="J1069" s="260" t="s">
        <v>1284</v>
      </c>
      <c r="K1069" s="261" t="s">
        <v>775</v>
      </c>
      <c r="L1069" s="217" t="s">
        <v>86</v>
      </c>
      <c r="M1069" s="24">
        <v>35</v>
      </c>
      <c r="N1069" s="25">
        <v>100</v>
      </c>
      <c r="O1069" s="25"/>
      <c r="P1069" s="26">
        <v>13.602222233500001</v>
      </c>
      <c r="Q1069" s="111">
        <f t="shared" ref="Q1069:Q1113" si="151">P1069*$F$10</f>
        <v>584.89555604050008</v>
      </c>
      <c r="R1069" s="28">
        <f t="shared" ref="R1069:R1113" si="152">Q1069-Q1069*0.2</f>
        <v>467.91644483240009</v>
      </c>
    </row>
    <row r="1070" spans="1:18" ht="10.5" customHeight="1" x14ac:dyDescent="0.3">
      <c r="A1070" s="18"/>
      <c r="B1070" s="20"/>
      <c r="C1070" s="20"/>
      <c r="D1070" s="20"/>
      <c r="E1070" s="20"/>
      <c r="F1070" s="20"/>
      <c r="G1070" s="20"/>
      <c r="H1070" s="20"/>
      <c r="I1070" s="20"/>
      <c r="J1070" s="260" t="s">
        <v>1285</v>
      </c>
      <c r="K1070" s="261" t="s">
        <v>775</v>
      </c>
      <c r="L1070" s="217" t="s">
        <v>86</v>
      </c>
      <c r="M1070" s="24">
        <v>40</v>
      </c>
      <c r="N1070" s="25">
        <v>100</v>
      </c>
      <c r="O1070" s="25"/>
      <c r="P1070" s="26">
        <v>14.778373995999999</v>
      </c>
      <c r="Q1070" s="111">
        <f t="shared" si="151"/>
        <v>635.47008182799993</v>
      </c>
      <c r="R1070" s="28">
        <f t="shared" si="152"/>
        <v>508.37606546239994</v>
      </c>
    </row>
    <row r="1071" spans="1:18" ht="10.5" customHeight="1" x14ac:dyDescent="0.3">
      <c r="A1071" s="18"/>
      <c r="B1071" s="20"/>
      <c r="C1071" s="20"/>
      <c r="D1071" s="20"/>
      <c r="E1071" s="20"/>
      <c r="F1071" s="20"/>
      <c r="G1071" s="20"/>
      <c r="H1071" s="20"/>
      <c r="I1071" s="20"/>
      <c r="J1071" s="260" t="s">
        <v>1286</v>
      </c>
      <c r="K1071" s="261" t="s">
        <v>775</v>
      </c>
      <c r="L1071" s="217" t="s">
        <v>86</v>
      </c>
      <c r="M1071" s="24">
        <v>45</v>
      </c>
      <c r="N1071" s="25">
        <v>50</v>
      </c>
      <c r="O1071" s="25"/>
      <c r="P1071" s="26">
        <v>16.229699999999998</v>
      </c>
      <c r="Q1071" s="111">
        <f t="shared" si="151"/>
        <v>697.87709999999993</v>
      </c>
      <c r="R1071" s="28">
        <f t="shared" si="152"/>
        <v>558.30167999999992</v>
      </c>
    </row>
    <row r="1072" spans="1:18" ht="10.5" customHeight="1" x14ac:dyDescent="0.3">
      <c r="A1072" s="262" t="s">
        <v>1287</v>
      </c>
      <c r="B1072" s="20"/>
      <c r="C1072" s="20"/>
      <c r="D1072" s="20"/>
      <c r="E1072" s="20"/>
      <c r="F1072" s="20"/>
      <c r="G1072" s="20"/>
      <c r="H1072" s="20"/>
      <c r="I1072" s="20"/>
      <c r="J1072" s="260" t="s">
        <v>1288</v>
      </c>
      <c r="K1072" s="261" t="s">
        <v>775</v>
      </c>
      <c r="L1072" s="217" t="s">
        <v>86</v>
      </c>
      <c r="M1072" s="24">
        <v>50</v>
      </c>
      <c r="N1072" s="25">
        <v>50</v>
      </c>
      <c r="O1072" s="25"/>
      <c r="P1072" s="26">
        <v>17.230677521</v>
      </c>
      <c r="Q1072" s="111">
        <f t="shared" si="151"/>
        <v>740.91913340300005</v>
      </c>
      <c r="R1072" s="28">
        <f t="shared" si="152"/>
        <v>592.73530672240008</v>
      </c>
    </row>
    <row r="1073" spans="1:18" ht="10.5" customHeight="1" x14ac:dyDescent="0.3">
      <c r="A1073" s="446" t="s">
        <v>78</v>
      </c>
      <c r="B1073" s="477" t="s">
        <v>79</v>
      </c>
      <c r="C1073" s="477"/>
      <c r="D1073" s="477"/>
      <c r="E1073" s="473" t="s">
        <v>80</v>
      </c>
      <c r="F1073" s="61"/>
      <c r="G1073" s="16" t="s">
        <v>81</v>
      </c>
      <c r="H1073" s="17" t="s">
        <v>82</v>
      </c>
      <c r="I1073" s="20"/>
      <c r="J1073" s="260" t="s">
        <v>1289</v>
      </c>
      <c r="K1073" s="261" t="s">
        <v>775</v>
      </c>
      <c r="L1073" s="217" t="s">
        <v>86</v>
      </c>
      <c r="M1073" s="24">
        <v>60</v>
      </c>
      <c r="N1073" s="25">
        <v>50</v>
      </c>
      <c r="O1073" s="25"/>
      <c r="P1073" s="26">
        <v>20.688499999999998</v>
      </c>
      <c r="Q1073" s="111">
        <f t="shared" si="151"/>
        <v>889.60549999999989</v>
      </c>
      <c r="R1073" s="28">
        <f t="shared" si="152"/>
        <v>711.68439999999987</v>
      </c>
    </row>
    <row r="1074" spans="1:18" ht="10.5" customHeight="1" x14ac:dyDescent="0.3">
      <c r="A1074" s="446"/>
      <c r="B1074" s="477"/>
      <c r="C1074" s="477"/>
      <c r="D1074" s="477"/>
      <c r="E1074" s="473"/>
      <c r="F1074" s="68"/>
      <c r="G1074" s="69" t="s">
        <v>84</v>
      </c>
      <c r="H1074" s="15" t="s">
        <v>84</v>
      </c>
      <c r="I1074" s="20"/>
      <c r="J1074" s="260" t="s">
        <v>1290</v>
      </c>
      <c r="K1074" s="261" t="s">
        <v>775</v>
      </c>
      <c r="L1074" s="217" t="s">
        <v>86</v>
      </c>
      <c r="M1074" s="24">
        <v>70</v>
      </c>
      <c r="N1074" s="25">
        <v>50</v>
      </c>
      <c r="O1074" s="25"/>
      <c r="P1074" s="26">
        <v>22.807999999999996</v>
      </c>
      <c r="Q1074" s="111">
        <f t="shared" si="151"/>
        <v>980.7439999999998</v>
      </c>
      <c r="R1074" s="28">
        <f t="shared" si="152"/>
        <v>784.59519999999986</v>
      </c>
    </row>
    <row r="1075" spans="1:18" ht="10.5" customHeight="1" x14ac:dyDescent="0.3">
      <c r="A1075" s="263" t="s">
        <v>1291</v>
      </c>
      <c r="B1075" s="264" t="s">
        <v>766</v>
      </c>
      <c r="C1075" s="265" t="s">
        <v>86</v>
      </c>
      <c r="D1075" s="76">
        <v>10</v>
      </c>
      <c r="E1075" s="77">
        <v>800</v>
      </c>
      <c r="F1075" s="78">
        <v>1.7473499999999997</v>
      </c>
      <c r="G1075" s="113">
        <f t="shared" ref="G1075:G1114" si="153">F1075*$F$10</f>
        <v>75.136049999999983</v>
      </c>
      <c r="H1075" s="28">
        <f t="shared" ref="H1075:H1114" si="154">G1075-G1075*0.2</f>
        <v>60.108839999999987</v>
      </c>
      <c r="I1075" s="20"/>
      <c r="J1075" s="260" t="s">
        <v>1292</v>
      </c>
      <c r="K1075" s="261" t="s">
        <v>775</v>
      </c>
      <c r="L1075" s="217" t="s">
        <v>86</v>
      </c>
      <c r="M1075" s="24">
        <v>80</v>
      </c>
      <c r="N1075" s="25">
        <v>50</v>
      </c>
      <c r="O1075" s="25"/>
      <c r="P1075" s="26">
        <v>24.334634166499999</v>
      </c>
      <c r="Q1075" s="111">
        <f t="shared" si="151"/>
        <v>1046.3892691594999</v>
      </c>
      <c r="R1075" s="28">
        <f t="shared" si="152"/>
        <v>837.11141532759996</v>
      </c>
    </row>
    <row r="1076" spans="1:18" ht="10.5" customHeight="1" x14ac:dyDescent="0.3">
      <c r="A1076" s="260" t="s">
        <v>1293</v>
      </c>
      <c r="B1076" s="264" t="s">
        <v>766</v>
      </c>
      <c r="C1076" s="217" t="s">
        <v>86</v>
      </c>
      <c r="D1076" s="24">
        <v>12</v>
      </c>
      <c r="E1076" s="25">
        <v>500</v>
      </c>
      <c r="F1076" s="26">
        <v>1.9140479999999997</v>
      </c>
      <c r="G1076" s="111">
        <f t="shared" si="153"/>
        <v>82.304063999999983</v>
      </c>
      <c r="H1076" s="28">
        <f t="shared" si="154"/>
        <v>65.843251199999983</v>
      </c>
      <c r="I1076" s="20"/>
      <c r="J1076" s="260" t="s">
        <v>1294</v>
      </c>
      <c r="K1076" s="261" t="s">
        <v>775</v>
      </c>
      <c r="L1076" s="217" t="s">
        <v>86</v>
      </c>
      <c r="M1076" s="24">
        <v>90</v>
      </c>
      <c r="N1076" s="25">
        <v>50</v>
      </c>
      <c r="O1076" s="25"/>
      <c r="P1076" s="26">
        <v>26.686937691499999</v>
      </c>
      <c r="Q1076" s="111">
        <f t="shared" si="151"/>
        <v>1147.5383207344998</v>
      </c>
      <c r="R1076" s="28">
        <f t="shared" si="152"/>
        <v>918.03065658759988</v>
      </c>
    </row>
    <row r="1077" spans="1:18" ht="10.5" customHeight="1" x14ac:dyDescent="0.3">
      <c r="A1077" s="260" t="s">
        <v>1295</v>
      </c>
      <c r="B1077" s="261" t="s">
        <v>766</v>
      </c>
      <c r="C1077" s="217" t="s">
        <v>86</v>
      </c>
      <c r="D1077" s="24">
        <v>16</v>
      </c>
      <c r="E1077" s="25">
        <v>500</v>
      </c>
      <c r="F1077" s="26">
        <v>2.2426489999999997</v>
      </c>
      <c r="G1077" s="111">
        <f t="shared" si="153"/>
        <v>96.433906999999991</v>
      </c>
      <c r="H1077" s="28">
        <f t="shared" si="154"/>
        <v>77.147125599999995</v>
      </c>
      <c r="I1077" s="20"/>
      <c r="J1077" s="260" t="s">
        <v>1296</v>
      </c>
      <c r="K1077" s="261" t="s">
        <v>775</v>
      </c>
      <c r="L1077" s="217" t="s">
        <v>86</v>
      </c>
      <c r="M1077" s="24">
        <v>100</v>
      </c>
      <c r="N1077" s="25">
        <v>25</v>
      </c>
      <c r="O1077" s="25"/>
      <c r="P1077" s="26">
        <v>29.633399999999998</v>
      </c>
      <c r="Q1077" s="111">
        <f t="shared" si="151"/>
        <v>1274.2361999999998</v>
      </c>
      <c r="R1077" s="28">
        <f t="shared" si="152"/>
        <v>1019.3889599999999</v>
      </c>
    </row>
    <row r="1078" spans="1:18" ht="10.5" customHeight="1" x14ac:dyDescent="0.3">
      <c r="A1078" s="266" t="s">
        <v>1297</v>
      </c>
      <c r="B1078" s="264" t="s">
        <v>766</v>
      </c>
      <c r="C1078" s="265" t="s">
        <v>86</v>
      </c>
      <c r="D1078" s="76">
        <v>20</v>
      </c>
      <c r="E1078" s="77">
        <v>500</v>
      </c>
      <c r="F1078" s="78">
        <v>2.5732909999999993</v>
      </c>
      <c r="G1078" s="111">
        <f t="shared" si="153"/>
        <v>110.65151299999997</v>
      </c>
      <c r="H1078" s="28">
        <f t="shared" si="154"/>
        <v>88.521210399999973</v>
      </c>
      <c r="I1078" s="20"/>
      <c r="J1078" s="260" t="s">
        <v>1298</v>
      </c>
      <c r="K1078" s="261" t="s">
        <v>775</v>
      </c>
      <c r="L1078" s="217" t="s">
        <v>86</v>
      </c>
      <c r="M1078" s="24">
        <v>120</v>
      </c>
      <c r="N1078" s="25">
        <v>20</v>
      </c>
      <c r="O1078" s="25"/>
      <c r="P1078" s="26">
        <v>37.866</v>
      </c>
      <c r="Q1078" s="111">
        <f t="shared" si="151"/>
        <v>1628.2380000000001</v>
      </c>
      <c r="R1078" s="28">
        <f t="shared" si="152"/>
        <v>1302.5904</v>
      </c>
    </row>
    <row r="1079" spans="1:18" ht="10.5" customHeight="1" x14ac:dyDescent="0.3">
      <c r="A1079" s="260" t="s">
        <v>1299</v>
      </c>
      <c r="B1079" s="264" t="s">
        <v>766</v>
      </c>
      <c r="C1079" s="217" t="s">
        <v>86</v>
      </c>
      <c r="D1079" s="24">
        <v>25</v>
      </c>
      <c r="E1079" s="25">
        <v>500</v>
      </c>
      <c r="F1079" s="26">
        <v>2.9794499999999999</v>
      </c>
      <c r="G1079" s="111">
        <f t="shared" si="153"/>
        <v>128.11635000000001</v>
      </c>
      <c r="H1079" s="28">
        <f t="shared" si="154"/>
        <v>102.49308000000001</v>
      </c>
      <c r="I1079" s="20"/>
      <c r="J1079" s="260" t="s">
        <v>1300</v>
      </c>
      <c r="K1079" s="261" t="s">
        <v>775</v>
      </c>
      <c r="L1079" s="217" t="s">
        <v>86</v>
      </c>
      <c r="M1079" s="24">
        <v>140</v>
      </c>
      <c r="N1079" s="25">
        <v>20</v>
      </c>
      <c r="O1079" s="25"/>
      <c r="P1079" s="26">
        <v>46.029999999999994</v>
      </c>
      <c r="Q1079" s="111">
        <f t="shared" si="151"/>
        <v>1979.2899999999997</v>
      </c>
      <c r="R1079" s="28">
        <f t="shared" si="152"/>
        <v>1583.4319999999998</v>
      </c>
    </row>
    <row r="1080" spans="1:18" ht="10.5" customHeight="1" x14ac:dyDescent="0.3">
      <c r="A1080" s="260" t="s">
        <v>1301</v>
      </c>
      <c r="B1080" s="264" t="s">
        <v>766</v>
      </c>
      <c r="C1080" s="217" t="s">
        <v>86</v>
      </c>
      <c r="D1080" s="24">
        <v>30</v>
      </c>
      <c r="E1080" s="25">
        <v>250</v>
      </c>
      <c r="F1080" s="26">
        <v>3.3464199999999993</v>
      </c>
      <c r="G1080" s="111">
        <f t="shared" si="153"/>
        <v>143.89605999999998</v>
      </c>
      <c r="H1080" s="28">
        <f t="shared" si="154"/>
        <v>115.11684799999998</v>
      </c>
      <c r="I1080" s="20"/>
      <c r="J1080" s="62" t="s">
        <v>1302</v>
      </c>
      <c r="K1080" s="261" t="s">
        <v>775</v>
      </c>
      <c r="L1080" s="64" t="s">
        <v>86</v>
      </c>
      <c r="M1080" s="65">
        <v>150</v>
      </c>
      <c r="N1080" s="66">
        <v>20</v>
      </c>
      <c r="O1080" s="66"/>
      <c r="P1080" s="67">
        <v>52.953699999999991</v>
      </c>
      <c r="Q1080" s="111">
        <f t="shared" si="151"/>
        <v>2277.0090999999998</v>
      </c>
      <c r="R1080" s="28">
        <f t="shared" si="152"/>
        <v>1821.6072799999997</v>
      </c>
    </row>
    <row r="1081" spans="1:18" ht="10.5" customHeight="1" x14ac:dyDescent="0.3">
      <c r="A1081" s="260" t="s">
        <v>1303</v>
      </c>
      <c r="B1081" s="264" t="s">
        <v>766</v>
      </c>
      <c r="C1081" s="217" t="s">
        <v>86</v>
      </c>
      <c r="D1081" s="24">
        <v>35</v>
      </c>
      <c r="E1081" s="25">
        <v>250</v>
      </c>
      <c r="F1081" s="26">
        <v>3.8158500000000002</v>
      </c>
      <c r="G1081" s="111">
        <f t="shared" si="153"/>
        <v>164.08155000000002</v>
      </c>
      <c r="H1081" s="28">
        <f t="shared" si="154"/>
        <v>131.26524000000001</v>
      </c>
      <c r="I1081" s="20"/>
      <c r="J1081" s="62" t="s">
        <v>1304</v>
      </c>
      <c r="K1081" s="261" t="s">
        <v>778</v>
      </c>
      <c r="L1081" s="64" t="s">
        <v>86</v>
      </c>
      <c r="M1081" s="65">
        <v>30</v>
      </c>
      <c r="N1081" s="66">
        <v>25</v>
      </c>
      <c r="O1081" s="66"/>
      <c r="P1081" s="67">
        <v>18.351354864300003</v>
      </c>
      <c r="Q1081" s="111">
        <f t="shared" si="151"/>
        <v>789.10825916490012</v>
      </c>
      <c r="R1081" s="28">
        <f t="shared" si="152"/>
        <v>631.2866073319201</v>
      </c>
    </row>
    <row r="1082" spans="1:18" ht="10.5" customHeight="1" x14ac:dyDescent="0.3">
      <c r="A1082" s="260" t="s">
        <v>1305</v>
      </c>
      <c r="B1082" s="264" t="s">
        <v>766</v>
      </c>
      <c r="C1082" s="217" t="s">
        <v>86</v>
      </c>
      <c r="D1082" s="24">
        <v>40</v>
      </c>
      <c r="E1082" s="25">
        <v>250</v>
      </c>
      <c r="F1082" s="26">
        <v>4.2281319999999996</v>
      </c>
      <c r="G1082" s="111">
        <f t="shared" si="153"/>
        <v>181.80967599999997</v>
      </c>
      <c r="H1082" s="28">
        <f t="shared" si="154"/>
        <v>145.44774079999996</v>
      </c>
      <c r="I1082" s="20"/>
      <c r="J1082" s="62" t="s">
        <v>1306</v>
      </c>
      <c r="K1082" s="261" t="s">
        <v>778</v>
      </c>
      <c r="L1082" s="64" t="s">
        <v>86</v>
      </c>
      <c r="M1082" s="65">
        <v>40</v>
      </c>
      <c r="N1082" s="66">
        <v>25</v>
      </c>
      <c r="O1082" s="66"/>
      <c r="P1082" s="67">
        <v>22.222999999999995</v>
      </c>
      <c r="Q1082" s="111">
        <f t="shared" si="151"/>
        <v>955.58899999999983</v>
      </c>
      <c r="R1082" s="28">
        <f t="shared" si="152"/>
        <v>764.47119999999984</v>
      </c>
    </row>
    <row r="1083" spans="1:18" ht="10.5" customHeight="1" x14ac:dyDescent="0.3">
      <c r="A1083" s="260" t="s">
        <v>1307</v>
      </c>
      <c r="B1083" s="264" t="s">
        <v>766</v>
      </c>
      <c r="C1083" s="217" t="s">
        <v>86</v>
      </c>
      <c r="D1083" s="24">
        <v>50</v>
      </c>
      <c r="E1083" s="25">
        <v>250</v>
      </c>
      <c r="F1083" s="26">
        <v>5.0445319999999993</v>
      </c>
      <c r="G1083" s="111">
        <f t="shared" si="153"/>
        <v>216.91487599999996</v>
      </c>
      <c r="H1083" s="28">
        <f t="shared" si="154"/>
        <v>173.53190079999996</v>
      </c>
      <c r="I1083" s="20"/>
      <c r="J1083" s="62" t="s">
        <v>1308</v>
      </c>
      <c r="K1083" s="261" t="s">
        <v>778</v>
      </c>
      <c r="L1083" s="64" t="s">
        <v>86</v>
      </c>
      <c r="M1083" s="65">
        <v>50</v>
      </c>
      <c r="N1083" s="66">
        <v>50</v>
      </c>
      <c r="O1083" s="66"/>
      <c r="P1083" s="67">
        <v>24.960489468000002</v>
      </c>
      <c r="Q1083" s="111">
        <f t="shared" si="151"/>
        <v>1073.3010471240002</v>
      </c>
      <c r="R1083" s="28">
        <f t="shared" si="152"/>
        <v>858.64083769920012</v>
      </c>
    </row>
    <row r="1084" spans="1:18" ht="10.5" customHeight="1" x14ac:dyDescent="0.3">
      <c r="A1084" s="260" t="s">
        <v>1309</v>
      </c>
      <c r="B1084" s="261" t="s">
        <v>769</v>
      </c>
      <c r="C1084" s="217" t="s">
        <v>86</v>
      </c>
      <c r="D1084" s="24">
        <v>10</v>
      </c>
      <c r="E1084" s="25">
        <v>500</v>
      </c>
      <c r="F1084" s="26">
        <v>2.3528629999999993</v>
      </c>
      <c r="G1084" s="111">
        <f t="shared" si="153"/>
        <v>101.17310899999997</v>
      </c>
      <c r="H1084" s="28">
        <f t="shared" si="154"/>
        <v>80.938487199999969</v>
      </c>
      <c r="I1084" s="20"/>
      <c r="J1084" s="62" t="s">
        <v>1310</v>
      </c>
      <c r="K1084" s="261" t="s">
        <v>778</v>
      </c>
      <c r="L1084" s="64" t="s">
        <v>86</v>
      </c>
      <c r="M1084" s="65">
        <v>60</v>
      </c>
      <c r="N1084" s="66">
        <v>50</v>
      </c>
      <c r="O1084" s="66"/>
      <c r="P1084" s="67">
        <v>27.912701673800004</v>
      </c>
      <c r="Q1084" s="111">
        <f t="shared" si="151"/>
        <v>1200.2461719734001</v>
      </c>
      <c r="R1084" s="28">
        <f t="shared" si="152"/>
        <v>960.19693757872005</v>
      </c>
    </row>
    <row r="1085" spans="1:18" ht="10.5" customHeight="1" x14ac:dyDescent="0.3">
      <c r="A1085" s="260" t="s">
        <v>1311</v>
      </c>
      <c r="B1085" s="264" t="s">
        <v>769</v>
      </c>
      <c r="C1085" s="217" t="s">
        <v>86</v>
      </c>
      <c r="D1085" s="24">
        <v>12</v>
      </c>
      <c r="E1085" s="25">
        <v>500</v>
      </c>
      <c r="F1085" s="26">
        <v>2.5476999999999999</v>
      </c>
      <c r="G1085" s="111">
        <f t="shared" si="153"/>
        <v>109.55109999999999</v>
      </c>
      <c r="H1085" s="28">
        <f t="shared" si="154"/>
        <v>87.640879999999996</v>
      </c>
      <c r="I1085" s="20"/>
      <c r="J1085" s="62" t="s">
        <v>1312</v>
      </c>
      <c r="K1085" s="261" t="s">
        <v>778</v>
      </c>
      <c r="L1085" s="64" t="s">
        <v>86</v>
      </c>
      <c r="M1085" s="65">
        <v>70</v>
      </c>
      <c r="N1085" s="66">
        <v>25</v>
      </c>
      <c r="O1085" s="66"/>
      <c r="P1085" s="67">
        <v>32.017240397600006</v>
      </c>
      <c r="Q1085" s="111">
        <f t="shared" si="151"/>
        <v>1376.7413370968002</v>
      </c>
      <c r="R1085" s="28">
        <f t="shared" si="152"/>
        <v>1101.3930696774401</v>
      </c>
    </row>
    <row r="1086" spans="1:18" ht="10.5" customHeight="1" x14ac:dyDescent="0.3">
      <c r="A1086" s="260" t="s">
        <v>1313</v>
      </c>
      <c r="B1086" s="261" t="s">
        <v>769</v>
      </c>
      <c r="C1086" s="217" t="s">
        <v>86</v>
      </c>
      <c r="D1086" s="24">
        <v>16</v>
      </c>
      <c r="E1086" s="25">
        <v>500</v>
      </c>
      <c r="F1086" s="26">
        <v>2.8459999999999996</v>
      </c>
      <c r="G1086" s="111">
        <f t="shared" si="153"/>
        <v>122.37799999999999</v>
      </c>
      <c r="H1086" s="28">
        <f t="shared" si="154"/>
        <v>97.902399999999986</v>
      </c>
      <c r="I1086" s="20"/>
      <c r="J1086" s="62" t="s">
        <v>1314</v>
      </c>
      <c r="K1086" s="261" t="s">
        <v>778</v>
      </c>
      <c r="L1086" s="64" t="s">
        <v>86</v>
      </c>
      <c r="M1086" s="65">
        <v>80</v>
      </c>
      <c r="N1086" s="66">
        <v>25</v>
      </c>
      <c r="O1086" s="66"/>
      <c r="P1086" s="67">
        <v>38.079999999999991</v>
      </c>
      <c r="Q1086" s="111">
        <f t="shared" si="151"/>
        <v>1637.4399999999996</v>
      </c>
      <c r="R1086" s="28">
        <f t="shared" si="152"/>
        <v>1309.9519999999998</v>
      </c>
    </row>
    <row r="1087" spans="1:18" ht="10.5" customHeight="1" x14ac:dyDescent="0.3">
      <c r="A1087" s="260" t="s">
        <v>1315</v>
      </c>
      <c r="B1087" s="261" t="s">
        <v>769</v>
      </c>
      <c r="C1087" s="217" t="s">
        <v>86</v>
      </c>
      <c r="D1087" s="24">
        <v>20</v>
      </c>
      <c r="E1087" s="25">
        <v>500</v>
      </c>
      <c r="F1087" s="26">
        <v>3.0628828144</v>
      </c>
      <c r="G1087" s="111">
        <f t="shared" si="153"/>
        <v>131.70396101919999</v>
      </c>
      <c r="H1087" s="28">
        <f t="shared" si="154"/>
        <v>105.36316881536</v>
      </c>
      <c r="I1087" s="20"/>
      <c r="J1087" s="62" t="s">
        <v>1316</v>
      </c>
      <c r="K1087" s="261" t="s">
        <v>778</v>
      </c>
      <c r="L1087" s="64" t="s">
        <v>86</v>
      </c>
      <c r="M1087" s="65">
        <v>90</v>
      </c>
      <c r="N1087" s="66">
        <v>25</v>
      </c>
      <c r="O1087" s="66"/>
      <c r="P1087" s="67">
        <v>38.873991327199988</v>
      </c>
      <c r="Q1087" s="111">
        <f t="shared" si="151"/>
        <v>1671.5816270695996</v>
      </c>
      <c r="R1087" s="28">
        <f t="shared" si="152"/>
        <v>1337.2653016556797</v>
      </c>
    </row>
    <row r="1088" spans="1:18" ht="10.5" customHeight="1" x14ac:dyDescent="0.3">
      <c r="A1088" s="260" t="s">
        <v>1317</v>
      </c>
      <c r="B1088" s="261" t="s">
        <v>769</v>
      </c>
      <c r="C1088" s="217" t="s">
        <v>86</v>
      </c>
      <c r="D1088" s="24">
        <v>25</v>
      </c>
      <c r="E1088" s="25">
        <v>250</v>
      </c>
      <c r="F1088" s="26">
        <v>3.4719395610499997</v>
      </c>
      <c r="G1088" s="111">
        <f t="shared" si="153"/>
        <v>149.29340112514998</v>
      </c>
      <c r="H1088" s="28">
        <f t="shared" si="154"/>
        <v>119.43472090011998</v>
      </c>
      <c r="I1088" s="20"/>
      <c r="J1088" s="62" t="s">
        <v>1318</v>
      </c>
      <c r="K1088" s="261" t="s">
        <v>778</v>
      </c>
      <c r="L1088" s="64" t="s">
        <v>86</v>
      </c>
      <c r="M1088" s="65">
        <v>100</v>
      </c>
      <c r="N1088" s="66">
        <v>25</v>
      </c>
      <c r="O1088" s="66"/>
      <c r="P1088" s="67">
        <v>42.302366792000008</v>
      </c>
      <c r="Q1088" s="111">
        <f t="shared" si="151"/>
        <v>1819.0017720560004</v>
      </c>
      <c r="R1088" s="28">
        <f t="shared" si="152"/>
        <v>1455.2014176448004</v>
      </c>
    </row>
    <row r="1089" spans="1:18" ht="10.5" customHeight="1" x14ac:dyDescent="0.3">
      <c r="A1089" s="260" t="s">
        <v>1319</v>
      </c>
      <c r="B1089" s="261" t="s">
        <v>769</v>
      </c>
      <c r="C1089" s="217" t="s">
        <v>86</v>
      </c>
      <c r="D1089" s="24">
        <v>30</v>
      </c>
      <c r="E1089" s="25">
        <v>250</v>
      </c>
      <c r="F1089" s="26">
        <v>3.9157693388700006</v>
      </c>
      <c r="G1089" s="111">
        <f t="shared" si="153"/>
        <v>168.37808157141004</v>
      </c>
      <c r="H1089" s="28">
        <f t="shared" si="154"/>
        <v>134.70246525712804</v>
      </c>
      <c r="I1089" s="20"/>
      <c r="J1089" s="62" t="s">
        <v>1320</v>
      </c>
      <c r="K1089" s="261" t="s">
        <v>778</v>
      </c>
      <c r="L1089" s="64" t="s">
        <v>86</v>
      </c>
      <c r="M1089" s="65">
        <v>120</v>
      </c>
      <c r="N1089" s="66">
        <v>20</v>
      </c>
      <c r="O1089" s="66"/>
      <c r="P1089" s="67">
        <v>58.872599999999991</v>
      </c>
      <c r="Q1089" s="111">
        <f t="shared" si="151"/>
        <v>2531.5217999999995</v>
      </c>
      <c r="R1089" s="28">
        <f t="shared" si="152"/>
        <v>2025.2174399999997</v>
      </c>
    </row>
    <row r="1090" spans="1:18" ht="10.5" customHeight="1" x14ac:dyDescent="0.3">
      <c r="A1090" s="267" t="s">
        <v>1321</v>
      </c>
      <c r="B1090" s="268" t="s">
        <v>769</v>
      </c>
      <c r="C1090" s="269" t="s">
        <v>86</v>
      </c>
      <c r="D1090" s="34">
        <v>35</v>
      </c>
      <c r="E1090" s="35">
        <v>250</v>
      </c>
      <c r="F1090" s="36">
        <v>4.3595991166899992</v>
      </c>
      <c r="G1090" s="111">
        <f t="shared" si="153"/>
        <v>187.46276201766997</v>
      </c>
      <c r="H1090" s="28">
        <f t="shared" si="154"/>
        <v>149.97020961413597</v>
      </c>
      <c r="I1090" s="20"/>
      <c r="J1090" s="62" t="s">
        <v>1322</v>
      </c>
      <c r="K1090" s="261" t="s">
        <v>778</v>
      </c>
      <c r="L1090" s="64" t="s">
        <v>86</v>
      </c>
      <c r="M1090" s="65">
        <v>140</v>
      </c>
      <c r="N1090" s="66">
        <v>20</v>
      </c>
      <c r="O1090" s="66"/>
      <c r="P1090" s="67">
        <v>66.873319999999993</v>
      </c>
      <c r="Q1090" s="111">
        <f t="shared" si="151"/>
        <v>2875.5527599999996</v>
      </c>
      <c r="R1090" s="28">
        <f t="shared" si="152"/>
        <v>2300.4422079999995</v>
      </c>
    </row>
    <row r="1091" spans="1:18" ht="10.5" customHeight="1" x14ac:dyDescent="0.3">
      <c r="A1091" s="260" t="s">
        <v>1323</v>
      </c>
      <c r="B1091" s="261" t="s">
        <v>769</v>
      </c>
      <c r="C1091" s="217" t="s">
        <v>86</v>
      </c>
      <c r="D1091" s="24">
        <v>40</v>
      </c>
      <c r="E1091" s="25">
        <v>250</v>
      </c>
      <c r="F1091" s="26">
        <v>4.8034288945100005</v>
      </c>
      <c r="G1091" s="111">
        <f t="shared" si="153"/>
        <v>206.54744246393003</v>
      </c>
      <c r="H1091" s="28">
        <f t="shared" si="154"/>
        <v>165.23795397114401</v>
      </c>
      <c r="I1091" s="20"/>
      <c r="J1091" s="62" t="s">
        <v>1324</v>
      </c>
      <c r="K1091" s="270" t="s">
        <v>778</v>
      </c>
      <c r="L1091" s="64" t="s">
        <v>86</v>
      </c>
      <c r="M1091" s="65">
        <v>160</v>
      </c>
      <c r="N1091" s="66">
        <v>20</v>
      </c>
      <c r="O1091" s="66"/>
      <c r="P1091" s="67">
        <v>74.996499999999997</v>
      </c>
      <c r="Q1091" s="111">
        <f t="shared" si="151"/>
        <v>3224.8494999999998</v>
      </c>
      <c r="R1091" s="28">
        <f t="shared" si="152"/>
        <v>2579.8795999999998</v>
      </c>
    </row>
    <row r="1092" spans="1:18" ht="10.5" customHeight="1" x14ac:dyDescent="0.3">
      <c r="A1092" s="260" t="s">
        <v>1325</v>
      </c>
      <c r="B1092" s="261" t="s">
        <v>769</v>
      </c>
      <c r="C1092" s="217" t="s">
        <v>86</v>
      </c>
      <c r="D1092" s="24">
        <v>50</v>
      </c>
      <c r="E1092" s="25">
        <v>250</v>
      </c>
      <c r="F1092" s="26">
        <v>5.7168925070000007</v>
      </c>
      <c r="G1092" s="111">
        <f t="shared" si="153"/>
        <v>245.82637780100004</v>
      </c>
      <c r="H1092" s="28">
        <f t="shared" si="154"/>
        <v>196.66110224080003</v>
      </c>
      <c r="I1092" s="20"/>
      <c r="J1092" s="62" t="s">
        <v>1326</v>
      </c>
      <c r="K1092" s="270" t="s">
        <v>1327</v>
      </c>
      <c r="L1092" s="64" t="s">
        <v>86</v>
      </c>
      <c r="M1092" s="65">
        <v>40</v>
      </c>
      <c r="N1092" s="66">
        <v>25</v>
      </c>
      <c r="O1092" s="66"/>
      <c r="P1092" s="67">
        <v>32.96179999999999</v>
      </c>
      <c r="Q1092" s="111">
        <f t="shared" si="151"/>
        <v>1417.3573999999996</v>
      </c>
      <c r="R1092" s="28">
        <f t="shared" si="152"/>
        <v>1133.8859199999997</v>
      </c>
    </row>
    <row r="1093" spans="1:18" ht="10.5" customHeight="1" x14ac:dyDescent="0.3">
      <c r="A1093" s="260" t="s">
        <v>1328</v>
      </c>
      <c r="B1093" s="261" t="s">
        <v>769</v>
      </c>
      <c r="C1093" s="217" t="s">
        <v>86</v>
      </c>
      <c r="D1093" s="24">
        <v>60</v>
      </c>
      <c r="E1093" s="25">
        <v>100</v>
      </c>
      <c r="F1093" s="26">
        <v>7.4475999999999987</v>
      </c>
      <c r="G1093" s="111">
        <f t="shared" si="153"/>
        <v>320.24679999999995</v>
      </c>
      <c r="H1093" s="28">
        <f t="shared" si="154"/>
        <v>256.19743999999997</v>
      </c>
      <c r="I1093" s="20"/>
      <c r="J1093" s="62" t="s">
        <v>1329</v>
      </c>
      <c r="K1093" s="270" t="s">
        <v>1327</v>
      </c>
      <c r="L1093" s="64" t="s">
        <v>86</v>
      </c>
      <c r="M1093" s="65">
        <v>50</v>
      </c>
      <c r="N1093" s="66">
        <v>25</v>
      </c>
      <c r="O1093" s="66"/>
      <c r="P1093" s="67">
        <v>39.194699999999997</v>
      </c>
      <c r="Q1093" s="111">
        <f t="shared" si="151"/>
        <v>1685.3720999999998</v>
      </c>
      <c r="R1093" s="28">
        <f t="shared" si="152"/>
        <v>1348.2976799999999</v>
      </c>
    </row>
    <row r="1094" spans="1:18" ht="10.5" customHeight="1" x14ac:dyDescent="0.3">
      <c r="A1094" s="260" t="s">
        <v>1330</v>
      </c>
      <c r="B1094" s="261" t="s">
        <v>769</v>
      </c>
      <c r="C1094" s="217" t="s">
        <v>86</v>
      </c>
      <c r="D1094" s="24">
        <v>70</v>
      </c>
      <c r="E1094" s="25">
        <v>100</v>
      </c>
      <c r="F1094" s="26">
        <v>8.2639999999999993</v>
      </c>
      <c r="G1094" s="111">
        <f t="shared" si="153"/>
        <v>355.35199999999998</v>
      </c>
      <c r="H1094" s="28">
        <f t="shared" si="154"/>
        <v>284.28159999999997</v>
      </c>
      <c r="I1094" s="20"/>
      <c r="J1094" s="62" t="s">
        <v>1331</v>
      </c>
      <c r="K1094" s="270" t="s">
        <v>1327</v>
      </c>
      <c r="L1094" s="64" t="s">
        <v>86</v>
      </c>
      <c r="M1094" s="65">
        <v>60</v>
      </c>
      <c r="N1094" s="66">
        <v>25</v>
      </c>
      <c r="O1094" s="66"/>
      <c r="P1094" s="67">
        <v>42.20713414019999</v>
      </c>
      <c r="Q1094" s="111">
        <f t="shared" si="151"/>
        <v>1814.9067680285996</v>
      </c>
      <c r="R1094" s="28">
        <f t="shared" si="152"/>
        <v>1451.9254144228796</v>
      </c>
    </row>
    <row r="1095" spans="1:18" ht="10.5" customHeight="1" x14ac:dyDescent="0.3">
      <c r="A1095" s="260" t="s">
        <v>1332</v>
      </c>
      <c r="B1095" s="261" t="s">
        <v>769</v>
      </c>
      <c r="C1095" s="217" t="s">
        <v>86</v>
      </c>
      <c r="D1095" s="24">
        <v>80</v>
      </c>
      <c r="E1095" s="25">
        <v>100</v>
      </c>
      <c r="F1095" s="26">
        <v>9.2059999999999977</v>
      </c>
      <c r="G1095" s="111">
        <f t="shared" si="153"/>
        <v>395.85799999999989</v>
      </c>
      <c r="H1095" s="28">
        <f t="shared" si="154"/>
        <v>316.68639999999994</v>
      </c>
      <c r="I1095" s="20"/>
      <c r="J1095" s="62" t="s">
        <v>1333</v>
      </c>
      <c r="K1095" s="270" t="s">
        <v>1327</v>
      </c>
      <c r="L1095" s="64" t="s">
        <v>86</v>
      </c>
      <c r="M1095" s="65">
        <v>70</v>
      </c>
      <c r="N1095" s="66">
        <v>25</v>
      </c>
      <c r="O1095" s="66"/>
      <c r="P1095" s="67">
        <v>47.233099999999993</v>
      </c>
      <c r="Q1095" s="111">
        <f t="shared" si="151"/>
        <v>2031.0232999999996</v>
      </c>
      <c r="R1095" s="28">
        <f t="shared" si="152"/>
        <v>1624.8186399999997</v>
      </c>
    </row>
    <row r="1096" spans="1:18" ht="10.5" customHeight="1" x14ac:dyDescent="0.3">
      <c r="A1096" s="260" t="s">
        <v>1334</v>
      </c>
      <c r="B1096" s="261" t="s">
        <v>769</v>
      </c>
      <c r="C1096" s="217" t="s">
        <v>86</v>
      </c>
      <c r="D1096" s="24">
        <v>90</v>
      </c>
      <c r="E1096" s="25">
        <v>100</v>
      </c>
      <c r="F1096" s="26">
        <v>9.7083999999999993</v>
      </c>
      <c r="G1096" s="111">
        <f t="shared" si="153"/>
        <v>417.46119999999996</v>
      </c>
      <c r="H1096" s="28">
        <f t="shared" si="154"/>
        <v>333.96895999999998</v>
      </c>
      <c r="I1096" s="20"/>
      <c r="J1096" s="62" t="s">
        <v>1335</v>
      </c>
      <c r="K1096" s="270" t="s">
        <v>1327</v>
      </c>
      <c r="L1096" s="64" t="s">
        <v>86</v>
      </c>
      <c r="M1096" s="65">
        <v>80</v>
      </c>
      <c r="N1096" s="66">
        <v>25</v>
      </c>
      <c r="O1096" s="66"/>
      <c r="P1096" s="67">
        <v>51.349468713000007</v>
      </c>
      <c r="Q1096" s="111">
        <f t="shared" si="151"/>
        <v>2208.0271546590002</v>
      </c>
      <c r="R1096" s="28">
        <f t="shared" si="152"/>
        <v>1766.4217237272001</v>
      </c>
    </row>
    <row r="1097" spans="1:18" ht="10.5" customHeight="1" x14ac:dyDescent="0.3">
      <c r="A1097" s="260" t="s">
        <v>1336</v>
      </c>
      <c r="B1097" s="261" t="s">
        <v>769</v>
      </c>
      <c r="C1097" s="217" t="s">
        <v>86</v>
      </c>
      <c r="D1097" s="24">
        <v>100</v>
      </c>
      <c r="E1097" s="25">
        <v>100</v>
      </c>
      <c r="F1097" s="26">
        <v>13.439392857142856</v>
      </c>
      <c r="G1097" s="111">
        <f t="shared" si="153"/>
        <v>577.89389285714276</v>
      </c>
      <c r="H1097" s="28">
        <f t="shared" si="154"/>
        <v>462.31511428571423</v>
      </c>
      <c r="I1097" s="20"/>
      <c r="J1097" s="62" t="s">
        <v>1337</v>
      </c>
      <c r="K1097" s="270" t="s">
        <v>1327</v>
      </c>
      <c r="L1097" s="64" t="s">
        <v>86</v>
      </c>
      <c r="M1097" s="65">
        <v>100</v>
      </c>
      <c r="N1097" s="66">
        <v>25</v>
      </c>
      <c r="O1097" s="66"/>
      <c r="P1097" s="67">
        <v>60.059999999999995</v>
      </c>
      <c r="Q1097" s="111">
        <f t="shared" si="151"/>
        <v>2582.58</v>
      </c>
      <c r="R1097" s="28">
        <f t="shared" si="152"/>
        <v>2066.0639999999999</v>
      </c>
    </row>
    <row r="1098" spans="1:18" ht="10.5" customHeight="1" x14ac:dyDescent="0.3">
      <c r="A1098" s="260" t="s">
        <v>1338</v>
      </c>
      <c r="B1098" s="261" t="s">
        <v>772</v>
      </c>
      <c r="C1098" s="217" t="s">
        <v>86</v>
      </c>
      <c r="D1098" s="24">
        <v>16</v>
      </c>
      <c r="E1098" s="25">
        <v>250</v>
      </c>
      <c r="F1098" s="26">
        <v>5.7704999999999993</v>
      </c>
      <c r="G1098" s="111">
        <f t="shared" si="153"/>
        <v>248.13149999999996</v>
      </c>
      <c r="H1098" s="28">
        <f t="shared" si="154"/>
        <v>198.50519999999997</v>
      </c>
      <c r="I1098" s="20"/>
      <c r="J1098" s="62" t="s">
        <v>1339</v>
      </c>
      <c r="K1098" s="270" t="s">
        <v>1095</v>
      </c>
      <c r="L1098" s="64" t="s">
        <v>86</v>
      </c>
      <c r="M1098" s="65">
        <v>40</v>
      </c>
      <c r="N1098" s="66">
        <v>20</v>
      </c>
      <c r="O1098" s="66"/>
      <c r="P1098" s="67">
        <v>41.319999999999993</v>
      </c>
      <c r="Q1098" s="111">
        <f t="shared" si="151"/>
        <v>1776.7599999999998</v>
      </c>
      <c r="R1098" s="28">
        <f t="shared" si="152"/>
        <v>1421.4079999999999</v>
      </c>
    </row>
    <row r="1099" spans="1:18" ht="10.5" customHeight="1" x14ac:dyDescent="0.3">
      <c r="A1099" s="260" t="s">
        <v>1340</v>
      </c>
      <c r="B1099" s="261" t="s">
        <v>772</v>
      </c>
      <c r="C1099" s="217" t="s">
        <v>86</v>
      </c>
      <c r="D1099" s="24">
        <v>20</v>
      </c>
      <c r="E1099" s="25">
        <v>200</v>
      </c>
      <c r="F1099" s="26">
        <v>6.3927999999999994</v>
      </c>
      <c r="G1099" s="111">
        <f t="shared" si="153"/>
        <v>274.8904</v>
      </c>
      <c r="H1099" s="28">
        <f t="shared" si="154"/>
        <v>219.91231999999999</v>
      </c>
      <c r="I1099" s="20"/>
      <c r="J1099" s="62" t="s">
        <v>1341</v>
      </c>
      <c r="K1099" s="270" t="s">
        <v>1095</v>
      </c>
      <c r="L1099" s="64" t="s">
        <v>86</v>
      </c>
      <c r="M1099" s="65">
        <v>50</v>
      </c>
      <c r="N1099" s="66">
        <v>20</v>
      </c>
      <c r="O1099" s="66"/>
      <c r="P1099" s="67">
        <v>48.840299999999992</v>
      </c>
      <c r="Q1099" s="111">
        <f t="shared" si="151"/>
        <v>2100.1328999999996</v>
      </c>
      <c r="R1099" s="28">
        <f t="shared" si="152"/>
        <v>1680.1063199999996</v>
      </c>
    </row>
    <row r="1100" spans="1:18" ht="10.5" customHeight="1" x14ac:dyDescent="0.3">
      <c r="A1100" s="260" t="s">
        <v>1342</v>
      </c>
      <c r="B1100" s="261" t="s">
        <v>772</v>
      </c>
      <c r="C1100" s="217" t="s">
        <v>86</v>
      </c>
      <c r="D1100" s="24">
        <v>25</v>
      </c>
      <c r="E1100" s="25">
        <v>200</v>
      </c>
      <c r="F1100" s="26">
        <v>7.2719999999999985</v>
      </c>
      <c r="G1100" s="111">
        <f t="shared" si="153"/>
        <v>312.69599999999991</v>
      </c>
      <c r="H1100" s="28">
        <f t="shared" si="154"/>
        <v>250.15679999999992</v>
      </c>
      <c r="I1100" s="20"/>
      <c r="J1100" s="62" t="s">
        <v>1343</v>
      </c>
      <c r="K1100" s="270" t="s">
        <v>1095</v>
      </c>
      <c r="L1100" s="64" t="s">
        <v>86</v>
      </c>
      <c r="M1100" s="65">
        <v>60</v>
      </c>
      <c r="N1100" s="66">
        <v>20</v>
      </c>
      <c r="O1100" s="66"/>
      <c r="P1100" s="67">
        <v>59.217999999999989</v>
      </c>
      <c r="Q1100" s="111">
        <f t="shared" si="151"/>
        <v>2546.3739999999993</v>
      </c>
      <c r="R1100" s="28">
        <f t="shared" si="152"/>
        <v>2037.0991999999994</v>
      </c>
    </row>
    <row r="1101" spans="1:18" ht="10.5" customHeight="1" x14ac:dyDescent="0.3">
      <c r="A1101" s="260" t="s">
        <v>1344</v>
      </c>
      <c r="B1101" s="261" t="s">
        <v>772</v>
      </c>
      <c r="C1101" s="217" t="s">
        <v>86</v>
      </c>
      <c r="D1101" s="24">
        <v>30</v>
      </c>
      <c r="E1101" s="25">
        <v>100</v>
      </c>
      <c r="F1101" s="26">
        <v>7.7144999999999984</v>
      </c>
      <c r="G1101" s="111">
        <f t="shared" si="153"/>
        <v>331.72349999999994</v>
      </c>
      <c r="H1101" s="28">
        <f t="shared" si="154"/>
        <v>265.37879999999996</v>
      </c>
      <c r="I1101" s="20"/>
      <c r="J1101" s="62" t="s">
        <v>1345</v>
      </c>
      <c r="K1101" s="270" t="s">
        <v>1095</v>
      </c>
      <c r="L1101" s="64" t="s">
        <v>86</v>
      </c>
      <c r="M1101" s="65">
        <v>70</v>
      </c>
      <c r="N1101" s="66">
        <v>20</v>
      </c>
      <c r="O1101" s="66"/>
      <c r="P1101" s="67">
        <v>61.41599999999999</v>
      </c>
      <c r="Q1101" s="111">
        <f t="shared" si="151"/>
        <v>2640.8879999999995</v>
      </c>
      <c r="R1101" s="28">
        <f t="shared" si="152"/>
        <v>2112.7103999999995</v>
      </c>
    </row>
    <row r="1102" spans="1:18" ht="10.5" customHeight="1" x14ac:dyDescent="0.3">
      <c r="A1102" s="260" t="s">
        <v>1346</v>
      </c>
      <c r="B1102" s="261" t="s">
        <v>772</v>
      </c>
      <c r="C1102" s="217" t="s">
        <v>86</v>
      </c>
      <c r="D1102" s="24">
        <v>35</v>
      </c>
      <c r="E1102" s="25">
        <v>100</v>
      </c>
      <c r="F1102" s="26">
        <v>8.0284999999999993</v>
      </c>
      <c r="G1102" s="111">
        <f t="shared" si="153"/>
        <v>345.22549999999995</v>
      </c>
      <c r="H1102" s="28">
        <f t="shared" si="154"/>
        <v>276.18039999999996</v>
      </c>
      <c r="I1102" s="20"/>
      <c r="J1102" s="62" t="s">
        <v>1347</v>
      </c>
      <c r="K1102" s="270" t="s">
        <v>1095</v>
      </c>
      <c r="L1102" s="64" t="s">
        <v>86</v>
      </c>
      <c r="M1102" s="65">
        <v>80</v>
      </c>
      <c r="N1102" s="66">
        <v>15</v>
      </c>
      <c r="O1102" s="66"/>
      <c r="P1102" s="67">
        <v>70.374666666666656</v>
      </c>
      <c r="Q1102" s="111">
        <f t="shared" si="151"/>
        <v>3026.110666666666</v>
      </c>
      <c r="R1102" s="28">
        <f t="shared" si="152"/>
        <v>2420.8885333333328</v>
      </c>
    </row>
    <row r="1103" spans="1:18" ht="10.5" customHeight="1" x14ac:dyDescent="0.3">
      <c r="A1103" s="260" t="s">
        <v>1348</v>
      </c>
      <c r="B1103" s="261" t="s">
        <v>772</v>
      </c>
      <c r="C1103" s="217" t="s">
        <v>86</v>
      </c>
      <c r="D1103" s="24">
        <v>40</v>
      </c>
      <c r="E1103" s="25">
        <v>100</v>
      </c>
      <c r="F1103" s="26">
        <v>8.9861999999999984</v>
      </c>
      <c r="G1103" s="111">
        <f t="shared" si="153"/>
        <v>386.40659999999991</v>
      </c>
      <c r="H1103" s="28">
        <f t="shared" si="154"/>
        <v>309.12527999999992</v>
      </c>
      <c r="I1103" s="20"/>
      <c r="J1103" s="62" t="s">
        <v>1349</v>
      </c>
      <c r="K1103" s="270" t="s">
        <v>1095</v>
      </c>
      <c r="L1103" s="64" t="s">
        <v>86</v>
      </c>
      <c r="M1103" s="65">
        <v>90</v>
      </c>
      <c r="N1103" s="66">
        <v>15</v>
      </c>
      <c r="O1103" s="66"/>
      <c r="P1103" s="67">
        <v>74.158366666666666</v>
      </c>
      <c r="Q1103" s="111">
        <f t="shared" si="151"/>
        <v>3188.8097666666667</v>
      </c>
      <c r="R1103" s="28">
        <f t="shared" si="152"/>
        <v>2551.0478133333336</v>
      </c>
    </row>
    <row r="1104" spans="1:18" ht="10.5" customHeight="1" x14ac:dyDescent="0.3">
      <c r="A1104" s="260" t="s">
        <v>1350</v>
      </c>
      <c r="B1104" s="261" t="s">
        <v>772</v>
      </c>
      <c r="C1104" s="217" t="s">
        <v>86</v>
      </c>
      <c r="D1104" s="24">
        <v>50</v>
      </c>
      <c r="E1104" s="25">
        <v>100</v>
      </c>
      <c r="F1104" s="26">
        <v>10.179399999999999</v>
      </c>
      <c r="G1104" s="111">
        <f t="shared" si="153"/>
        <v>437.71419999999995</v>
      </c>
      <c r="H1104" s="28">
        <f t="shared" si="154"/>
        <v>350.17135999999994</v>
      </c>
      <c r="I1104" s="20"/>
      <c r="J1104" s="62" t="s">
        <v>1351</v>
      </c>
      <c r="K1104" s="270" t="s">
        <v>1095</v>
      </c>
      <c r="L1104" s="64" t="s">
        <v>86</v>
      </c>
      <c r="M1104" s="65">
        <v>100</v>
      </c>
      <c r="N1104" s="66">
        <v>15</v>
      </c>
      <c r="O1104" s="66"/>
      <c r="P1104" s="67">
        <v>79.873166666666663</v>
      </c>
      <c r="Q1104" s="111">
        <f t="shared" si="151"/>
        <v>3434.5461666666665</v>
      </c>
      <c r="R1104" s="28">
        <f t="shared" si="152"/>
        <v>2747.6369333333332</v>
      </c>
    </row>
    <row r="1105" spans="1:18" ht="10.5" customHeight="1" x14ac:dyDescent="0.3">
      <c r="A1105" s="260" t="s">
        <v>1352</v>
      </c>
      <c r="B1105" s="261" t="s">
        <v>772</v>
      </c>
      <c r="C1105" s="217" t="s">
        <v>86</v>
      </c>
      <c r="D1105" s="24">
        <v>60</v>
      </c>
      <c r="E1105" s="25">
        <v>100</v>
      </c>
      <c r="F1105" s="26">
        <v>11.861517625000001</v>
      </c>
      <c r="G1105" s="111">
        <f t="shared" si="153"/>
        <v>510.04525787500006</v>
      </c>
      <c r="H1105" s="28">
        <f t="shared" si="154"/>
        <v>408.03620630000006</v>
      </c>
      <c r="I1105" s="20"/>
      <c r="J1105" s="62" t="s">
        <v>1353</v>
      </c>
      <c r="K1105" s="270" t="s">
        <v>1095</v>
      </c>
      <c r="L1105" s="64" t="s">
        <v>86</v>
      </c>
      <c r="M1105" s="65">
        <v>120</v>
      </c>
      <c r="N1105" s="66">
        <v>15</v>
      </c>
      <c r="O1105" s="66"/>
      <c r="P1105" s="67">
        <v>92.433166666666665</v>
      </c>
      <c r="Q1105" s="111">
        <f t="shared" si="151"/>
        <v>3974.6261666666664</v>
      </c>
      <c r="R1105" s="28">
        <f t="shared" si="152"/>
        <v>3179.7009333333331</v>
      </c>
    </row>
    <row r="1106" spans="1:18" ht="10.5" customHeight="1" x14ac:dyDescent="0.3">
      <c r="A1106" s="260" t="s">
        <v>1354</v>
      </c>
      <c r="B1106" s="261" t="s">
        <v>772</v>
      </c>
      <c r="C1106" s="217" t="s">
        <v>86</v>
      </c>
      <c r="D1106" s="24">
        <v>70</v>
      </c>
      <c r="E1106" s="25">
        <v>50</v>
      </c>
      <c r="F1106" s="26">
        <v>13.325199999999997</v>
      </c>
      <c r="G1106" s="111">
        <f t="shared" si="153"/>
        <v>572.98359999999991</v>
      </c>
      <c r="H1106" s="28">
        <f t="shared" si="154"/>
        <v>458.38687999999991</v>
      </c>
      <c r="I1106" s="20"/>
      <c r="J1106" s="62" t="s">
        <v>1355</v>
      </c>
      <c r="K1106" s="270" t="s">
        <v>1095</v>
      </c>
      <c r="L1106" s="64" t="s">
        <v>86</v>
      </c>
      <c r="M1106" s="65">
        <v>140</v>
      </c>
      <c r="N1106" s="66">
        <v>15</v>
      </c>
      <c r="O1106" s="66"/>
      <c r="P1106" s="67">
        <v>126.42366666666665</v>
      </c>
      <c r="Q1106" s="111">
        <f t="shared" si="151"/>
        <v>5436.2176666666655</v>
      </c>
      <c r="R1106" s="28">
        <f t="shared" si="152"/>
        <v>4348.9741333333322</v>
      </c>
    </row>
    <row r="1107" spans="1:18" ht="10.5" customHeight="1" x14ac:dyDescent="0.3">
      <c r="A1107" s="260" t="s">
        <v>1356</v>
      </c>
      <c r="B1107" s="261" t="s">
        <v>772</v>
      </c>
      <c r="C1107" s="217" t="s">
        <v>86</v>
      </c>
      <c r="D1107" s="24">
        <v>80</v>
      </c>
      <c r="E1107" s="25">
        <v>50</v>
      </c>
      <c r="F1107" s="26">
        <v>15.271999999999997</v>
      </c>
      <c r="G1107" s="111">
        <f t="shared" si="153"/>
        <v>656.69599999999991</v>
      </c>
      <c r="H1107" s="28">
        <f t="shared" si="154"/>
        <v>525.35679999999991</v>
      </c>
      <c r="I1107" s="20"/>
      <c r="J1107" s="62" t="s">
        <v>1357</v>
      </c>
      <c r="K1107" s="270" t="s">
        <v>1095</v>
      </c>
      <c r="L1107" s="64" t="s">
        <v>86</v>
      </c>
      <c r="M1107" s="65">
        <v>160</v>
      </c>
      <c r="N1107" s="66">
        <v>15</v>
      </c>
      <c r="O1107" s="66"/>
      <c r="P1107" s="67">
        <v>141.18166666666664</v>
      </c>
      <c r="Q1107" s="111">
        <f t="shared" si="151"/>
        <v>6070.8116666666656</v>
      </c>
      <c r="R1107" s="28">
        <f t="shared" si="152"/>
        <v>4856.6493333333328</v>
      </c>
    </row>
    <row r="1108" spans="1:18" ht="10.5" customHeight="1" x14ac:dyDescent="0.3">
      <c r="A1108" s="260" t="s">
        <v>1358</v>
      </c>
      <c r="B1108" s="261" t="s">
        <v>772</v>
      </c>
      <c r="C1108" s="217" t="s">
        <v>86</v>
      </c>
      <c r="D1108" s="24">
        <v>90</v>
      </c>
      <c r="E1108" s="25">
        <v>50</v>
      </c>
      <c r="F1108" s="26">
        <v>19.997699999999995</v>
      </c>
      <c r="G1108" s="111">
        <f t="shared" si="153"/>
        <v>859.90109999999981</v>
      </c>
      <c r="H1108" s="28">
        <f t="shared" si="154"/>
        <v>687.9208799999999</v>
      </c>
      <c r="I1108" s="20"/>
      <c r="J1108" s="62" t="s">
        <v>1359</v>
      </c>
      <c r="K1108" s="270" t="s">
        <v>1102</v>
      </c>
      <c r="L1108" s="64" t="s">
        <v>86</v>
      </c>
      <c r="M1108" s="65">
        <v>60</v>
      </c>
      <c r="N1108" s="66">
        <v>25</v>
      </c>
      <c r="O1108" s="66"/>
      <c r="P1108" s="67">
        <v>110.3</v>
      </c>
      <c r="Q1108" s="111">
        <f t="shared" si="151"/>
        <v>4742.8999999999996</v>
      </c>
      <c r="R1108" s="28">
        <f t="shared" si="152"/>
        <v>3794.3199999999997</v>
      </c>
    </row>
    <row r="1109" spans="1:18" ht="10.5" customHeight="1" x14ac:dyDescent="0.3">
      <c r="A1109" s="260" t="s">
        <v>1360</v>
      </c>
      <c r="B1109" s="261" t="s">
        <v>772</v>
      </c>
      <c r="C1109" s="217" t="s">
        <v>86</v>
      </c>
      <c r="D1109" s="24">
        <v>100</v>
      </c>
      <c r="E1109" s="25">
        <v>50</v>
      </c>
      <c r="F1109" s="26">
        <v>21.960199999999997</v>
      </c>
      <c r="G1109" s="111">
        <f t="shared" si="153"/>
        <v>944.28859999999986</v>
      </c>
      <c r="H1109" s="28">
        <f t="shared" si="154"/>
        <v>755.43087999999989</v>
      </c>
      <c r="I1109" s="20"/>
      <c r="J1109" s="62" t="s">
        <v>1361</v>
      </c>
      <c r="K1109" s="270" t="s">
        <v>1102</v>
      </c>
      <c r="L1109" s="64" t="s">
        <v>86</v>
      </c>
      <c r="M1109" s="65">
        <v>80</v>
      </c>
      <c r="N1109" s="66">
        <v>15</v>
      </c>
      <c r="O1109" s="66"/>
      <c r="P1109" s="67">
        <v>132.54666666666665</v>
      </c>
      <c r="Q1109" s="111">
        <f t="shared" si="151"/>
        <v>5699.5066666666662</v>
      </c>
      <c r="R1109" s="28">
        <f t="shared" si="152"/>
        <v>4559.605333333333</v>
      </c>
    </row>
    <row r="1110" spans="1:18" ht="10.5" customHeight="1" x14ac:dyDescent="0.3">
      <c r="A1110" s="260" t="s">
        <v>1362</v>
      </c>
      <c r="B1110" s="261" t="s">
        <v>772</v>
      </c>
      <c r="C1110" s="217" t="s">
        <v>86</v>
      </c>
      <c r="D1110" s="24">
        <v>120</v>
      </c>
      <c r="E1110" s="25">
        <v>50</v>
      </c>
      <c r="F1110" s="26">
        <v>24.481776999999997</v>
      </c>
      <c r="G1110" s="111">
        <f t="shared" si="153"/>
        <v>1052.7164109999999</v>
      </c>
      <c r="H1110" s="28">
        <f t="shared" si="154"/>
        <v>842.17312879999986</v>
      </c>
      <c r="I1110" s="20"/>
      <c r="J1110" s="62" t="s">
        <v>1363</v>
      </c>
      <c r="K1110" s="270" t="s">
        <v>1102</v>
      </c>
      <c r="L1110" s="64" t="s">
        <v>86</v>
      </c>
      <c r="M1110" s="65">
        <v>90</v>
      </c>
      <c r="N1110" s="66">
        <v>15</v>
      </c>
      <c r="O1110" s="66"/>
      <c r="P1110" s="67">
        <v>148.43506666666664</v>
      </c>
      <c r="Q1110" s="111">
        <f t="shared" si="151"/>
        <v>6382.7078666666657</v>
      </c>
      <c r="R1110" s="28">
        <f t="shared" si="152"/>
        <v>5106.1662933333328</v>
      </c>
    </row>
    <row r="1111" spans="1:18" ht="10.5" customHeight="1" x14ac:dyDescent="0.3">
      <c r="A1111" s="260" t="s">
        <v>1364</v>
      </c>
      <c r="B1111" s="261" t="s">
        <v>775</v>
      </c>
      <c r="C1111" s="217" t="s">
        <v>86</v>
      </c>
      <c r="D1111" s="24">
        <v>16</v>
      </c>
      <c r="E1111" s="25">
        <v>100</v>
      </c>
      <c r="F1111" s="26">
        <v>10.933</v>
      </c>
      <c r="G1111" s="111">
        <f t="shared" si="153"/>
        <v>470.11899999999997</v>
      </c>
      <c r="H1111" s="28">
        <f t="shared" si="154"/>
        <v>376.09519999999998</v>
      </c>
      <c r="I1111" s="20"/>
      <c r="J1111" s="62" t="s">
        <v>1365</v>
      </c>
      <c r="K1111" s="270" t="s">
        <v>1102</v>
      </c>
      <c r="L1111" s="64" t="s">
        <v>86</v>
      </c>
      <c r="M1111" s="65">
        <v>100</v>
      </c>
      <c r="N1111" s="66">
        <v>15</v>
      </c>
      <c r="O1111" s="66"/>
      <c r="P1111" s="67">
        <v>160.68106666666665</v>
      </c>
      <c r="Q1111" s="111">
        <f t="shared" si="151"/>
        <v>6909.2858666666662</v>
      </c>
      <c r="R1111" s="28">
        <f t="shared" si="152"/>
        <v>5527.4286933333333</v>
      </c>
    </row>
    <row r="1112" spans="1:18" ht="10.5" customHeight="1" x14ac:dyDescent="0.3">
      <c r="A1112" s="260" t="s">
        <v>1366</v>
      </c>
      <c r="B1112" s="261" t="s">
        <v>775</v>
      </c>
      <c r="C1112" s="217" t="s">
        <v>86</v>
      </c>
      <c r="D1112" s="24">
        <v>20</v>
      </c>
      <c r="E1112" s="25">
        <v>100</v>
      </c>
      <c r="F1112" s="26">
        <v>11.089999999999998</v>
      </c>
      <c r="G1112" s="111">
        <f t="shared" si="153"/>
        <v>476.86999999999989</v>
      </c>
      <c r="H1112" s="28">
        <f t="shared" si="154"/>
        <v>381.49599999999992</v>
      </c>
      <c r="I1112" s="20"/>
      <c r="J1112" s="62" t="s">
        <v>1367</v>
      </c>
      <c r="K1112" s="270" t="s">
        <v>1102</v>
      </c>
      <c r="L1112" s="64" t="s">
        <v>86</v>
      </c>
      <c r="M1112" s="65">
        <v>120</v>
      </c>
      <c r="N1112" s="66">
        <v>15</v>
      </c>
      <c r="O1112" s="66"/>
      <c r="P1112" s="67">
        <v>189.06666666666663</v>
      </c>
      <c r="Q1112" s="111">
        <f t="shared" si="151"/>
        <v>8129.866666666665</v>
      </c>
      <c r="R1112" s="28">
        <f t="shared" si="152"/>
        <v>6503.8933333333316</v>
      </c>
    </row>
    <row r="1113" spans="1:18" ht="10.5" customHeight="1" x14ac:dyDescent="0.3">
      <c r="A1113" s="260" t="s">
        <v>1368</v>
      </c>
      <c r="B1113" s="261" t="s">
        <v>775</v>
      </c>
      <c r="C1113" s="217" t="s">
        <v>86</v>
      </c>
      <c r="D1113" s="24">
        <v>25</v>
      </c>
      <c r="E1113" s="25">
        <v>100</v>
      </c>
      <c r="F1113" s="26">
        <v>11.686599999999999</v>
      </c>
      <c r="G1113" s="111">
        <f t="shared" si="153"/>
        <v>502.52379999999994</v>
      </c>
      <c r="H1113" s="28">
        <f t="shared" si="154"/>
        <v>402.01903999999996</v>
      </c>
      <c r="I1113" s="20"/>
      <c r="J1113" s="62" t="s">
        <v>1369</v>
      </c>
      <c r="K1113" s="270" t="s">
        <v>1102</v>
      </c>
      <c r="L1113" s="64" t="s">
        <v>86</v>
      </c>
      <c r="M1113" s="65">
        <v>140</v>
      </c>
      <c r="N1113" s="66">
        <v>15</v>
      </c>
      <c r="O1113" s="66"/>
      <c r="P1113" s="67">
        <v>203.33796666666663</v>
      </c>
      <c r="Q1113" s="111">
        <f t="shared" si="151"/>
        <v>8743.5325666666649</v>
      </c>
      <c r="R1113" s="28">
        <f t="shared" si="152"/>
        <v>6994.8260533333323</v>
      </c>
    </row>
    <row r="1114" spans="1:18" ht="10.5" customHeight="1" x14ac:dyDescent="0.3">
      <c r="A1114" s="260" t="s">
        <v>1370</v>
      </c>
      <c r="B1114" s="261" t="s">
        <v>775</v>
      </c>
      <c r="C1114" s="217" t="s">
        <v>86</v>
      </c>
      <c r="D1114" s="24">
        <v>30</v>
      </c>
      <c r="E1114" s="25">
        <v>100</v>
      </c>
      <c r="F1114" s="26">
        <v>12.659999999999998</v>
      </c>
      <c r="G1114" s="111">
        <f t="shared" si="153"/>
        <v>544.37999999999988</v>
      </c>
      <c r="H1114" s="28">
        <f t="shared" si="154"/>
        <v>435.50399999999991</v>
      </c>
      <c r="I1114" s="83"/>
      <c r="J1114" s="83"/>
      <c r="K1114" s="83"/>
      <c r="L1114" s="83"/>
      <c r="M1114" s="83"/>
      <c r="N1114" s="83"/>
      <c r="O1114" s="83"/>
      <c r="P1114" s="83"/>
      <c r="Q1114" s="83"/>
      <c r="R1114" s="116"/>
    </row>
    <row r="1115" spans="1:18" ht="10.5" customHeight="1" x14ac:dyDescent="0.3">
      <c r="A1115" s="20"/>
      <c r="B1115" s="20"/>
      <c r="C1115" s="20"/>
      <c r="D1115" s="20"/>
      <c r="E1115" s="20"/>
      <c r="F1115" s="20"/>
      <c r="G1115" s="20"/>
      <c r="H1115" s="20"/>
      <c r="I1115" s="20"/>
      <c r="J1115" s="20"/>
      <c r="K1115" s="20"/>
      <c r="L1115" s="20"/>
      <c r="M1115" s="20"/>
      <c r="N1115" s="20"/>
      <c r="O1115" s="20"/>
      <c r="P1115" s="20"/>
      <c r="Q1115" s="20"/>
      <c r="R1115" s="20"/>
    </row>
    <row r="1116" spans="1:18" ht="10.5" customHeight="1" x14ac:dyDescent="0.3">
      <c r="A1116" s="166" t="s">
        <v>1282</v>
      </c>
      <c r="B1116" s="48" t="s">
        <v>1371</v>
      </c>
      <c r="C1116" s="49"/>
      <c r="D1116" s="49"/>
      <c r="E1116" s="49"/>
      <c r="F1116" s="49"/>
      <c r="G1116" s="49"/>
      <c r="H1116" s="49"/>
      <c r="I1116" s="49"/>
      <c r="J1116" s="446" t="s">
        <v>78</v>
      </c>
      <c r="K1116" s="446" t="s">
        <v>79</v>
      </c>
      <c r="L1116" s="446"/>
      <c r="M1116" s="446"/>
      <c r="N1116" s="447" t="s">
        <v>80</v>
      </c>
      <c r="O1116" s="434"/>
      <c r="P1116" s="61"/>
      <c r="Q1116" s="16" t="s">
        <v>81</v>
      </c>
      <c r="R1116" s="17" t="s">
        <v>82</v>
      </c>
    </row>
    <row r="1117" spans="1:18" ht="10.5" customHeight="1" x14ac:dyDescent="0.3">
      <c r="A1117" s="18"/>
      <c r="B1117" s="20"/>
      <c r="C1117" s="20"/>
      <c r="D1117" s="20"/>
      <c r="E1117" s="20"/>
      <c r="F1117" s="20"/>
      <c r="G1117" s="20"/>
      <c r="H1117" s="20"/>
      <c r="I1117" s="20"/>
      <c r="J1117" s="446"/>
      <c r="K1117" s="446"/>
      <c r="L1117" s="446"/>
      <c r="M1117" s="446"/>
      <c r="N1117" s="447"/>
      <c r="O1117" s="369"/>
      <c r="P1117" s="68"/>
      <c r="Q1117" s="15" t="s">
        <v>1372</v>
      </c>
      <c r="R1117" s="15" t="s">
        <v>1372</v>
      </c>
    </row>
    <row r="1118" spans="1:18" ht="10.5" customHeight="1" x14ac:dyDescent="0.3">
      <c r="A1118" s="18"/>
      <c r="B1118" s="20"/>
      <c r="C1118" s="20"/>
      <c r="D1118" s="20"/>
      <c r="E1118" s="20"/>
      <c r="F1118" s="20"/>
      <c r="G1118" s="20"/>
      <c r="H1118" s="20"/>
      <c r="I1118" s="20"/>
      <c r="J1118" s="54" t="s">
        <v>1366</v>
      </c>
      <c r="K1118" s="167" t="s">
        <v>775</v>
      </c>
      <c r="L1118" s="271" t="s">
        <v>86</v>
      </c>
      <c r="M1118" s="272">
        <v>20</v>
      </c>
      <c r="N1118" s="77" t="s">
        <v>1373</v>
      </c>
      <c r="O1118" s="77"/>
      <c r="P1118" s="78">
        <v>4.0731999200000004</v>
      </c>
      <c r="Q1118" s="72">
        <f t="shared" ref="Q1118:Q1144" si="155">P1118*$F$10</f>
        <v>175.14759656000001</v>
      </c>
      <c r="R1118" s="72">
        <f t="shared" ref="R1118:R1144" si="156">Q1118-Q1118*0.2</f>
        <v>140.11807724800002</v>
      </c>
    </row>
    <row r="1119" spans="1:18" ht="10.5" customHeight="1" x14ac:dyDescent="0.3">
      <c r="A1119" s="18"/>
      <c r="B1119" s="20"/>
      <c r="C1119" s="20"/>
      <c r="D1119" s="20"/>
      <c r="E1119" s="20"/>
      <c r="F1119" s="20"/>
      <c r="G1119" s="20"/>
      <c r="H1119" s="20"/>
      <c r="I1119" s="20"/>
      <c r="J1119" s="62" t="s">
        <v>1370</v>
      </c>
      <c r="K1119" s="167" t="s">
        <v>775</v>
      </c>
      <c r="L1119" s="271" t="s">
        <v>86</v>
      </c>
      <c r="M1119" s="272">
        <v>30</v>
      </c>
      <c r="N1119" s="77" t="s">
        <v>1373</v>
      </c>
      <c r="O1119" s="77"/>
      <c r="P1119" s="26">
        <v>4.0731999200000004</v>
      </c>
      <c r="Q1119" s="72">
        <f t="shared" si="155"/>
        <v>175.14759656000001</v>
      </c>
      <c r="R1119" s="28">
        <f t="shared" si="156"/>
        <v>140.11807724800002</v>
      </c>
    </row>
    <row r="1120" spans="1:18" ht="10.5" customHeight="1" x14ac:dyDescent="0.3">
      <c r="A1120" s="18"/>
      <c r="B1120" s="20"/>
      <c r="C1120" s="20"/>
      <c r="D1120" s="20"/>
      <c r="E1120" s="20"/>
      <c r="F1120" s="20"/>
      <c r="G1120" s="20"/>
      <c r="H1120" s="20"/>
      <c r="I1120" s="20"/>
      <c r="J1120" s="62" t="s">
        <v>1285</v>
      </c>
      <c r="K1120" s="167" t="s">
        <v>775</v>
      </c>
      <c r="L1120" s="271" t="s">
        <v>86</v>
      </c>
      <c r="M1120" s="272">
        <v>40</v>
      </c>
      <c r="N1120" s="77" t="s">
        <v>1373</v>
      </c>
      <c r="O1120" s="77"/>
      <c r="P1120" s="26">
        <v>4.0731999200000004</v>
      </c>
      <c r="Q1120" s="72">
        <f t="shared" si="155"/>
        <v>175.14759656000001</v>
      </c>
      <c r="R1120" s="28">
        <f t="shared" si="156"/>
        <v>140.11807724800002</v>
      </c>
    </row>
    <row r="1121" spans="1:18" ht="10.5" customHeight="1" x14ac:dyDescent="0.3">
      <c r="A1121" s="262" t="s">
        <v>1287</v>
      </c>
      <c r="B1121" s="20"/>
      <c r="C1121" s="20"/>
      <c r="D1121" s="20"/>
      <c r="E1121" s="20"/>
      <c r="F1121" s="20"/>
      <c r="G1121" s="20"/>
      <c r="H1121" s="20"/>
      <c r="I1121" s="20"/>
      <c r="J1121" s="62" t="s">
        <v>1288</v>
      </c>
      <c r="K1121" s="167" t="s">
        <v>775</v>
      </c>
      <c r="L1121" s="271" t="s">
        <v>86</v>
      </c>
      <c r="M1121" s="272">
        <v>50</v>
      </c>
      <c r="N1121" s="77" t="s">
        <v>1373</v>
      </c>
      <c r="O1121" s="77"/>
      <c r="P1121" s="26">
        <v>4.0731999200000004</v>
      </c>
      <c r="Q1121" s="72">
        <f t="shared" si="155"/>
        <v>175.14759656000001</v>
      </c>
      <c r="R1121" s="28">
        <f t="shared" si="156"/>
        <v>140.11807724800002</v>
      </c>
    </row>
    <row r="1122" spans="1:18" ht="10.5" customHeight="1" x14ac:dyDescent="0.3">
      <c r="A1122" s="446" t="s">
        <v>78</v>
      </c>
      <c r="B1122" s="446" t="s">
        <v>79</v>
      </c>
      <c r="C1122" s="446"/>
      <c r="D1122" s="446"/>
      <c r="E1122" s="447" t="s">
        <v>80</v>
      </c>
      <c r="F1122" s="61"/>
      <c r="G1122" s="16" t="s">
        <v>81</v>
      </c>
      <c r="H1122" s="17" t="s">
        <v>82</v>
      </c>
      <c r="I1122" s="20"/>
      <c r="J1122" s="62" t="s">
        <v>1289</v>
      </c>
      <c r="K1122" s="167" t="s">
        <v>775</v>
      </c>
      <c r="L1122" s="271" t="s">
        <v>86</v>
      </c>
      <c r="M1122" s="272">
        <v>60</v>
      </c>
      <c r="N1122" s="77" t="s">
        <v>1373</v>
      </c>
      <c r="O1122" s="77"/>
      <c r="P1122" s="26">
        <v>4.0731999200000004</v>
      </c>
      <c r="Q1122" s="72">
        <f t="shared" si="155"/>
        <v>175.14759656000001</v>
      </c>
      <c r="R1122" s="28">
        <f t="shared" si="156"/>
        <v>140.11807724800002</v>
      </c>
    </row>
    <row r="1123" spans="1:18" ht="10.5" customHeight="1" x14ac:dyDescent="0.3">
      <c r="A1123" s="446"/>
      <c r="B1123" s="446"/>
      <c r="C1123" s="446"/>
      <c r="D1123" s="446"/>
      <c r="E1123" s="447"/>
      <c r="F1123" s="68"/>
      <c r="G1123" s="15" t="s">
        <v>1372</v>
      </c>
      <c r="H1123" s="15" t="s">
        <v>1372</v>
      </c>
      <c r="I1123" s="20"/>
      <c r="J1123" s="62" t="s">
        <v>1290</v>
      </c>
      <c r="K1123" s="167" t="s">
        <v>775</v>
      </c>
      <c r="L1123" s="271" t="s">
        <v>86</v>
      </c>
      <c r="M1123" s="272">
        <v>70</v>
      </c>
      <c r="N1123" s="77" t="s">
        <v>1373</v>
      </c>
      <c r="O1123" s="77"/>
      <c r="P1123" s="26">
        <v>4.0731999200000004</v>
      </c>
      <c r="Q1123" s="72">
        <f t="shared" si="155"/>
        <v>175.14759656000001</v>
      </c>
      <c r="R1123" s="28">
        <f t="shared" si="156"/>
        <v>140.11807724800002</v>
      </c>
    </row>
    <row r="1124" spans="1:18" ht="10.5" customHeight="1" x14ac:dyDescent="0.3">
      <c r="A1124" s="54" t="s">
        <v>1313</v>
      </c>
      <c r="B1124" s="167" t="s">
        <v>769</v>
      </c>
      <c r="C1124" s="56" t="s">
        <v>86</v>
      </c>
      <c r="D1124" s="272">
        <v>16</v>
      </c>
      <c r="E1124" s="77" t="s">
        <v>1373</v>
      </c>
      <c r="F1124" s="78">
        <v>4.1767232080000003</v>
      </c>
      <c r="G1124" s="72">
        <f t="shared" ref="G1124:G1144" si="157">F1124*$F$10</f>
        <v>179.59909794400002</v>
      </c>
      <c r="H1124" s="28">
        <f t="shared" ref="H1124:H1144" si="158">G1124-G1124*0.2</f>
        <v>143.67927835520001</v>
      </c>
      <c r="I1124" s="20"/>
      <c r="J1124" s="62" t="s">
        <v>1292</v>
      </c>
      <c r="K1124" s="167" t="s">
        <v>775</v>
      </c>
      <c r="L1124" s="271" t="s">
        <v>86</v>
      </c>
      <c r="M1124" s="272">
        <v>80</v>
      </c>
      <c r="N1124" s="77" t="s">
        <v>1373</v>
      </c>
      <c r="O1124" s="77"/>
      <c r="P1124" s="26">
        <v>4.0731999200000004</v>
      </c>
      <c r="Q1124" s="72">
        <f t="shared" si="155"/>
        <v>175.14759656000001</v>
      </c>
      <c r="R1124" s="28">
        <f t="shared" si="156"/>
        <v>140.11807724800002</v>
      </c>
    </row>
    <row r="1125" spans="1:18" ht="10.5" customHeight="1" x14ac:dyDescent="0.3">
      <c r="A1125" s="62" t="s">
        <v>1315</v>
      </c>
      <c r="B1125" s="167" t="s">
        <v>769</v>
      </c>
      <c r="C1125" s="271" t="s">
        <v>86</v>
      </c>
      <c r="D1125" s="272">
        <v>20</v>
      </c>
      <c r="E1125" s="77" t="s">
        <v>1373</v>
      </c>
      <c r="F1125" s="78">
        <v>4.1767232080000003</v>
      </c>
      <c r="G1125" s="72">
        <f t="shared" si="157"/>
        <v>179.59909794400002</v>
      </c>
      <c r="H1125" s="72">
        <f t="shared" si="158"/>
        <v>143.67927835520001</v>
      </c>
      <c r="I1125" s="20"/>
      <c r="J1125" s="62" t="s">
        <v>1294</v>
      </c>
      <c r="K1125" s="167" t="s">
        <v>775</v>
      </c>
      <c r="L1125" s="271" t="s">
        <v>86</v>
      </c>
      <c r="M1125" s="272">
        <v>90</v>
      </c>
      <c r="N1125" s="77" t="s">
        <v>1373</v>
      </c>
      <c r="O1125" s="77"/>
      <c r="P1125" s="26">
        <v>4.0731999200000004</v>
      </c>
      <c r="Q1125" s="72">
        <f t="shared" si="155"/>
        <v>175.14759656000001</v>
      </c>
      <c r="R1125" s="28">
        <f t="shared" si="156"/>
        <v>140.11807724800002</v>
      </c>
    </row>
    <row r="1126" spans="1:18" ht="10.5" customHeight="1" x14ac:dyDescent="0.3">
      <c r="A1126" s="62" t="s">
        <v>1321</v>
      </c>
      <c r="B1126" s="167" t="s">
        <v>769</v>
      </c>
      <c r="C1126" s="271" t="s">
        <v>86</v>
      </c>
      <c r="D1126" s="272">
        <v>35</v>
      </c>
      <c r="E1126" s="77" t="s">
        <v>1373</v>
      </c>
      <c r="F1126" s="26">
        <v>4.1089505469999992</v>
      </c>
      <c r="G1126" s="72">
        <f t="shared" si="157"/>
        <v>176.68487352099996</v>
      </c>
      <c r="H1126" s="28">
        <f t="shared" si="158"/>
        <v>141.34789881679995</v>
      </c>
      <c r="I1126" s="20"/>
      <c r="J1126" s="62" t="s">
        <v>1296</v>
      </c>
      <c r="K1126" s="167" t="s">
        <v>775</v>
      </c>
      <c r="L1126" s="271" t="s">
        <v>86</v>
      </c>
      <c r="M1126" s="272">
        <v>100</v>
      </c>
      <c r="N1126" s="77" t="s">
        <v>1373</v>
      </c>
      <c r="O1126" s="77"/>
      <c r="P1126" s="26">
        <v>4.0731999200000004</v>
      </c>
      <c r="Q1126" s="72">
        <f t="shared" si="155"/>
        <v>175.14759656000001</v>
      </c>
      <c r="R1126" s="28">
        <f t="shared" si="156"/>
        <v>140.11807724800002</v>
      </c>
    </row>
    <row r="1127" spans="1:18" ht="10.5" customHeight="1" x14ac:dyDescent="0.3">
      <c r="A1127" s="62" t="s">
        <v>1323</v>
      </c>
      <c r="B1127" s="167" t="s">
        <v>769</v>
      </c>
      <c r="C1127" s="271" t="s">
        <v>86</v>
      </c>
      <c r="D1127" s="272">
        <v>40</v>
      </c>
      <c r="E1127" s="77" t="s">
        <v>1373</v>
      </c>
      <c r="F1127" s="26">
        <v>4.1089505469999992</v>
      </c>
      <c r="G1127" s="72">
        <f t="shared" si="157"/>
        <v>176.68487352099996</v>
      </c>
      <c r="H1127" s="28">
        <f t="shared" si="158"/>
        <v>141.34789881679995</v>
      </c>
      <c r="I1127" s="20"/>
      <c r="J1127" s="62" t="s">
        <v>1298</v>
      </c>
      <c r="K1127" s="167" t="s">
        <v>775</v>
      </c>
      <c r="L1127" s="271" t="s">
        <v>86</v>
      </c>
      <c r="M1127" s="272">
        <v>120</v>
      </c>
      <c r="N1127" s="77" t="s">
        <v>1373</v>
      </c>
      <c r="O1127" s="77"/>
      <c r="P1127" s="26">
        <v>4.0731999200000004</v>
      </c>
      <c r="Q1127" s="72">
        <f t="shared" si="155"/>
        <v>175.14759656000001</v>
      </c>
      <c r="R1127" s="28">
        <f t="shared" si="156"/>
        <v>140.11807724800002</v>
      </c>
    </row>
    <row r="1128" spans="1:18" ht="10.5" customHeight="1" x14ac:dyDescent="0.3">
      <c r="A1128" s="62" t="s">
        <v>1325</v>
      </c>
      <c r="B1128" s="167" t="s">
        <v>769</v>
      </c>
      <c r="C1128" s="271" t="s">
        <v>86</v>
      </c>
      <c r="D1128" s="272">
        <v>50</v>
      </c>
      <c r="E1128" s="77" t="s">
        <v>1373</v>
      </c>
      <c r="F1128" s="26">
        <v>4.1089505469999992</v>
      </c>
      <c r="G1128" s="72">
        <f t="shared" si="157"/>
        <v>176.68487352099996</v>
      </c>
      <c r="H1128" s="28">
        <f t="shared" si="158"/>
        <v>141.34789881679995</v>
      </c>
      <c r="I1128" s="20"/>
      <c r="J1128" s="62" t="s">
        <v>1304</v>
      </c>
      <c r="K1128" s="167" t="s">
        <v>778</v>
      </c>
      <c r="L1128" s="271" t="s">
        <v>86</v>
      </c>
      <c r="M1128" s="272">
        <v>30</v>
      </c>
      <c r="N1128" s="77" t="s">
        <v>1373</v>
      </c>
      <c r="O1128" s="77"/>
      <c r="P1128" s="26">
        <v>4.122329616</v>
      </c>
      <c r="Q1128" s="72">
        <f t="shared" si="155"/>
        <v>177.26017348799999</v>
      </c>
      <c r="R1128" s="28">
        <f t="shared" si="156"/>
        <v>141.80813879039999</v>
      </c>
    </row>
    <row r="1129" spans="1:18" ht="10.5" customHeight="1" x14ac:dyDescent="0.3">
      <c r="A1129" s="62" t="s">
        <v>1328</v>
      </c>
      <c r="B1129" s="167" t="s">
        <v>769</v>
      </c>
      <c r="C1129" s="271" t="s">
        <v>86</v>
      </c>
      <c r="D1129" s="272">
        <v>60</v>
      </c>
      <c r="E1129" s="77" t="s">
        <v>1373</v>
      </c>
      <c r="F1129" s="26">
        <v>4.0682449999999992</v>
      </c>
      <c r="G1129" s="72">
        <f t="shared" si="157"/>
        <v>174.93453499999995</v>
      </c>
      <c r="H1129" s="28">
        <f t="shared" si="158"/>
        <v>139.94762799999995</v>
      </c>
      <c r="I1129" s="20"/>
      <c r="J1129" s="62" t="s">
        <v>1306</v>
      </c>
      <c r="K1129" s="167" t="s">
        <v>778</v>
      </c>
      <c r="L1129" s="271" t="s">
        <v>86</v>
      </c>
      <c r="M1129" s="272">
        <v>40</v>
      </c>
      <c r="N1129" s="77" t="s">
        <v>1373</v>
      </c>
      <c r="O1129" s="77"/>
      <c r="P1129" s="26">
        <v>4.122329616</v>
      </c>
      <c r="Q1129" s="72">
        <f t="shared" si="155"/>
        <v>177.26017348799999</v>
      </c>
      <c r="R1129" s="28">
        <f t="shared" si="156"/>
        <v>141.80813879039999</v>
      </c>
    </row>
    <row r="1130" spans="1:18" ht="10.5" customHeight="1" x14ac:dyDescent="0.3">
      <c r="A1130" s="62" t="s">
        <v>1330</v>
      </c>
      <c r="B1130" s="167" t="s">
        <v>769</v>
      </c>
      <c r="C1130" s="271" t="s">
        <v>86</v>
      </c>
      <c r="D1130" s="272">
        <v>70</v>
      </c>
      <c r="E1130" s="77" t="s">
        <v>1373</v>
      </c>
      <c r="F1130" s="26">
        <v>4.0682449999999992</v>
      </c>
      <c r="G1130" s="72">
        <f t="shared" si="157"/>
        <v>174.93453499999995</v>
      </c>
      <c r="H1130" s="28">
        <f t="shared" si="158"/>
        <v>139.94762799999995</v>
      </c>
      <c r="I1130" s="20"/>
      <c r="J1130" s="62" t="s">
        <v>1308</v>
      </c>
      <c r="K1130" s="167" t="s">
        <v>778</v>
      </c>
      <c r="L1130" s="271" t="s">
        <v>86</v>
      </c>
      <c r="M1130" s="272">
        <v>50</v>
      </c>
      <c r="N1130" s="77" t="s">
        <v>1373</v>
      </c>
      <c r="O1130" s="77"/>
      <c r="P1130" s="26">
        <v>4.122329616</v>
      </c>
      <c r="Q1130" s="72">
        <f t="shared" si="155"/>
        <v>177.26017348799999</v>
      </c>
      <c r="R1130" s="28">
        <f t="shared" si="156"/>
        <v>141.80813879039999</v>
      </c>
    </row>
    <row r="1131" spans="1:18" ht="10.5" customHeight="1" x14ac:dyDescent="0.3">
      <c r="A1131" s="62" t="s">
        <v>1332</v>
      </c>
      <c r="B1131" s="167" t="s">
        <v>769</v>
      </c>
      <c r="C1131" s="271" t="s">
        <v>86</v>
      </c>
      <c r="D1131" s="272">
        <v>80</v>
      </c>
      <c r="E1131" s="77" t="s">
        <v>1373</v>
      </c>
      <c r="F1131" s="26">
        <v>4.0682449999999992</v>
      </c>
      <c r="G1131" s="72">
        <f t="shared" si="157"/>
        <v>174.93453499999995</v>
      </c>
      <c r="H1131" s="28">
        <f t="shared" si="158"/>
        <v>139.94762799999995</v>
      </c>
      <c r="I1131" s="20"/>
      <c r="J1131" s="62" t="s">
        <v>1310</v>
      </c>
      <c r="K1131" s="167" t="s">
        <v>778</v>
      </c>
      <c r="L1131" s="271" t="s">
        <v>86</v>
      </c>
      <c r="M1131" s="272">
        <v>60</v>
      </c>
      <c r="N1131" s="77" t="s">
        <v>1373</v>
      </c>
      <c r="O1131" s="77"/>
      <c r="P1131" s="26">
        <v>4.122329616</v>
      </c>
      <c r="Q1131" s="72">
        <f t="shared" si="155"/>
        <v>177.26017348799999</v>
      </c>
      <c r="R1131" s="28">
        <f t="shared" si="156"/>
        <v>141.80813879039999</v>
      </c>
    </row>
    <row r="1132" spans="1:18" ht="10.5" customHeight="1" x14ac:dyDescent="0.3">
      <c r="A1132" s="62" t="s">
        <v>1334</v>
      </c>
      <c r="B1132" s="167" t="s">
        <v>769</v>
      </c>
      <c r="C1132" s="271" t="s">
        <v>86</v>
      </c>
      <c r="D1132" s="272">
        <v>90</v>
      </c>
      <c r="E1132" s="77" t="s">
        <v>1373</v>
      </c>
      <c r="F1132" s="26">
        <v>4.0682449999999992</v>
      </c>
      <c r="G1132" s="72">
        <f t="shared" si="157"/>
        <v>174.93453499999995</v>
      </c>
      <c r="H1132" s="28">
        <f t="shared" si="158"/>
        <v>139.94762799999995</v>
      </c>
      <c r="I1132" s="20"/>
      <c r="J1132" s="62" t="s">
        <v>1312</v>
      </c>
      <c r="K1132" s="167" t="s">
        <v>778</v>
      </c>
      <c r="L1132" s="271" t="s">
        <v>86</v>
      </c>
      <c r="M1132" s="272">
        <v>70</v>
      </c>
      <c r="N1132" s="77" t="s">
        <v>1373</v>
      </c>
      <c r="O1132" s="77"/>
      <c r="P1132" s="26">
        <v>4.122329616</v>
      </c>
      <c r="Q1132" s="72">
        <f t="shared" si="155"/>
        <v>177.26017348799999</v>
      </c>
      <c r="R1132" s="28">
        <f t="shared" si="156"/>
        <v>141.80813879039999</v>
      </c>
    </row>
    <row r="1133" spans="1:18" ht="10.5" customHeight="1" x14ac:dyDescent="0.3">
      <c r="A1133" s="62" t="s">
        <v>1338</v>
      </c>
      <c r="B1133" s="167" t="s">
        <v>772</v>
      </c>
      <c r="C1133" s="271" t="s">
        <v>86</v>
      </c>
      <c r="D1133" s="272">
        <v>16</v>
      </c>
      <c r="E1133" s="77" t="s">
        <v>1373</v>
      </c>
      <c r="F1133" s="26">
        <v>4.0731999200000004</v>
      </c>
      <c r="G1133" s="72">
        <f t="shared" si="157"/>
        <v>175.14759656000001</v>
      </c>
      <c r="H1133" s="28">
        <f t="shared" si="158"/>
        <v>140.11807724800002</v>
      </c>
      <c r="I1133" s="20"/>
      <c r="J1133" s="62" t="s">
        <v>1314</v>
      </c>
      <c r="K1133" s="167" t="s">
        <v>778</v>
      </c>
      <c r="L1133" s="271" t="s">
        <v>86</v>
      </c>
      <c r="M1133" s="272">
        <v>80</v>
      </c>
      <c r="N1133" s="77" t="s">
        <v>1373</v>
      </c>
      <c r="O1133" s="77"/>
      <c r="P1133" s="26">
        <v>4.122329616</v>
      </c>
      <c r="Q1133" s="72">
        <f t="shared" si="155"/>
        <v>177.26017348799999</v>
      </c>
      <c r="R1133" s="28">
        <f t="shared" si="156"/>
        <v>141.80813879039999</v>
      </c>
    </row>
    <row r="1134" spans="1:18" ht="10.5" customHeight="1" x14ac:dyDescent="0.3">
      <c r="A1134" s="62" t="s">
        <v>1340</v>
      </c>
      <c r="B1134" s="167" t="s">
        <v>772</v>
      </c>
      <c r="C1134" s="271" t="s">
        <v>86</v>
      </c>
      <c r="D1134" s="272">
        <v>20</v>
      </c>
      <c r="E1134" s="77" t="s">
        <v>1373</v>
      </c>
      <c r="F1134" s="26">
        <v>4.0731999200000004</v>
      </c>
      <c r="G1134" s="72">
        <f t="shared" si="157"/>
        <v>175.14759656000001</v>
      </c>
      <c r="H1134" s="28">
        <f t="shared" si="158"/>
        <v>140.11807724800002</v>
      </c>
      <c r="I1134" s="20"/>
      <c r="J1134" s="62" t="s">
        <v>1316</v>
      </c>
      <c r="K1134" s="167" t="s">
        <v>778</v>
      </c>
      <c r="L1134" s="271" t="s">
        <v>86</v>
      </c>
      <c r="M1134" s="272">
        <v>90</v>
      </c>
      <c r="N1134" s="77" t="s">
        <v>1373</v>
      </c>
      <c r="O1134" s="77"/>
      <c r="P1134" s="26">
        <v>4.122329616</v>
      </c>
      <c r="Q1134" s="72">
        <f t="shared" si="155"/>
        <v>177.26017348799999</v>
      </c>
      <c r="R1134" s="28">
        <f t="shared" si="156"/>
        <v>141.80813879039999</v>
      </c>
    </row>
    <row r="1135" spans="1:18" ht="10.5" customHeight="1" x14ac:dyDescent="0.3">
      <c r="A1135" s="62" t="s">
        <v>1342</v>
      </c>
      <c r="B1135" s="167" t="s">
        <v>772</v>
      </c>
      <c r="C1135" s="271" t="s">
        <v>86</v>
      </c>
      <c r="D1135" s="272">
        <v>25</v>
      </c>
      <c r="E1135" s="77" t="s">
        <v>1373</v>
      </c>
      <c r="F1135" s="26">
        <v>4.0731999200000004</v>
      </c>
      <c r="G1135" s="72">
        <f t="shared" si="157"/>
        <v>175.14759656000001</v>
      </c>
      <c r="H1135" s="28">
        <f t="shared" si="158"/>
        <v>140.11807724800002</v>
      </c>
      <c r="I1135" s="20"/>
      <c r="J1135" s="62" t="s">
        <v>1318</v>
      </c>
      <c r="K1135" s="167" t="s">
        <v>778</v>
      </c>
      <c r="L1135" s="271" t="s">
        <v>86</v>
      </c>
      <c r="M1135" s="272">
        <v>100</v>
      </c>
      <c r="N1135" s="77" t="s">
        <v>1373</v>
      </c>
      <c r="O1135" s="77"/>
      <c r="P1135" s="26">
        <v>4.122329616</v>
      </c>
      <c r="Q1135" s="72">
        <f t="shared" si="155"/>
        <v>177.26017348799999</v>
      </c>
      <c r="R1135" s="28">
        <f t="shared" si="156"/>
        <v>141.80813879039999</v>
      </c>
    </row>
    <row r="1136" spans="1:18" ht="10.5" customHeight="1" x14ac:dyDescent="0.3">
      <c r="A1136" s="62" t="s">
        <v>1344</v>
      </c>
      <c r="B1136" s="167" t="s">
        <v>772</v>
      </c>
      <c r="C1136" s="271" t="s">
        <v>86</v>
      </c>
      <c r="D1136" s="272">
        <v>30</v>
      </c>
      <c r="E1136" s="77" t="s">
        <v>1373</v>
      </c>
      <c r="F1136" s="26">
        <v>4.0731999200000004</v>
      </c>
      <c r="G1136" s="72">
        <f t="shared" si="157"/>
        <v>175.14759656000001</v>
      </c>
      <c r="H1136" s="28">
        <f t="shared" si="158"/>
        <v>140.11807724800002</v>
      </c>
      <c r="I1136" s="20"/>
      <c r="J1136" s="62" t="s">
        <v>1322</v>
      </c>
      <c r="K1136" s="167" t="s">
        <v>778</v>
      </c>
      <c r="L1136" s="271" t="s">
        <v>86</v>
      </c>
      <c r="M1136" s="272">
        <v>140</v>
      </c>
      <c r="N1136" s="77" t="s">
        <v>1373</v>
      </c>
      <c r="O1136" s="77"/>
      <c r="P1136" s="26">
        <v>4.0859210019999992</v>
      </c>
      <c r="Q1136" s="72">
        <f t="shared" si="155"/>
        <v>175.69460308599997</v>
      </c>
      <c r="R1136" s="28">
        <f t="shared" si="156"/>
        <v>140.55568246879997</v>
      </c>
    </row>
    <row r="1137" spans="1:18" ht="10.5" customHeight="1" x14ac:dyDescent="0.3">
      <c r="A1137" s="62" t="s">
        <v>1348</v>
      </c>
      <c r="B1137" s="167" t="s">
        <v>772</v>
      </c>
      <c r="C1137" s="271" t="s">
        <v>86</v>
      </c>
      <c r="D1137" s="272">
        <v>40</v>
      </c>
      <c r="E1137" s="77" t="s">
        <v>1373</v>
      </c>
      <c r="F1137" s="26">
        <v>4.0731999200000004</v>
      </c>
      <c r="G1137" s="72">
        <f t="shared" si="157"/>
        <v>175.14759656000001</v>
      </c>
      <c r="H1137" s="28">
        <f t="shared" si="158"/>
        <v>140.11807724800002</v>
      </c>
      <c r="I1137" s="20"/>
      <c r="J1137" s="62" t="s">
        <v>1341</v>
      </c>
      <c r="K1137" s="167" t="s">
        <v>1095</v>
      </c>
      <c r="L1137" s="271" t="s">
        <v>86</v>
      </c>
      <c r="M1137" s="272">
        <v>50</v>
      </c>
      <c r="N1137" s="77" t="s">
        <v>1373</v>
      </c>
      <c r="O1137" s="77"/>
      <c r="P1137" s="26">
        <v>4.0859210019999992</v>
      </c>
      <c r="Q1137" s="72">
        <f t="shared" si="155"/>
        <v>175.69460308599997</v>
      </c>
      <c r="R1137" s="28">
        <f t="shared" si="156"/>
        <v>140.55568246879997</v>
      </c>
    </row>
    <row r="1138" spans="1:18" ht="10.5" customHeight="1" x14ac:dyDescent="0.3">
      <c r="A1138" s="62" t="s">
        <v>1350</v>
      </c>
      <c r="B1138" s="167" t="s">
        <v>772</v>
      </c>
      <c r="C1138" s="271" t="s">
        <v>86</v>
      </c>
      <c r="D1138" s="272">
        <v>50</v>
      </c>
      <c r="E1138" s="77" t="s">
        <v>1373</v>
      </c>
      <c r="F1138" s="26">
        <v>4.0731999200000004</v>
      </c>
      <c r="G1138" s="72">
        <f t="shared" si="157"/>
        <v>175.14759656000001</v>
      </c>
      <c r="H1138" s="28">
        <f t="shared" si="158"/>
        <v>140.11807724800002</v>
      </c>
      <c r="I1138" s="20"/>
      <c r="J1138" s="62" t="s">
        <v>1343</v>
      </c>
      <c r="K1138" s="167" t="s">
        <v>1095</v>
      </c>
      <c r="L1138" s="271" t="s">
        <v>86</v>
      </c>
      <c r="M1138" s="272">
        <v>60</v>
      </c>
      <c r="N1138" s="77" t="s">
        <v>1373</v>
      </c>
      <c r="O1138" s="77"/>
      <c r="P1138" s="26">
        <v>4.0859210019999992</v>
      </c>
      <c r="Q1138" s="72">
        <f t="shared" si="155"/>
        <v>175.69460308599997</v>
      </c>
      <c r="R1138" s="28">
        <f t="shared" si="156"/>
        <v>140.55568246879997</v>
      </c>
    </row>
    <row r="1139" spans="1:18" ht="10.5" customHeight="1" x14ac:dyDescent="0.3">
      <c r="A1139" s="62" t="s">
        <v>1352</v>
      </c>
      <c r="B1139" s="167" t="s">
        <v>772</v>
      </c>
      <c r="C1139" s="271" t="s">
        <v>86</v>
      </c>
      <c r="D1139" s="272">
        <v>60</v>
      </c>
      <c r="E1139" s="77" t="s">
        <v>1373</v>
      </c>
      <c r="F1139" s="26">
        <v>4.0731999200000004</v>
      </c>
      <c r="G1139" s="72">
        <f t="shared" si="157"/>
        <v>175.14759656000001</v>
      </c>
      <c r="H1139" s="28">
        <f t="shared" si="158"/>
        <v>140.11807724800002</v>
      </c>
      <c r="I1139" s="20"/>
      <c r="J1139" s="62" t="s">
        <v>1345</v>
      </c>
      <c r="K1139" s="167" t="s">
        <v>1095</v>
      </c>
      <c r="L1139" s="271" t="s">
        <v>86</v>
      </c>
      <c r="M1139" s="272">
        <v>70</v>
      </c>
      <c r="N1139" s="77" t="s">
        <v>1373</v>
      </c>
      <c r="O1139" s="77"/>
      <c r="P1139" s="26">
        <v>4.0859210019999992</v>
      </c>
      <c r="Q1139" s="72">
        <f t="shared" si="155"/>
        <v>175.69460308599997</v>
      </c>
      <c r="R1139" s="28">
        <f t="shared" si="156"/>
        <v>140.55568246879997</v>
      </c>
    </row>
    <row r="1140" spans="1:18" ht="10.5" customHeight="1" x14ac:dyDescent="0.3">
      <c r="A1140" s="62" t="s">
        <v>1354</v>
      </c>
      <c r="B1140" s="167" t="s">
        <v>772</v>
      </c>
      <c r="C1140" s="271" t="s">
        <v>86</v>
      </c>
      <c r="D1140" s="272">
        <v>70</v>
      </c>
      <c r="E1140" s="77" t="s">
        <v>1373</v>
      </c>
      <c r="F1140" s="26">
        <v>4.0731999200000004</v>
      </c>
      <c r="G1140" s="72">
        <f t="shared" si="157"/>
        <v>175.14759656000001</v>
      </c>
      <c r="H1140" s="28">
        <f t="shared" si="158"/>
        <v>140.11807724800002</v>
      </c>
      <c r="I1140" s="20"/>
      <c r="J1140" s="62" t="s">
        <v>1347</v>
      </c>
      <c r="K1140" s="167" t="s">
        <v>1095</v>
      </c>
      <c r="L1140" s="271" t="s">
        <v>86</v>
      </c>
      <c r="M1140" s="272">
        <v>80</v>
      </c>
      <c r="N1140" s="77" t="s">
        <v>1373</v>
      </c>
      <c r="O1140" s="77"/>
      <c r="P1140" s="26">
        <v>4.0859210019999992</v>
      </c>
      <c r="Q1140" s="72">
        <f t="shared" si="155"/>
        <v>175.69460308599997</v>
      </c>
      <c r="R1140" s="28">
        <f t="shared" si="156"/>
        <v>140.55568246879997</v>
      </c>
    </row>
    <row r="1141" spans="1:18" ht="10.5" customHeight="1" x14ac:dyDescent="0.3">
      <c r="A1141" s="62" t="s">
        <v>1356</v>
      </c>
      <c r="B1141" s="167" t="s">
        <v>772</v>
      </c>
      <c r="C1141" s="271" t="s">
        <v>86</v>
      </c>
      <c r="D1141" s="272">
        <v>80</v>
      </c>
      <c r="E1141" s="77" t="s">
        <v>1373</v>
      </c>
      <c r="F1141" s="26">
        <v>4.0731999200000004</v>
      </c>
      <c r="G1141" s="72">
        <f t="shared" si="157"/>
        <v>175.14759656000001</v>
      </c>
      <c r="H1141" s="28">
        <f t="shared" si="158"/>
        <v>140.11807724800002</v>
      </c>
      <c r="I1141" s="20"/>
      <c r="J1141" s="273" t="s">
        <v>1349</v>
      </c>
      <c r="K1141" s="40" t="s">
        <v>1095</v>
      </c>
      <c r="L1141" s="274" t="s">
        <v>86</v>
      </c>
      <c r="M1141" s="275">
        <v>90</v>
      </c>
      <c r="N1141" s="276" t="s">
        <v>1373</v>
      </c>
      <c r="O1141" s="276"/>
      <c r="P1141" s="36">
        <v>4.0859210019999992</v>
      </c>
      <c r="Q1141" s="72">
        <f t="shared" si="155"/>
        <v>175.69460308599997</v>
      </c>
      <c r="R1141" s="38">
        <f t="shared" si="156"/>
        <v>140.55568246879997</v>
      </c>
    </row>
    <row r="1142" spans="1:18" ht="10.5" customHeight="1" x14ac:dyDescent="0.3">
      <c r="A1142" s="62" t="s">
        <v>1358</v>
      </c>
      <c r="B1142" s="167" t="s">
        <v>772</v>
      </c>
      <c r="C1142" s="271" t="s">
        <v>86</v>
      </c>
      <c r="D1142" s="272">
        <v>90</v>
      </c>
      <c r="E1142" s="77" t="s">
        <v>1373</v>
      </c>
      <c r="F1142" s="26">
        <v>4.0731999200000004</v>
      </c>
      <c r="G1142" s="72">
        <f t="shared" si="157"/>
        <v>175.14759656000001</v>
      </c>
      <c r="H1142" s="28">
        <f t="shared" si="158"/>
        <v>140.11807724800002</v>
      </c>
      <c r="I1142" s="20"/>
      <c r="J1142" s="273" t="s">
        <v>1355</v>
      </c>
      <c r="K1142" s="22" t="s">
        <v>1095</v>
      </c>
      <c r="L1142" s="277" t="s">
        <v>86</v>
      </c>
      <c r="M1142" s="218">
        <v>140</v>
      </c>
      <c r="N1142" s="25" t="s">
        <v>1373</v>
      </c>
      <c r="O1142" s="35"/>
      <c r="P1142" s="36">
        <v>4.0682449999999992</v>
      </c>
      <c r="Q1142" s="72">
        <f t="shared" si="155"/>
        <v>174.93453499999995</v>
      </c>
      <c r="R1142" s="38">
        <f t="shared" si="156"/>
        <v>139.94762799999995</v>
      </c>
    </row>
    <row r="1143" spans="1:18" ht="10.5" customHeight="1" x14ac:dyDescent="0.3">
      <c r="A1143" s="62" t="s">
        <v>1360</v>
      </c>
      <c r="B1143" s="167" t="s">
        <v>772</v>
      </c>
      <c r="C1143" s="271" t="s">
        <v>86</v>
      </c>
      <c r="D1143" s="272">
        <v>100</v>
      </c>
      <c r="E1143" s="77" t="s">
        <v>1373</v>
      </c>
      <c r="F1143" s="26">
        <v>4.0682449999999992</v>
      </c>
      <c r="G1143" s="72">
        <f t="shared" si="157"/>
        <v>174.93453499999995</v>
      </c>
      <c r="H1143" s="28">
        <f t="shared" si="158"/>
        <v>139.94762799999995</v>
      </c>
      <c r="I1143" s="20"/>
      <c r="J1143" s="273" t="s">
        <v>1357</v>
      </c>
      <c r="K1143" s="22" t="s">
        <v>1095</v>
      </c>
      <c r="L1143" s="277" t="s">
        <v>86</v>
      </c>
      <c r="M1143" s="218">
        <v>160</v>
      </c>
      <c r="N1143" s="35" t="s">
        <v>1373</v>
      </c>
      <c r="O1143" s="35"/>
      <c r="P1143" s="36">
        <v>4.0682449999999992</v>
      </c>
      <c r="Q1143" s="72">
        <f t="shared" si="155"/>
        <v>174.93453499999995</v>
      </c>
      <c r="R1143" s="38">
        <f t="shared" si="156"/>
        <v>139.94762799999995</v>
      </c>
    </row>
    <row r="1144" spans="1:18" ht="10.5" customHeight="1" x14ac:dyDescent="0.3">
      <c r="A1144" s="62" t="s">
        <v>1362</v>
      </c>
      <c r="B1144" s="167" t="s">
        <v>772</v>
      </c>
      <c r="C1144" s="271" t="s">
        <v>86</v>
      </c>
      <c r="D1144" s="272">
        <v>120</v>
      </c>
      <c r="E1144" s="77" t="s">
        <v>1373</v>
      </c>
      <c r="F1144" s="26">
        <v>4.0682449999999992</v>
      </c>
      <c r="G1144" s="72">
        <f t="shared" si="157"/>
        <v>174.93453499999995</v>
      </c>
      <c r="H1144" s="28">
        <f t="shared" si="158"/>
        <v>139.94762799999995</v>
      </c>
      <c r="I1144" s="83"/>
      <c r="J1144" s="62" t="s">
        <v>1369</v>
      </c>
      <c r="K1144" s="167" t="s">
        <v>1102</v>
      </c>
      <c r="L1144" s="271" t="s">
        <v>86</v>
      </c>
      <c r="M1144" s="272">
        <v>140</v>
      </c>
      <c r="N1144" s="25" t="s">
        <v>1373</v>
      </c>
      <c r="O1144" s="25"/>
      <c r="P1144" s="26">
        <v>4.0682449999999992</v>
      </c>
      <c r="Q1144" s="72">
        <f t="shared" si="155"/>
        <v>174.93453499999995</v>
      </c>
      <c r="R1144" s="28">
        <f t="shared" si="156"/>
        <v>139.94762799999995</v>
      </c>
    </row>
    <row r="1145" spans="1:18" ht="10.5" customHeight="1" x14ac:dyDescent="0.3">
      <c r="A1145" s="20"/>
      <c r="B1145" s="20"/>
      <c r="C1145" s="20"/>
      <c r="D1145" s="20"/>
      <c r="E1145" s="20"/>
      <c r="F1145" s="20"/>
      <c r="G1145" s="20"/>
      <c r="H1145" s="20"/>
      <c r="I1145" s="20"/>
      <c r="J1145" s="20"/>
      <c r="K1145" s="20"/>
      <c r="L1145" s="20"/>
      <c r="M1145" s="20"/>
      <c r="N1145" s="20"/>
      <c r="O1145" s="20"/>
      <c r="P1145" s="20"/>
      <c r="Q1145" s="20"/>
      <c r="R1145" s="20"/>
    </row>
    <row r="1146" spans="1:18" ht="10.5" customHeight="1" x14ac:dyDescent="0.3">
      <c r="A1146" s="166" t="s">
        <v>1374</v>
      </c>
      <c r="B1146" s="48" t="s">
        <v>1283</v>
      </c>
      <c r="C1146" s="49"/>
      <c r="D1146" s="49"/>
      <c r="E1146" s="49"/>
      <c r="F1146" s="49"/>
      <c r="G1146" s="49"/>
      <c r="H1146" s="49"/>
      <c r="I1146" s="49"/>
      <c r="J1146" s="446" t="s">
        <v>78</v>
      </c>
      <c r="K1146" s="477" t="s">
        <v>79</v>
      </c>
      <c r="L1146" s="477"/>
      <c r="M1146" s="477"/>
      <c r="N1146" s="473" t="s">
        <v>80</v>
      </c>
      <c r="O1146" s="434"/>
      <c r="P1146" s="61"/>
      <c r="Q1146" s="16" t="s">
        <v>81</v>
      </c>
      <c r="R1146" s="17" t="s">
        <v>82</v>
      </c>
    </row>
    <row r="1147" spans="1:18" ht="10.5" customHeight="1" thickTop="1" x14ac:dyDescent="0.3">
      <c r="A1147" s="18"/>
      <c r="B1147" s="20"/>
      <c r="C1147" s="20"/>
      <c r="D1147" s="20"/>
      <c r="E1147" s="20"/>
      <c r="F1147" s="20"/>
      <c r="G1147" s="20"/>
      <c r="H1147" s="20"/>
      <c r="I1147" s="20"/>
      <c r="J1147" s="446"/>
      <c r="K1147" s="477"/>
      <c r="L1147" s="477"/>
      <c r="M1147" s="477"/>
      <c r="N1147" s="473"/>
      <c r="O1147" s="369"/>
      <c r="P1147" s="68"/>
      <c r="Q1147" s="69" t="s">
        <v>84</v>
      </c>
      <c r="R1147" s="15" t="s">
        <v>84</v>
      </c>
    </row>
    <row r="1148" spans="1:18" ht="10.5" customHeight="1" x14ac:dyDescent="0.3">
      <c r="A1148" s="18"/>
      <c r="B1148" s="20"/>
      <c r="C1148" s="20"/>
      <c r="D1148" s="20"/>
      <c r="E1148" s="20"/>
      <c r="F1148" s="20"/>
      <c r="G1148" s="20"/>
      <c r="H1148" s="20"/>
      <c r="I1148" s="20"/>
      <c r="J1148" s="282" t="s">
        <v>1375</v>
      </c>
      <c r="K1148" s="261" t="s">
        <v>1376</v>
      </c>
      <c r="L1148" s="217" t="s">
        <v>86</v>
      </c>
      <c r="M1148" s="24" t="s">
        <v>1377</v>
      </c>
      <c r="N1148" s="25">
        <v>100</v>
      </c>
      <c r="O1148" s="25"/>
      <c r="P1148" s="26">
        <v>21.005854892733566</v>
      </c>
      <c r="Q1148" s="283">
        <f t="shared" ref="Q1148:Q1182" si="159">P1148*$F$10</f>
        <v>903.2517603875433</v>
      </c>
      <c r="R1148" s="28">
        <f t="shared" ref="R1148:R1182" si="160">Q1148-Q1148*0.2</f>
        <v>722.60140831003469</v>
      </c>
    </row>
    <row r="1149" spans="1:18" ht="10.5" customHeight="1" x14ac:dyDescent="0.3">
      <c r="A1149" s="18"/>
      <c r="B1149" s="20"/>
      <c r="C1149" s="20"/>
      <c r="D1149" s="20"/>
      <c r="E1149" s="20"/>
      <c r="F1149" s="20"/>
      <c r="G1149" s="20"/>
      <c r="H1149" s="20"/>
      <c r="I1149" s="20"/>
      <c r="J1149" s="282" t="s">
        <v>1378</v>
      </c>
      <c r="K1149" s="261" t="s">
        <v>1376</v>
      </c>
      <c r="L1149" s="217" t="s">
        <v>86</v>
      </c>
      <c r="M1149" s="24" t="s">
        <v>1379</v>
      </c>
      <c r="N1149" s="25">
        <v>100</v>
      </c>
      <c r="O1149" s="25"/>
      <c r="P1149" s="26">
        <v>23.096574999999998</v>
      </c>
      <c r="Q1149" s="283">
        <f t="shared" si="159"/>
        <v>993.15272499999992</v>
      </c>
      <c r="R1149" s="28">
        <f t="shared" si="160"/>
        <v>794.52217999999993</v>
      </c>
    </row>
    <row r="1150" spans="1:18" ht="10.5" customHeight="1" x14ac:dyDescent="0.3">
      <c r="A1150" s="18"/>
      <c r="B1150" s="20"/>
      <c r="C1150" s="20"/>
      <c r="D1150" s="20"/>
      <c r="E1150" s="20"/>
      <c r="F1150" s="20"/>
      <c r="G1150" s="20"/>
      <c r="H1150" s="20"/>
      <c r="I1150" s="20"/>
      <c r="J1150" s="282" t="s">
        <v>1380</v>
      </c>
      <c r="K1150" s="261" t="s">
        <v>1376</v>
      </c>
      <c r="L1150" s="217" t="s">
        <v>86</v>
      </c>
      <c r="M1150" s="24" t="s">
        <v>1381</v>
      </c>
      <c r="N1150" s="25">
        <v>100</v>
      </c>
      <c r="O1150" s="25"/>
      <c r="P1150" s="26">
        <v>26.704419299999998</v>
      </c>
      <c r="Q1150" s="111">
        <f t="shared" si="159"/>
        <v>1148.2900298999998</v>
      </c>
      <c r="R1150" s="28">
        <f t="shared" si="160"/>
        <v>918.63202391999982</v>
      </c>
    </row>
    <row r="1151" spans="1:18" ht="10.5" customHeight="1" x14ac:dyDescent="0.3">
      <c r="A1151" s="262" t="s">
        <v>1382</v>
      </c>
      <c r="B1151" s="20"/>
      <c r="C1151" s="20"/>
      <c r="D1151" s="20"/>
      <c r="E1151" s="20"/>
      <c r="F1151" s="20"/>
      <c r="G1151" s="20"/>
      <c r="H1151" s="20"/>
      <c r="I1151" s="20"/>
      <c r="J1151" s="282" t="s">
        <v>1380</v>
      </c>
      <c r="K1151" s="261" t="s">
        <v>1376</v>
      </c>
      <c r="L1151" s="217" t="s">
        <v>86</v>
      </c>
      <c r="M1151" s="24" t="s">
        <v>126</v>
      </c>
      <c r="N1151" s="25">
        <v>100</v>
      </c>
      <c r="O1151" s="25"/>
      <c r="P1151" s="26">
        <v>31.928118066666663</v>
      </c>
      <c r="Q1151" s="111">
        <f t="shared" si="159"/>
        <v>1372.9090768666665</v>
      </c>
      <c r="R1151" s="28">
        <f t="shared" si="160"/>
        <v>1098.3272614933333</v>
      </c>
    </row>
    <row r="1152" spans="1:18" ht="10.5" customHeight="1" x14ac:dyDescent="0.3">
      <c r="A1152" s="262" t="s">
        <v>1383</v>
      </c>
      <c r="B1152" s="20"/>
      <c r="C1152" s="20"/>
      <c r="D1152" s="20"/>
      <c r="E1152" s="20"/>
      <c r="F1152" s="20"/>
      <c r="G1152" s="20"/>
      <c r="H1152" s="20"/>
      <c r="I1152" s="20"/>
      <c r="J1152" s="282" t="s">
        <v>1384</v>
      </c>
      <c r="K1152" s="261" t="s">
        <v>1385</v>
      </c>
      <c r="L1152" s="217" t="s">
        <v>86</v>
      </c>
      <c r="M1152" s="24" t="s">
        <v>43</v>
      </c>
      <c r="N1152" s="25">
        <v>100</v>
      </c>
      <c r="O1152" s="25"/>
      <c r="P1152" s="26">
        <v>18.605661522222221</v>
      </c>
      <c r="Q1152" s="111">
        <f t="shared" si="159"/>
        <v>800.04344545555546</v>
      </c>
      <c r="R1152" s="28">
        <f t="shared" si="160"/>
        <v>640.03475636444432</v>
      </c>
    </row>
    <row r="1153" spans="1:18" ht="10.5" customHeight="1" thickBot="1" x14ac:dyDescent="0.35">
      <c r="A1153" s="446" t="s">
        <v>78</v>
      </c>
      <c r="B1153" s="477" t="s">
        <v>79</v>
      </c>
      <c r="C1153" s="477"/>
      <c r="D1153" s="477"/>
      <c r="E1153" s="473" t="s">
        <v>80</v>
      </c>
      <c r="F1153" s="61"/>
      <c r="G1153" s="16" t="s">
        <v>81</v>
      </c>
      <c r="H1153" s="17" t="s">
        <v>82</v>
      </c>
      <c r="I1153" s="20"/>
      <c r="J1153" s="282" t="s">
        <v>1386</v>
      </c>
      <c r="K1153" s="261" t="s">
        <v>1385</v>
      </c>
      <c r="L1153" s="217" t="s">
        <v>86</v>
      </c>
      <c r="M1153" s="24" t="s">
        <v>50</v>
      </c>
      <c r="N1153" s="25">
        <v>100</v>
      </c>
      <c r="O1153" s="25"/>
      <c r="P1153" s="26">
        <v>19.717149999999997</v>
      </c>
      <c r="Q1153" s="111">
        <f t="shared" si="159"/>
        <v>847.83744999999988</v>
      </c>
      <c r="R1153" s="28">
        <f t="shared" si="160"/>
        <v>678.26995999999986</v>
      </c>
    </row>
    <row r="1154" spans="1:18" ht="10.5" customHeight="1" thickTop="1" x14ac:dyDescent="0.3">
      <c r="A1154" s="446"/>
      <c r="B1154" s="477"/>
      <c r="C1154" s="477"/>
      <c r="D1154" s="477"/>
      <c r="E1154" s="473"/>
      <c r="F1154" s="68"/>
      <c r="G1154" s="69" t="s">
        <v>84</v>
      </c>
      <c r="H1154" s="15" t="s">
        <v>84</v>
      </c>
      <c r="I1154" s="20"/>
      <c r="J1154" s="282" t="s">
        <v>1386</v>
      </c>
      <c r="K1154" s="261" t="s">
        <v>1385</v>
      </c>
      <c r="L1154" s="217" t="s">
        <v>86</v>
      </c>
      <c r="M1154" s="24" t="s">
        <v>56</v>
      </c>
      <c r="N1154" s="25">
        <v>100</v>
      </c>
      <c r="O1154" s="25"/>
      <c r="P1154" s="26">
        <v>22.264784110726644</v>
      </c>
      <c r="Q1154" s="111">
        <f t="shared" si="159"/>
        <v>957.3857167612457</v>
      </c>
      <c r="R1154" s="28">
        <f t="shared" si="160"/>
        <v>765.90857340899652</v>
      </c>
    </row>
    <row r="1155" spans="1:18" ht="10.5" customHeight="1" x14ac:dyDescent="0.3">
      <c r="A1155" s="284" t="s">
        <v>1387</v>
      </c>
      <c r="B1155" s="204" t="s">
        <v>1388</v>
      </c>
      <c r="C1155" s="217" t="s">
        <v>86</v>
      </c>
      <c r="D1155" s="285" t="s">
        <v>20</v>
      </c>
      <c r="E1155" s="25">
        <v>100</v>
      </c>
      <c r="F1155" s="419">
        <v>3.1251199599999997</v>
      </c>
      <c r="G1155" s="283">
        <f t="shared" ref="G1155:G1183" si="161">F1155*$F$10</f>
        <v>134.38015827999999</v>
      </c>
      <c r="H1155" s="28">
        <f t="shared" ref="H1155:H1183" si="162">G1155-G1155*0.2</f>
        <v>107.50412662399999</v>
      </c>
      <c r="I1155" s="20"/>
      <c r="J1155" s="282" t="s">
        <v>1389</v>
      </c>
      <c r="K1155" s="261" t="s">
        <v>1385</v>
      </c>
      <c r="L1155" s="217" t="s">
        <v>86</v>
      </c>
      <c r="M1155" s="24" t="s">
        <v>1390</v>
      </c>
      <c r="N1155" s="25">
        <v>100</v>
      </c>
      <c r="O1155" s="25"/>
      <c r="P1155" s="26">
        <v>24.659482961111109</v>
      </c>
      <c r="Q1155" s="111">
        <f t="shared" si="159"/>
        <v>1060.3577673277778</v>
      </c>
      <c r="R1155" s="28">
        <f t="shared" si="160"/>
        <v>848.28621386222221</v>
      </c>
    </row>
    <row r="1156" spans="1:18" ht="10.5" customHeight="1" x14ac:dyDescent="0.3">
      <c r="A1156" s="284" t="s">
        <v>1391</v>
      </c>
      <c r="B1156" s="204" t="s">
        <v>1388</v>
      </c>
      <c r="C1156" s="217" t="s">
        <v>86</v>
      </c>
      <c r="D1156" s="285" t="s">
        <v>43</v>
      </c>
      <c r="E1156" s="25">
        <v>100</v>
      </c>
      <c r="F1156" s="419">
        <v>4.2228819200000007</v>
      </c>
      <c r="G1156" s="283">
        <f t="shared" si="161"/>
        <v>181.58392256000002</v>
      </c>
      <c r="H1156" s="28">
        <f t="shared" si="162"/>
        <v>145.26713804800002</v>
      </c>
      <c r="I1156" s="20"/>
      <c r="J1156" s="282" t="s">
        <v>1392</v>
      </c>
      <c r="K1156" s="261" t="s">
        <v>1385</v>
      </c>
      <c r="L1156" s="217" t="s">
        <v>86</v>
      </c>
      <c r="M1156" s="24" t="s">
        <v>192</v>
      </c>
      <c r="N1156" s="25">
        <v>100</v>
      </c>
      <c r="O1156" s="25"/>
      <c r="P1156" s="26">
        <v>26.480289522491351</v>
      </c>
      <c r="Q1156" s="111">
        <f t="shared" si="159"/>
        <v>1138.652449467128</v>
      </c>
      <c r="R1156" s="28">
        <f t="shared" si="160"/>
        <v>910.92195957370245</v>
      </c>
    </row>
    <row r="1157" spans="1:18" ht="10.5" customHeight="1" x14ac:dyDescent="0.3">
      <c r="A1157" s="284" t="s">
        <v>1393</v>
      </c>
      <c r="B1157" s="204" t="s">
        <v>1388</v>
      </c>
      <c r="C1157" s="217" t="s">
        <v>86</v>
      </c>
      <c r="D1157" s="285" t="s">
        <v>1390</v>
      </c>
      <c r="E1157" s="25">
        <v>100</v>
      </c>
      <c r="F1157" s="419">
        <v>4.6781199999999989</v>
      </c>
      <c r="G1157" s="283">
        <f t="shared" si="161"/>
        <v>201.15915999999996</v>
      </c>
      <c r="H1157" s="28">
        <f t="shared" si="162"/>
        <v>160.92732799999996</v>
      </c>
      <c r="I1157" s="20"/>
      <c r="J1157" s="282" t="s">
        <v>1394</v>
      </c>
      <c r="K1157" s="261" t="s">
        <v>1385</v>
      </c>
      <c r="L1157" s="217" t="s">
        <v>86</v>
      </c>
      <c r="M1157" s="24" t="s">
        <v>157</v>
      </c>
      <c r="N1157" s="25">
        <v>100</v>
      </c>
      <c r="O1157" s="25"/>
      <c r="P1157" s="26">
        <v>30.020275000000002</v>
      </c>
      <c r="Q1157" s="111">
        <f t="shared" si="159"/>
        <v>1290.8718250000002</v>
      </c>
      <c r="R1157" s="28">
        <f t="shared" si="160"/>
        <v>1032.6974600000001</v>
      </c>
    </row>
    <row r="1158" spans="1:18" ht="10.5" customHeight="1" x14ac:dyDescent="0.3">
      <c r="A1158" s="284" t="s">
        <v>1395</v>
      </c>
      <c r="B1158" s="204" t="s">
        <v>1396</v>
      </c>
      <c r="C1158" s="217" t="s">
        <v>86</v>
      </c>
      <c r="D1158" s="285" t="s">
        <v>20</v>
      </c>
      <c r="E1158" s="25">
        <v>100</v>
      </c>
      <c r="F1158" s="419">
        <v>3.2787624277777772</v>
      </c>
      <c r="G1158" s="283">
        <f t="shared" si="161"/>
        <v>140.98678439444441</v>
      </c>
      <c r="H1158" s="28">
        <f t="shared" si="162"/>
        <v>112.78942751555553</v>
      </c>
      <c r="I1158" s="20"/>
      <c r="J1158" s="282" t="s">
        <v>1397</v>
      </c>
      <c r="K1158" s="261" t="s">
        <v>1385</v>
      </c>
      <c r="L1158" s="217" t="s">
        <v>86</v>
      </c>
      <c r="M1158" s="24" t="s">
        <v>1377</v>
      </c>
      <c r="N1158" s="25">
        <v>100</v>
      </c>
      <c r="O1158" s="25"/>
      <c r="P1158" s="26">
        <v>34.306375000000003</v>
      </c>
      <c r="Q1158" s="111">
        <f t="shared" si="159"/>
        <v>1475.174125</v>
      </c>
      <c r="R1158" s="28">
        <f t="shared" si="160"/>
        <v>1180.1393</v>
      </c>
    </row>
    <row r="1159" spans="1:18" ht="10.5" customHeight="1" x14ac:dyDescent="0.3">
      <c r="A1159" s="284" t="s">
        <v>1398</v>
      </c>
      <c r="B1159" s="204" t="s">
        <v>1396</v>
      </c>
      <c r="C1159" s="217" t="s">
        <v>86</v>
      </c>
      <c r="D1159" s="285" t="s">
        <v>43</v>
      </c>
      <c r="E1159" s="25">
        <v>100</v>
      </c>
      <c r="F1159" s="419">
        <v>4.3930823055555539</v>
      </c>
      <c r="G1159" s="283">
        <f t="shared" si="161"/>
        <v>188.90253913888881</v>
      </c>
      <c r="H1159" s="28">
        <f t="shared" si="162"/>
        <v>151.12203131111104</v>
      </c>
      <c r="I1159" s="20"/>
      <c r="J1159" s="282" t="s">
        <v>1399</v>
      </c>
      <c r="K1159" s="261" t="s">
        <v>1385</v>
      </c>
      <c r="L1159" s="217" t="s">
        <v>86</v>
      </c>
      <c r="M1159" s="24" t="s">
        <v>1381</v>
      </c>
      <c r="N1159" s="25">
        <v>100</v>
      </c>
      <c r="O1159" s="25"/>
      <c r="P1159" s="26">
        <v>44.035760944444434</v>
      </c>
      <c r="Q1159" s="111">
        <f t="shared" si="159"/>
        <v>1893.5377206111107</v>
      </c>
      <c r="R1159" s="28">
        <f t="shared" si="160"/>
        <v>1514.8301764888886</v>
      </c>
    </row>
    <row r="1160" spans="1:18" ht="10.5" customHeight="1" x14ac:dyDescent="0.3">
      <c r="A1160" s="284" t="s">
        <v>1400</v>
      </c>
      <c r="B1160" s="204" t="s">
        <v>1396</v>
      </c>
      <c r="C1160" s="217" t="s">
        <v>86</v>
      </c>
      <c r="D1160" s="285" t="s">
        <v>50</v>
      </c>
      <c r="E1160" s="25">
        <v>100</v>
      </c>
      <c r="F1160" s="419">
        <v>5.2022173999999985</v>
      </c>
      <c r="G1160" s="283">
        <f t="shared" si="161"/>
        <v>223.69534819999993</v>
      </c>
      <c r="H1160" s="28">
        <f t="shared" si="162"/>
        <v>178.95627855999993</v>
      </c>
      <c r="I1160" s="20"/>
      <c r="J1160" s="282" t="s">
        <v>1401</v>
      </c>
      <c r="K1160" s="261" t="s">
        <v>1385</v>
      </c>
      <c r="L1160" s="217" t="s">
        <v>86</v>
      </c>
      <c r="M1160" s="24" t="s">
        <v>126</v>
      </c>
      <c r="N1160" s="25">
        <v>100</v>
      </c>
      <c r="O1160" s="25"/>
      <c r="P1160" s="26">
        <v>50.688888888888883</v>
      </c>
      <c r="Q1160" s="111">
        <f t="shared" si="159"/>
        <v>2179.6222222222218</v>
      </c>
      <c r="R1160" s="28">
        <f t="shared" si="160"/>
        <v>1743.6977777777774</v>
      </c>
    </row>
    <row r="1161" spans="1:18" ht="10.5" customHeight="1" x14ac:dyDescent="0.3">
      <c r="A1161" s="284" t="s">
        <v>1402</v>
      </c>
      <c r="B1161" s="204" t="s">
        <v>1396</v>
      </c>
      <c r="C1161" s="217" t="s">
        <v>86</v>
      </c>
      <c r="D1161" s="24" t="s">
        <v>56</v>
      </c>
      <c r="E1161" s="25">
        <v>100</v>
      </c>
      <c r="F1161" s="26">
        <v>5.8906118111111079</v>
      </c>
      <c r="G1161" s="283">
        <f t="shared" si="161"/>
        <v>253.29630787777765</v>
      </c>
      <c r="H1161" s="28">
        <f t="shared" si="162"/>
        <v>202.63704630222213</v>
      </c>
      <c r="I1161" s="20"/>
      <c r="J1161" s="282" t="s">
        <v>1403</v>
      </c>
      <c r="K1161" s="261" t="s">
        <v>1404</v>
      </c>
      <c r="L1161" s="217" t="s">
        <v>86</v>
      </c>
      <c r="M1161" s="24" t="s">
        <v>43</v>
      </c>
      <c r="N1161" s="25">
        <v>100</v>
      </c>
      <c r="O1161" s="25"/>
      <c r="P1161" s="26">
        <v>27.739218740484432</v>
      </c>
      <c r="Q1161" s="111">
        <f t="shared" si="159"/>
        <v>1192.7864058408306</v>
      </c>
      <c r="R1161" s="28">
        <f t="shared" si="160"/>
        <v>954.22912467266451</v>
      </c>
    </row>
    <row r="1162" spans="1:18" ht="10.5" customHeight="1" x14ac:dyDescent="0.3">
      <c r="A1162" s="284" t="s">
        <v>1405</v>
      </c>
      <c r="B1162" s="204" t="s">
        <v>1396</v>
      </c>
      <c r="C1162" s="217" t="s">
        <v>86</v>
      </c>
      <c r="D1162" s="24" t="s">
        <v>1390</v>
      </c>
      <c r="E1162" s="25">
        <v>100</v>
      </c>
      <c r="F1162" s="26">
        <v>6.6195000111111097</v>
      </c>
      <c r="G1162" s="283">
        <f t="shared" si="161"/>
        <v>284.63850047777771</v>
      </c>
      <c r="H1162" s="28">
        <f t="shared" si="162"/>
        <v>227.71080038222217</v>
      </c>
      <c r="I1162" s="20"/>
      <c r="J1162" s="282" t="s">
        <v>1406</v>
      </c>
      <c r="K1162" s="261" t="s">
        <v>1404</v>
      </c>
      <c r="L1162" s="217" t="s">
        <v>86</v>
      </c>
      <c r="M1162" s="24" t="s">
        <v>50</v>
      </c>
      <c r="N1162" s="25">
        <v>100</v>
      </c>
      <c r="O1162" s="25"/>
      <c r="P1162" s="26">
        <v>29.551313826989617</v>
      </c>
      <c r="Q1162" s="111">
        <f t="shared" si="159"/>
        <v>1270.7064945605534</v>
      </c>
      <c r="R1162" s="28">
        <f t="shared" si="160"/>
        <v>1016.5651956484428</v>
      </c>
    </row>
    <row r="1163" spans="1:18" ht="10.5" customHeight="1" x14ac:dyDescent="0.3">
      <c r="A1163" s="282" t="s">
        <v>1407</v>
      </c>
      <c r="B1163" s="261" t="s">
        <v>1396</v>
      </c>
      <c r="C1163" s="217" t="s">
        <v>86</v>
      </c>
      <c r="D1163" s="24" t="s">
        <v>192</v>
      </c>
      <c r="E1163" s="25">
        <v>100</v>
      </c>
      <c r="F1163" s="26">
        <v>7.2674006333333301</v>
      </c>
      <c r="G1163" s="283">
        <f t="shared" si="161"/>
        <v>312.49822723333318</v>
      </c>
      <c r="H1163" s="28">
        <f t="shared" si="162"/>
        <v>249.99858178666653</v>
      </c>
      <c r="I1163" s="20"/>
      <c r="J1163" s="282" t="s">
        <v>1408</v>
      </c>
      <c r="K1163" s="261" t="s">
        <v>1404</v>
      </c>
      <c r="L1163" s="217" t="s">
        <v>86</v>
      </c>
      <c r="M1163" s="24" t="s">
        <v>56</v>
      </c>
      <c r="N1163" s="25">
        <v>100</v>
      </c>
      <c r="O1163" s="25"/>
      <c r="P1163" s="26">
        <v>31.97379883737025</v>
      </c>
      <c r="Q1163" s="111">
        <f t="shared" si="159"/>
        <v>1374.8733500069206</v>
      </c>
      <c r="R1163" s="28">
        <f t="shared" si="160"/>
        <v>1099.8986800055366</v>
      </c>
    </row>
    <row r="1164" spans="1:18" ht="10.5" customHeight="1" x14ac:dyDescent="0.3">
      <c r="A1164" s="282" t="s">
        <v>1409</v>
      </c>
      <c r="B1164" s="261" t="s">
        <v>1396</v>
      </c>
      <c r="C1164" s="217" t="s">
        <v>86</v>
      </c>
      <c r="D1164" s="24" t="s">
        <v>157</v>
      </c>
      <c r="E1164" s="25">
        <v>100</v>
      </c>
      <c r="F1164" s="26">
        <v>8.7156708222222203</v>
      </c>
      <c r="G1164" s="283">
        <f t="shared" si="161"/>
        <v>374.77384535555547</v>
      </c>
      <c r="H1164" s="28">
        <f t="shared" si="162"/>
        <v>299.81907628444435</v>
      </c>
      <c r="I1164" s="176"/>
      <c r="J1164" s="282" t="s">
        <v>1410</v>
      </c>
      <c r="K1164" s="261" t="s">
        <v>1404</v>
      </c>
      <c r="L1164" s="217" t="s">
        <v>86</v>
      </c>
      <c r="M1164" s="24" t="s">
        <v>1390</v>
      </c>
      <c r="N1164" s="25">
        <v>100</v>
      </c>
      <c r="O1164" s="25"/>
      <c r="P1164" s="26">
        <v>35.451077699999985</v>
      </c>
      <c r="Q1164" s="111">
        <f t="shared" si="159"/>
        <v>1524.3963410999993</v>
      </c>
      <c r="R1164" s="28">
        <f t="shared" si="160"/>
        <v>1219.5170728799994</v>
      </c>
    </row>
    <row r="1165" spans="1:18" ht="10.5" customHeight="1" x14ac:dyDescent="0.3">
      <c r="A1165" s="282" t="s">
        <v>1411</v>
      </c>
      <c r="B1165" s="261" t="s">
        <v>1396</v>
      </c>
      <c r="C1165" s="217" t="s">
        <v>86</v>
      </c>
      <c r="D1165" s="24" t="s">
        <v>1377</v>
      </c>
      <c r="E1165" s="25">
        <v>100</v>
      </c>
      <c r="F1165" s="26">
        <v>10.830854055555553</v>
      </c>
      <c r="G1165" s="283">
        <f t="shared" si="161"/>
        <v>465.72672438888878</v>
      </c>
      <c r="H1165" s="28">
        <f t="shared" si="162"/>
        <v>372.58137951111104</v>
      </c>
      <c r="I1165" s="176"/>
      <c r="J1165" s="282" t="s">
        <v>1412</v>
      </c>
      <c r="K1165" s="261" t="s">
        <v>1404</v>
      </c>
      <c r="L1165" s="217" t="s">
        <v>86</v>
      </c>
      <c r="M1165" s="24" t="s">
        <v>192</v>
      </c>
      <c r="N1165" s="25">
        <v>100</v>
      </c>
      <c r="O1165" s="25"/>
      <c r="P1165" s="26">
        <v>38.548852549999992</v>
      </c>
      <c r="Q1165" s="111">
        <f t="shared" si="159"/>
        <v>1657.6006596499997</v>
      </c>
      <c r="R1165" s="28">
        <f t="shared" si="160"/>
        <v>1326.0805277199997</v>
      </c>
    </row>
    <row r="1166" spans="1:18" ht="10.5" customHeight="1" x14ac:dyDescent="0.3">
      <c r="A1166" s="282" t="s">
        <v>1413</v>
      </c>
      <c r="B1166" s="261" t="s">
        <v>1414</v>
      </c>
      <c r="C1166" s="217" t="s">
        <v>86</v>
      </c>
      <c r="D1166" s="24" t="s">
        <v>23</v>
      </c>
      <c r="E1166" s="25">
        <v>100</v>
      </c>
      <c r="F1166" s="26">
        <v>4.4530823055555535</v>
      </c>
      <c r="G1166" s="283">
        <f t="shared" si="161"/>
        <v>191.4825391388888</v>
      </c>
      <c r="H1166" s="28">
        <f t="shared" si="162"/>
        <v>153.18603131111104</v>
      </c>
      <c r="I1166" s="20"/>
      <c r="J1166" s="282" t="s">
        <v>1415</v>
      </c>
      <c r="K1166" s="261" t="s">
        <v>1404</v>
      </c>
      <c r="L1166" s="217" t="s">
        <v>86</v>
      </c>
      <c r="M1166" s="24" t="s">
        <v>1416</v>
      </c>
      <c r="N1166" s="25">
        <v>100</v>
      </c>
      <c r="O1166" s="25"/>
      <c r="P1166" s="26">
        <v>41.585886716666657</v>
      </c>
      <c r="Q1166" s="111">
        <f t="shared" si="159"/>
        <v>1788.1931288166663</v>
      </c>
      <c r="R1166" s="28">
        <f t="shared" si="160"/>
        <v>1430.5545030533331</v>
      </c>
    </row>
    <row r="1167" spans="1:18" ht="10.5" customHeight="1" x14ac:dyDescent="0.3">
      <c r="A1167" s="282" t="s">
        <v>1417</v>
      </c>
      <c r="B1167" s="261" t="s">
        <v>1414</v>
      </c>
      <c r="C1167" s="217" t="s">
        <v>86</v>
      </c>
      <c r="D1167" s="24" t="s">
        <v>1418</v>
      </c>
      <c r="E1167" s="25">
        <v>100</v>
      </c>
      <c r="F1167" s="26">
        <v>4.9997484555555536</v>
      </c>
      <c r="G1167" s="283">
        <f t="shared" si="161"/>
        <v>214.98918358888881</v>
      </c>
      <c r="H1167" s="28">
        <f t="shared" si="162"/>
        <v>171.99134687111103</v>
      </c>
      <c r="I1167" s="20"/>
      <c r="J1167" s="282" t="s">
        <v>1419</v>
      </c>
      <c r="K1167" s="261" t="s">
        <v>1404</v>
      </c>
      <c r="L1167" s="217" t="s">
        <v>86</v>
      </c>
      <c r="M1167" s="24" t="s">
        <v>157</v>
      </c>
      <c r="N1167" s="25">
        <v>100</v>
      </c>
      <c r="O1167" s="25"/>
      <c r="P1167" s="26">
        <v>44.602673988888881</v>
      </c>
      <c r="Q1167" s="111">
        <f t="shared" si="159"/>
        <v>1917.914981522222</v>
      </c>
      <c r="R1167" s="28">
        <f t="shared" si="160"/>
        <v>1534.3319852177776</v>
      </c>
    </row>
    <row r="1168" spans="1:18" ht="10.5" customHeight="1" x14ac:dyDescent="0.3">
      <c r="A1168" s="282" t="s">
        <v>1420</v>
      </c>
      <c r="B1168" s="261" t="s">
        <v>1414</v>
      </c>
      <c r="C1168" s="217" t="s">
        <v>86</v>
      </c>
      <c r="D1168" s="24" t="s">
        <v>43</v>
      </c>
      <c r="E1168" s="25">
        <v>100</v>
      </c>
      <c r="F1168" s="26">
        <v>5.5261677111111105</v>
      </c>
      <c r="G1168" s="283">
        <f t="shared" si="161"/>
        <v>237.62521157777775</v>
      </c>
      <c r="H1168" s="28">
        <f t="shared" si="162"/>
        <v>190.10016926222221</v>
      </c>
      <c r="I1168" s="20"/>
      <c r="J1168" s="282" t="s">
        <v>1421</v>
      </c>
      <c r="K1168" s="261" t="s">
        <v>1404</v>
      </c>
      <c r="L1168" s="217" t="s">
        <v>86</v>
      </c>
      <c r="M1168" s="24" t="s">
        <v>1377</v>
      </c>
      <c r="N1168" s="25">
        <v>100</v>
      </c>
      <c r="O1168" s="25"/>
      <c r="P1168" s="26">
        <v>50.008594805555546</v>
      </c>
      <c r="Q1168" s="111">
        <f t="shared" si="159"/>
        <v>2150.3695766388887</v>
      </c>
      <c r="R1168" s="28">
        <f t="shared" si="160"/>
        <v>1720.295661311111</v>
      </c>
    </row>
    <row r="1169" spans="1:18" ht="10.5" customHeight="1" x14ac:dyDescent="0.3">
      <c r="A1169" s="282" t="s">
        <v>1422</v>
      </c>
      <c r="B1169" s="261" t="s">
        <v>1414</v>
      </c>
      <c r="C1169" s="217" t="s">
        <v>86</v>
      </c>
      <c r="D1169" s="24" t="s">
        <v>50</v>
      </c>
      <c r="E1169" s="25">
        <v>100</v>
      </c>
      <c r="F1169" s="26">
        <v>6.1994499999999997</v>
      </c>
      <c r="G1169" s="283">
        <f t="shared" si="161"/>
        <v>266.57634999999999</v>
      </c>
      <c r="H1169" s="28">
        <f t="shared" si="162"/>
        <v>213.26107999999999</v>
      </c>
      <c r="I1169" s="20"/>
      <c r="J1169" s="282" t="s">
        <v>1423</v>
      </c>
      <c r="K1169" s="261" t="s">
        <v>1404</v>
      </c>
      <c r="L1169" s="217" t="s">
        <v>86</v>
      </c>
      <c r="M1169" s="24" t="s">
        <v>1379</v>
      </c>
      <c r="N1169" s="25">
        <v>100</v>
      </c>
      <c r="O1169" s="25"/>
      <c r="P1169" s="26">
        <v>54.919166666666669</v>
      </c>
      <c r="Q1169" s="111">
        <f t="shared" si="159"/>
        <v>2361.5241666666666</v>
      </c>
      <c r="R1169" s="28">
        <f t="shared" si="160"/>
        <v>1889.2193333333332</v>
      </c>
    </row>
    <row r="1170" spans="1:18" ht="10.5" customHeight="1" x14ac:dyDescent="0.3">
      <c r="A1170" s="282" t="s">
        <v>1424</v>
      </c>
      <c r="B1170" s="261" t="s">
        <v>1414</v>
      </c>
      <c r="C1170" s="217" t="s">
        <v>86</v>
      </c>
      <c r="D1170" s="24" t="s">
        <v>56</v>
      </c>
      <c r="E1170" s="25">
        <v>100</v>
      </c>
      <c r="F1170" s="26">
        <v>7.1459192666666658</v>
      </c>
      <c r="G1170" s="283">
        <f t="shared" si="161"/>
        <v>307.27452846666665</v>
      </c>
      <c r="H1170" s="28">
        <f t="shared" si="162"/>
        <v>245.81962277333332</v>
      </c>
      <c r="I1170" s="20"/>
      <c r="J1170" s="282" t="s">
        <v>1425</v>
      </c>
      <c r="K1170" s="261" t="s">
        <v>1404</v>
      </c>
      <c r="L1170" s="217" t="s">
        <v>86</v>
      </c>
      <c r="M1170" s="24" t="s">
        <v>1426</v>
      </c>
      <c r="N1170" s="25">
        <v>100</v>
      </c>
      <c r="O1170" s="25"/>
      <c r="P1170" s="26">
        <v>62.725555555555545</v>
      </c>
      <c r="Q1170" s="111">
        <f t="shared" si="159"/>
        <v>2697.1988888888886</v>
      </c>
      <c r="R1170" s="28">
        <f t="shared" si="160"/>
        <v>2157.759111111111</v>
      </c>
    </row>
    <row r="1171" spans="1:18" ht="10.5" customHeight="1" x14ac:dyDescent="0.3">
      <c r="A1171" s="282" t="s">
        <v>1427</v>
      </c>
      <c r="B1171" s="261" t="s">
        <v>1414</v>
      </c>
      <c r="C1171" s="217" t="s">
        <v>86</v>
      </c>
      <c r="D1171" s="24" t="s">
        <v>1390</v>
      </c>
      <c r="E1171" s="25">
        <v>100</v>
      </c>
      <c r="F1171" s="26">
        <v>7.9760419388888879</v>
      </c>
      <c r="G1171" s="283">
        <f t="shared" si="161"/>
        <v>342.9698033722222</v>
      </c>
      <c r="H1171" s="28">
        <f t="shared" si="162"/>
        <v>274.37584269777778</v>
      </c>
      <c r="I1171" s="20"/>
      <c r="J1171" s="282" t="s">
        <v>1428</v>
      </c>
      <c r="K1171" s="261" t="s">
        <v>1404</v>
      </c>
      <c r="L1171" s="217" t="s">
        <v>86</v>
      </c>
      <c r="M1171" s="24" t="s">
        <v>1381</v>
      </c>
      <c r="N1171" s="25">
        <v>100</v>
      </c>
      <c r="O1171" s="25"/>
      <c r="P1171" s="26">
        <v>63.148829299999996</v>
      </c>
      <c r="Q1171" s="111">
        <f t="shared" si="159"/>
        <v>2715.3996598999997</v>
      </c>
      <c r="R1171" s="28">
        <f t="shared" si="160"/>
        <v>2172.3197279199999</v>
      </c>
    </row>
    <row r="1172" spans="1:18" ht="10.5" customHeight="1" x14ac:dyDescent="0.3">
      <c r="A1172" s="282" t="s">
        <v>1429</v>
      </c>
      <c r="B1172" s="261" t="s">
        <v>1414</v>
      </c>
      <c r="C1172" s="217" t="s">
        <v>86</v>
      </c>
      <c r="D1172" s="24" t="s">
        <v>192</v>
      </c>
      <c r="E1172" s="25">
        <v>100</v>
      </c>
      <c r="F1172" s="26">
        <v>8.7656708222222193</v>
      </c>
      <c r="G1172" s="283">
        <f t="shared" si="161"/>
        <v>376.92384535555544</v>
      </c>
      <c r="H1172" s="28">
        <f t="shared" si="162"/>
        <v>301.53907628444438</v>
      </c>
      <c r="I1172" s="20"/>
      <c r="J1172" s="282" t="s">
        <v>1430</v>
      </c>
      <c r="K1172" s="261" t="s">
        <v>1404</v>
      </c>
      <c r="L1172" s="217" t="s">
        <v>86</v>
      </c>
      <c r="M1172" s="24" t="s">
        <v>1431</v>
      </c>
      <c r="N1172" s="25">
        <v>100</v>
      </c>
      <c r="O1172" s="25"/>
      <c r="P1172" s="26">
        <v>69.303885211111094</v>
      </c>
      <c r="Q1172" s="111">
        <f t="shared" si="159"/>
        <v>2980.0670640777771</v>
      </c>
      <c r="R1172" s="28">
        <f t="shared" si="160"/>
        <v>2384.0536512622216</v>
      </c>
    </row>
    <row r="1173" spans="1:18" ht="10.5" customHeight="1" x14ac:dyDescent="0.3">
      <c r="A1173" s="282" t="s">
        <v>1432</v>
      </c>
      <c r="B1173" s="261" t="s">
        <v>1414</v>
      </c>
      <c r="C1173" s="217" t="s">
        <v>86</v>
      </c>
      <c r="D1173" s="24" t="s">
        <v>157</v>
      </c>
      <c r="E1173" s="25">
        <v>100</v>
      </c>
      <c r="F1173" s="26">
        <v>10.405669272222219</v>
      </c>
      <c r="G1173" s="283">
        <f t="shared" si="161"/>
        <v>447.44377870555542</v>
      </c>
      <c r="H1173" s="28">
        <f t="shared" si="162"/>
        <v>357.95502296444431</v>
      </c>
      <c r="I1173" s="20"/>
      <c r="J1173" s="282" t="s">
        <v>1433</v>
      </c>
      <c r="K1173" s="261" t="s">
        <v>1404</v>
      </c>
      <c r="L1173" s="217" t="s">
        <v>86</v>
      </c>
      <c r="M1173" s="24" t="s">
        <v>1434</v>
      </c>
      <c r="N1173" s="25">
        <v>100</v>
      </c>
      <c r="O1173" s="25"/>
      <c r="P1173" s="26">
        <v>111.19470981666662</v>
      </c>
      <c r="Q1173" s="111">
        <f t="shared" si="159"/>
        <v>4781.3725221166642</v>
      </c>
      <c r="R1173" s="28">
        <f t="shared" si="160"/>
        <v>3825.0980176933313</v>
      </c>
    </row>
    <row r="1174" spans="1:18" ht="10.5" customHeight="1" x14ac:dyDescent="0.3">
      <c r="A1174" s="282" t="s">
        <v>1435</v>
      </c>
      <c r="B1174" s="261" t="s">
        <v>1414</v>
      </c>
      <c r="C1174" s="217" t="s">
        <v>86</v>
      </c>
      <c r="D1174" s="24" t="s">
        <v>1377</v>
      </c>
      <c r="E1174" s="25">
        <v>100</v>
      </c>
      <c r="F1174" s="26">
        <v>11.964680144444442</v>
      </c>
      <c r="G1174" s="283">
        <f t="shared" si="161"/>
        <v>514.48124621111094</v>
      </c>
      <c r="H1174" s="28">
        <f t="shared" si="162"/>
        <v>411.58499696888873</v>
      </c>
      <c r="I1174" s="20"/>
      <c r="J1174" s="282" t="s">
        <v>1436</v>
      </c>
      <c r="K1174" s="261" t="s">
        <v>1437</v>
      </c>
      <c r="L1174" s="217" t="s">
        <v>86</v>
      </c>
      <c r="M1174" s="24" t="s">
        <v>157</v>
      </c>
      <c r="N1174" s="25">
        <v>100</v>
      </c>
      <c r="O1174" s="25"/>
      <c r="P1174" s="26">
        <v>76.592767211111095</v>
      </c>
      <c r="Q1174" s="111">
        <f t="shared" si="159"/>
        <v>3293.4889900777771</v>
      </c>
      <c r="R1174" s="28">
        <f t="shared" si="160"/>
        <v>2634.7911920622219</v>
      </c>
    </row>
    <row r="1175" spans="1:18" ht="10.5" customHeight="1" x14ac:dyDescent="0.3">
      <c r="A1175" s="282" t="s">
        <v>1438</v>
      </c>
      <c r="B1175" s="261" t="s">
        <v>1414</v>
      </c>
      <c r="C1175" s="217" t="s">
        <v>86</v>
      </c>
      <c r="D1175" s="24" t="s">
        <v>1381</v>
      </c>
      <c r="E1175" s="25">
        <v>100</v>
      </c>
      <c r="F1175" s="26">
        <v>15.831836983333329</v>
      </c>
      <c r="G1175" s="283">
        <f t="shared" si="161"/>
        <v>680.7689902833331</v>
      </c>
      <c r="H1175" s="28">
        <f t="shared" si="162"/>
        <v>544.61519222666652</v>
      </c>
      <c r="I1175" s="20"/>
      <c r="J1175" s="282" t="s">
        <v>1439</v>
      </c>
      <c r="K1175" s="261" t="s">
        <v>1440</v>
      </c>
      <c r="L1175" s="217" t="s">
        <v>86</v>
      </c>
      <c r="M1175" s="24" t="s">
        <v>192</v>
      </c>
      <c r="N1175" s="25">
        <v>100</v>
      </c>
      <c r="O1175" s="25"/>
      <c r="P1175" s="26">
        <v>78.33833333333331</v>
      </c>
      <c r="Q1175" s="111">
        <f t="shared" si="159"/>
        <v>3368.5483333333323</v>
      </c>
      <c r="R1175" s="28">
        <f t="shared" si="160"/>
        <v>2694.8386666666656</v>
      </c>
    </row>
    <row r="1176" spans="1:18" ht="10.5" customHeight="1" x14ac:dyDescent="0.3">
      <c r="A1176" s="282" t="s">
        <v>1441</v>
      </c>
      <c r="B1176" s="261" t="s">
        <v>1376</v>
      </c>
      <c r="C1176" s="217" t="s">
        <v>86</v>
      </c>
      <c r="D1176" s="24" t="s">
        <v>1418</v>
      </c>
      <c r="E1176" s="25">
        <v>100</v>
      </c>
      <c r="F1176" s="26">
        <v>9.6767810722222212</v>
      </c>
      <c r="G1176" s="283">
        <f t="shared" si="161"/>
        <v>416.1015861055555</v>
      </c>
      <c r="H1176" s="28">
        <f t="shared" si="162"/>
        <v>332.88126888444441</v>
      </c>
      <c r="I1176" s="20"/>
      <c r="J1176" s="282" t="s">
        <v>1442</v>
      </c>
      <c r="K1176" s="261" t="s">
        <v>1440</v>
      </c>
      <c r="L1176" s="217" t="s">
        <v>86</v>
      </c>
      <c r="M1176" s="24" t="s">
        <v>1377</v>
      </c>
      <c r="N1176" s="25">
        <v>100</v>
      </c>
      <c r="O1176" s="25"/>
      <c r="P1176" s="26">
        <v>101.49583333333334</v>
      </c>
      <c r="Q1176" s="111">
        <f t="shared" si="159"/>
        <v>4364.3208333333332</v>
      </c>
      <c r="R1176" s="28">
        <f t="shared" si="160"/>
        <v>3491.4566666666665</v>
      </c>
    </row>
    <row r="1177" spans="1:18" ht="10.5" customHeight="1" x14ac:dyDescent="0.3">
      <c r="A1177" s="282" t="s">
        <v>1443</v>
      </c>
      <c r="B1177" s="261" t="s">
        <v>1376</v>
      </c>
      <c r="C1177" s="217" t="s">
        <v>86</v>
      </c>
      <c r="D1177" s="24" t="s">
        <v>43</v>
      </c>
      <c r="E1177" s="25">
        <v>100</v>
      </c>
      <c r="F1177" s="26">
        <v>10.073424999999999</v>
      </c>
      <c r="G1177" s="283">
        <f t="shared" si="161"/>
        <v>433.15727499999991</v>
      </c>
      <c r="H1177" s="28">
        <f t="shared" si="162"/>
        <v>346.52581999999995</v>
      </c>
      <c r="I1177" s="20"/>
      <c r="J1177" s="282" t="s">
        <v>1444</v>
      </c>
      <c r="K1177" s="261" t="s">
        <v>1440</v>
      </c>
      <c r="L1177" s="217" t="s">
        <v>86</v>
      </c>
      <c r="M1177" s="24" t="s">
        <v>1426</v>
      </c>
      <c r="N1177" s="25">
        <v>100</v>
      </c>
      <c r="O1177" s="25"/>
      <c r="P1177" s="26">
        <v>121.92556387222218</v>
      </c>
      <c r="Q1177" s="111">
        <f t="shared" si="159"/>
        <v>5242.799246505554</v>
      </c>
      <c r="R1177" s="28">
        <f t="shared" si="160"/>
        <v>4194.2393972044429</v>
      </c>
    </row>
    <row r="1178" spans="1:18" ht="10.5" customHeight="1" x14ac:dyDescent="0.3">
      <c r="A1178" s="282" t="s">
        <v>1445</v>
      </c>
      <c r="B1178" s="261" t="s">
        <v>1376</v>
      </c>
      <c r="C1178" s="217" t="s">
        <v>86</v>
      </c>
      <c r="D1178" s="24" t="s">
        <v>50</v>
      </c>
      <c r="E1178" s="25">
        <v>100</v>
      </c>
      <c r="F1178" s="26">
        <v>10.897675</v>
      </c>
      <c r="G1178" s="283">
        <f t="shared" si="161"/>
        <v>468.60002499999996</v>
      </c>
      <c r="H1178" s="28">
        <f t="shared" si="162"/>
        <v>374.88001999999994</v>
      </c>
      <c r="I1178" s="20"/>
      <c r="J1178" s="282" t="s">
        <v>1446</v>
      </c>
      <c r="K1178" s="261" t="s">
        <v>1440</v>
      </c>
      <c r="L1178" s="217" t="s">
        <v>86</v>
      </c>
      <c r="M1178" s="24" t="s">
        <v>1381</v>
      </c>
      <c r="N1178" s="25">
        <v>100</v>
      </c>
      <c r="O1178" s="25"/>
      <c r="P1178" s="26">
        <v>126.96573074048445</v>
      </c>
      <c r="Q1178" s="111">
        <f t="shared" si="159"/>
        <v>5459.5264218408311</v>
      </c>
      <c r="R1178" s="28">
        <f t="shared" si="160"/>
        <v>4367.6211374726645</v>
      </c>
    </row>
    <row r="1179" spans="1:18" ht="10.5" customHeight="1" x14ac:dyDescent="0.3">
      <c r="A1179" s="282" t="s">
        <v>1445</v>
      </c>
      <c r="B1179" s="261" t="s">
        <v>1376</v>
      </c>
      <c r="C1179" s="217" t="s">
        <v>86</v>
      </c>
      <c r="D1179" s="24" t="s">
        <v>56</v>
      </c>
      <c r="E1179" s="25">
        <v>100</v>
      </c>
      <c r="F1179" s="26">
        <v>12.93726308650519</v>
      </c>
      <c r="G1179" s="283">
        <f t="shared" si="161"/>
        <v>556.3023127197232</v>
      </c>
      <c r="H1179" s="28">
        <f t="shared" si="162"/>
        <v>445.04185017577856</v>
      </c>
      <c r="I1179" s="20"/>
      <c r="J1179" s="282" t="s">
        <v>1446</v>
      </c>
      <c r="K1179" s="261" t="s">
        <v>1440</v>
      </c>
      <c r="L1179" s="217" t="s">
        <v>86</v>
      </c>
      <c r="M1179" s="24" t="s">
        <v>1447</v>
      </c>
      <c r="N1179" s="25">
        <v>100</v>
      </c>
      <c r="O1179" s="25"/>
      <c r="P1179" s="26">
        <v>190.27907951666663</v>
      </c>
      <c r="Q1179" s="111">
        <f t="shared" si="159"/>
        <v>8182.0004192166653</v>
      </c>
      <c r="R1179" s="28">
        <f t="shared" si="160"/>
        <v>6545.6003353733322</v>
      </c>
    </row>
    <row r="1180" spans="1:18" ht="10.5" customHeight="1" x14ac:dyDescent="0.3">
      <c r="A1180" s="282" t="s">
        <v>1445</v>
      </c>
      <c r="B1180" s="261" t="s">
        <v>1376</v>
      </c>
      <c r="C1180" s="217" t="s">
        <v>86</v>
      </c>
      <c r="D1180" s="24" t="s">
        <v>192</v>
      </c>
      <c r="E1180" s="25">
        <v>100</v>
      </c>
      <c r="F1180" s="26">
        <v>15.626793688581314</v>
      </c>
      <c r="G1180" s="283">
        <f t="shared" si="161"/>
        <v>671.95212860899653</v>
      </c>
      <c r="H1180" s="28">
        <f t="shared" si="162"/>
        <v>537.56170288719727</v>
      </c>
      <c r="I1180" s="20"/>
      <c r="J1180" s="282" t="s">
        <v>1446</v>
      </c>
      <c r="K1180" s="261" t="s">
        <v>1448</v>
      </c>
      <c r="L1180" s="217" t="s">
        <v>86</v>
      </c>
      <c r="M1180" s="24" t="s">
        <v>157</v>
      </c>
      <c r="N1180" s="25">
        <v>100</v>
      </c>
      <c r="O1180" s="25"/>
      <c r="P1180" s="26">
        <v>137.85986979999996</v>
      </c>
      <c r="Q1180" s="111">
        <f t="shared" si="159"/>
        <v>5927.974401399998</v>
      </c>
      <c r="R1180" s="28">
        <f t="shared" si="160"/>
        <v>4742.3795211199986</v>
      </c>
    </row>
    <row r="1181" spans="1:18" ht="10.5" customHeight="1" x14ac:dyDescent="0.3">
      <c r="A1181" s="282" t="s">
        <v>1445</v>
      </c>
      <c r="B1181" s="261" t="s">
        <v>1376</v>
      </c>
      <c r="C1181" s="217" t="s">
        <v>86</v>
      </c>
      <c r="D1181" s="24" t="s">
        <v>1416</v>
      </c>
      <c r="E1181" s="25">
        <v>100</v>
      </c>
      <c r="F1181" s="26">
        <v>17.05739507266436</v>
      </c>
      <c r="G1181" s="283">
        <f t="shared" si="161"/>
        <v>733.46798812456746</v>
      </c>
      <c r="H1181" s="28">
        <f t="shared" si="162"/>
        <v>586.77439049965392</v>
      </c>
      <c r="I1181" s="20"/>
      <c r="J1181" s="282" t="s">
        <v>1446</v>
      </c>
      <c r="K1181" s="261" t="s">
        <v>1449</v>
      </c>
      <c r="L1181" s="217" t="s">
        <v>86</v>
      </c>
      <c r="M1181" s="24" t="s">
        <v>1377</v>
      </c>
      <c r="N1181" s="25">
        <v>100</v>
      </c>
      <c r="O1181" s="25"/>
      <c r="P1181" s="26">
        <v>177.38012351557097</v>
      </c>
      <c r="Q1181" s="111">
        <f t="shared" si="159"/>
        <v>7627.3453111695517</v>
      </c>
      <c r="R1181" s="28">
        <f t="shared" si="160"/>
        <v>6101.8762489356413</v>
      </c>
    </row>
    <row r="1182" spans="1:18" ht="10.5" customHeight="1" x14ac:dyDescent="0.3">
      <c r="A1182" s="282" t="s">
        <v>1445</v>
      </c>
      <c r="B1182" s="261" t="s">
        <v>1376</v>
      </c>
      <c r="C1182" s="217" t="s">
        <v>86</v>
      </c>
      <c r="D1182" s="24" t="s">
        <v>157</v>
      </c>
      <c r="E1182" s="25">
        <v>100</v>
      </c>
      <c r="F1182" s="26">
        <v>18.240025550173012</v>
      </c>
      <c r="G1182" s="283">
        <f t="shared" si="161"/>
        <v>784.32109865743951</v>
      </c>
      <c r="H1182" s="28">
        <f t="shared" si="162"/>
        <v>627.45687892595163</v>
      </c>
      <c r="I1182" s="20"/>
      <c r="J1182" s="282" t="s">
        <v>1446</v>
      </c>
      <c r="K1182" s="261" t="s">
        <v>1449</v>
      </c>
      <c r="L1182" s="217" t="s">
        <v>86</v>
      </c>
      <c r="M1182" s="24" t="s">
        <v>1431</v>
      </c>
      <c r="N1182" s="25">
        <v>100</v>
      </c>
      <c r="O1182" s="25"/>
      <c r="P1182" s="26">
        <v>220.25885714285712</v>
      </c>
      <c r="Q1182" s="111">
        <f t="shared" si="159"/>
        <v>9471.1308571428563</v>
      </c>
      <c r="R1182" s="28">
        <f t="shared" si="160"/>
        <v>7576.9046857142848</v>
      </c>
    </row>
    <row r="1183" spans="1:18" ht="10.5" customHeight="1" x14ac:dyDescent="0.3">
      <c r="A1183" s="282" t="s">
        <v>1445</v>
      </c>
      <c r="B1183" s="261" t="s">
        <v>1376</v>
      </c>
      <c r="C1183" s="217" t="s">
        <v>86</v>
      </c>
      <c r="D1183" s="24" t="s">
        <v>1450</v>
      </c>
      <c r="E1183" s="25">
        <v>100</v>
      </c>
      <c r="F1183" s="26">
        <v>19.804149730103809</v>
      </c>
      <c r="G1183" s="283">
        <f t="shared" si="161"/>
        <v>851.57843839446377</v>
      </c>
      <c r="H1183" s="28">
        <f t="shared" si="162"/>
        <v>681.26275071557097</v>
      </c>
      <c r="I1183" s="20"/>
      <c r="J1183" s="269"/>
      <c r="K1183" s="268"/>
      <c r="L1183" s="269"/>
      <c r="M1183" s="147"/>
      <c r="N1183" s="286"/>
      <c r="O1183" s="286"/>
      <c r="P1183" s="149"/>
      <c r="Q1183" s="140"/>
      <c r="R1183" s="140"/>
    </row>
    <row r="1184" spans="1:18" ht="10.5" customHeight="1" x14ac:dyDescent="0.3">
      <c r="A1184" s="20"/>
      <c r="B1184" s="20"/>
      <c r="C1184" s="20"/>
      <c r="D1184" s="20"/>
      <c r="E1184" s="20"/>
      <c r="F1184" s="20"/>
      <c r="G1184" s="20"/>
      <c r="H1184" s="20"/>
      <c r="I1184" s="20"/>
      <c r="J1184" s="20"/>
      <c r="K1184" s="20"/>
      <c r="L1184" s="20"/>
      <c r="M1184" s="20"/>
      <c r="N1184" s="20"/>
      <c r="O1184" s="20"/>
      <c r="P1184" s="20"/>
      <c r="Q1184" s="20"/>
      <c r="R1184" s="20"/>
    </row>
    <row r="1185" spans="1:18" ht="10.5" customHeight="1" x14ac:dyDescent="0.3">
      <c r="A1185" s="166" t="s">
        <v>1451</v>
      </c>
      <c r="B1185" s="48" t="s">
        <v>1452</v>
      </c>
      <c r="C1185" s="49"/>
      <c r="D1185" s="49"/>
      <c r="E1185" s="49"/>
      <c r="F1185" s="49"/>
      <c r="G1185" s="49"/>
      <c r="H1185" s="49"/>
      <c r="I1185" s="49"/>
      <c r="J1185" s="446" t="s">
        <v>78</v>
      </c>
      <c r="K1185" s="477" t="s">
        <v>79</v>
      </c>
      <c r="L1185" s="477"/>
      <c r="M1185" s="477"/>
      <c r="N1185" s="473" t="s">
        <v>80</v>
      </c>
      <c r="O1185" s="434"/>
      <c r="P1185" s="61"/>
      <c r="Q1185" s="16" t="s">
        <v>81</v>
      </c>
      <c r="R1185" s="17" t="s">
        <v>82</v>
      </c>
    </row>
    <row r="1186" spans="1:18" ht="10.5" customHeight="1" thickTop="1" x14ac:dyDescent="0.3">
      <c r="A1186" s="18"/>
      <c r="B1186" s="20"/>
      <c r="C1186" s="20"/>
      <c r="D1186" s="20"/>
      <c r="E1186" s="20"/>
      <c r="F1186" s="20"/>
      <c r="G1186" s="20"/>
      <c r="H1186" s="20"/>
      <c r="I1186" s="20"/>
      <c r="J1186" s="446"/>
      <c r="K1186" s="477"/>
      <c r="L1186" s="477"/>
      <c r="M1186" s="477"/>
      <c r="N1186" s="473"/>
      <c r="O1186" s="369"/>
      <c r="P1186" s="68"/>
      <c r="Q1186" s="69" t="s">
        <v>84</v>
      </c>
      <c r="R1186" s="15" t="s">
        <v>84</v>
      </c>
    </row>
    <row r="1187" spans="1:18" ht="10.5" customHeight="1" x14ac:dyDescent="0.3">
      <c r="A1187" s="18"/>
      <c r="B1187" s="20"/>
      <c r="C1187" s="20"/>
      <c r="D1187" s="20"/>
      <c r="E1187" s="20"/>
      <c r="F1187" s="20"/>
      <c r="G1187" s="20"/>
      <c r="H1187" s="20"/>
      <c r="I1187" s="20"/>
      <c r="J1187" s="62" t="s">
        <v>1453</v>
      </c>
      <c r="K1187" s="287" t="s">
        <v>1454</v>
      </c>
      <c r="L1187" s="64" t="s">
        <v>86</v>
      </c>
      <c r="M1187" s="65">
        <v>45</v>
      </c>
      <c r="N1187" s="66">
        <v>200</v>
      </c>
      <c r="O1187" s="66"/>
      <c r="P1187" s="67">
        <v>10.65171219512195</v>
      </c>
      <c r="Q1187" s="111">
        <f t="shared" ref="Q1187:Q1211" si="163">P1187*$F$10</f>
        <v>458.02362439024387</v>
      </c>
      <c r="R1187" s="72">
        <f>Q1187-Q1187*0.2</f>
        <v>366.41889951219508</v>
      </c>
    </row>
    <row r="1188" spans="1:18" ht="10.5" customHeight="1" x14ac:dyDescent="0.3">
      <c r="A1188" s="18"/>
      <c r="B1188" s="20"/>
      <c r="C1188" s="20"/>
      <c r="D1188" s="20"/>
      <c r="E1188" s="20"/>
      <c r="F1188" s="20"/>
      <c r="G1188" s="20"/>
      <c r="H1188" s="20"/>
      <c r="I1188" s="20"/>
      <c r="J1188" s="62" t="s">
        <v>1455</v>
      </c>
      <c r="K1188" s="287" t="s">
        <v>1454</v>
      </c>
      <c r="L1188" s="64" t="s">
        <v>86</v>
      </c>
      <c r="M1188" s="65">
        <v>50</v>
      </c>
      <c r="N1188" s="66">
        <v>200</v>
      </c>
      <c r="O1188" s="66"/>
      <c r="P1188" s="67">
        <v>13.293141463414635</v>
      </c>
      <c r="Q1188" s="111">
        <f t="shared" si="163"/>
        <v>571.60508292682925</v>
      </c>
      <c r="R1188" s="72">
        <f t="shared" ref="R1188:R1211" si="164">Q1188-Q1188*0.2</f>
        <v>457.28406634146342</v>
      </c>
    </row>
    <row r="1189" spans="1:18" ht="10.5" customHeight="1" x14ac:dyDescent="0.3">
      <c r="A1189" s="262" t="s">
        <v>1456</v>
      </c>
      <c r="B1189" s="20"/>
      <c r="C1189" s="20"/>
      <c r="D1189" s="20"/>
      <c r="E1189" s="20"/>
      <c r="F1189" s="20"/>
      <c r="G1189" s="20"/>
      <c r="H1189" s="20"/>
      <c r="I1189" s="20"/>
      <c r="J1189" s="62" t="s">
        <v>1457</v>
      </c>
      <c r="K1189" s="287" t="s">
        <v>1454</v>
      </c>
      <c r="L1189" s="64" t="s">
        <v>86</v>
      </c>
      <c r="M1189" s="65">
        <v>55</v>
      </c>
      <c r="N1189" s="66">
        <v>100</v>
      </c>
      <c r="O1189" s="66"/>
      <c r="P1189" s="67">
        <v>12.308253658536584</v>
      </c>
      <c r="Q1189" s="111">
        <f t="shared" si="163"/>
        <v>529.25490731707316</v>
      </c>
      <c r="R1189" s="72">
        <f t="shared" si="164"/>
        <v>423.40392585365851</v>
      </c>
    </row>
    <row r="1190" spans="1:18" ht="10.5" customHeight="1" x14ac:dyDescent="0.3">
      <c r="A1190" s="262" t="s">
        <v>1458</v>
      </c>
      <c r="B1190" s="20"/>
      <c r="C1190" s="20"/>
      <c r="D1190" s="20"/>
      <c r="E1190" s="20"/>
      <c r="F1190" s="20"/>
      <c r="G1190" s="20"/>
      <c r="H1190" s="20"/>
      <c r="I1190" s="20"/>
      <c r="J1190" s="62" t="s">
        <v>1459</v>
      </c>
      <c r="K1190" s="287" t="s">
        <v>1454</v>
      </c>
      <c r="L1190" s="64" t="s">
        <v>86</v>
      </c>
      <c r="M1190" s="65">
        <v>60</v>
      </c>
      <c r="N1190" s="66">
        <v>100</v>
      </c>
      <c r="O1190" s="66"/>
      <c r="P1190" s="67">
        <v>13.225746341463415</v>
      </c>
      <c r="Q1190" s="111">
        <f t="shared" si="163"/>
        <v>568.70709268292683</v>
      </c>
      <c r="R1190" s="72">
        <f t="shared" si="164"/>
        <v>454.96567414634148</v>
      </c>
    </row>
    <row r="1191" spans="1:18" ht="10.5" customHeight="1" thickBot="1" x14ac:dyDescent="0.35">
      <c r="A1191" s="446" t="s">
        <v>78</v>
      </c>
      <c r="B1191" s="477" t="s">
        <v>79</v>
      </c>
      <c r="C1191" s="477"/>
      <c r="D1191" s="477"/>
      <c r="E1191" s="473" t="s">
        <v>80</v>
      </c>
      <c r="F1191" s="61"/>
      <c r="G1191" s="16" t="s">
        <v>81</v>
      </c>
      <c r="H1191" s="17" t="s">
        <v>82</v>
      </c>
      <c r="I1191" s="20"/>
      <c r="J1191" s="62" t="s">
        <v>1460</v>
      </c>
      <c r="K1191" s="287" t="s">
        <v>1454</v>
      </c>
      <c r="L1191" s="64" t="s">
        <v>86</v>
      </c>
      <c r="M1191" s="65">
        <v>70</v>
      </c>
      <c r="N1191" s="66">
        <v>100</v>
      </c>
      <c r="O1191" s="66"/>
      <c r="P1191" s="67">
        <v>14.958873170731707</v>
      </c>
      <c r="Q1191" s="111">
        <f t="shared" si="163"/>
        <v>643.2315463414634</v>
      </c>
      <c r="R1191" s="72">
        <f t="shared" si="164"/>
        <v>514.58523707317067</v>
      </c>
    </row>
    <row r="1192" spans="1:18" ht="10.5" customHeight="1" thickTop="1" x14ac:dyDescent="0.3">
      <c r="A1192" s="446"/>
      <c r="B1192" s="477"/>
      <c r="C1192" s="477"/>
      <c r="D1192" s="477"/>
      <c r="E1192" s="473"/>
      <c r="F1192" s="68"/>
      <c r="G1192" s="69" t="s">
        <v>84</v>
      </c>
      <c r="H1192" s="15" t="s">
        <v>84</v>
      </c>
      <c r="I1192" s="20"/>
      <c r="J1192" s="62" t="s">
        <v>1461</v>
      </c>
      <c r="K1192" s="287" t="s">
        <v>1454</v>
      </c>
      <c r="L1192" s="64" t="s">
        <v>86</v>
      </c>
      <c r="M1192" s="65">
        <v>80</v>
      </c>
      <c r="N1192" s="66">
        <v>100</v>
      </c>
      <c r="O1192" s="66"/>
      <c r="P1192" s="67">
        <v>16.443317073170729</v>
      </c>
      <c r="Q1192" s="111">
        <f t="shared" si="163"/>
        <v>707.06263414634134</v>
      </c>
      <c r="R1192" s="72">
        <f t="shared" si="164"/>
        <v>565.65010731707309</v>
      </c>
    </row>
    <row r="1193" spans="1:18" ht="10.5" customHeight="1" x14ac:dyDescent="0.3">
      <c r="A1193" s="54" t="s">
        <v>1462</v>
      </c>
      <c r="B1193" s="288" t="s">
        <v>1463</v>
      </c>
      <c r="C1193" s="56" t="s">
        <v>86</v>
      </c>
      <c r="D1193" s="57">
        <v>20</v>
      </c>
      <c r="E1193" s="58">
        <v>500</v>
      </c>
      <c r="F1193" s="59">
        <v>2.3788292682926828</v>
      </c>
      <c r="G1193" s="113">
        <f t="shared" ref="G1193:G1212" si="165">F1193*$F$10</f>
        <v>102.28965853658536</v>
      </c>
      <c r="H1193" s="28">
        <f>G1193-G1193*0.2</f>
        <v>81.831726829268291</v>
      </c>
      <c r="I1193" s="20"/>
      <c r="J1193" s="62" t="s">
        <v>1464</v>
      </c>
      <c r="K1193" s="287" t="s">
        <v>1454</v>
      </c>
      <c r="L1193" s="64" t="s">
        <v>86</v>
      </c>
      <c r="M1193" s="65">
        <v>90</v>
      </c>
      <c r="N1193" s="66">
        <v>100</v>
      </c>
      <c r="O1193" s="66"/>
      <c r="P1193" s="67">
        <v>17.723824390243902</v>
      </c>
      <c r="Q1193" s="111">
        <f t="shared" si="163"/>
        <v>762.1244487804878</v>
      </c>
      <c r="R1193" s="72">
        <f t="shared" si="164"/>
        <v>609.69955902439028</v>
      </c>
    </row>
    <row r="1194" spans="1:18" ht="10.5" customHeight="1" x14ac:dyDescent="0.3">
      <c r="A1194" s="62" t="s">
        <v>1465</v>
      </c>
      <c r="B1194" s="288" t="s">
        <v>1463</v>
      </c>
      <c r="C1194" s="64" t="s">
        <v>86</v>
      </c>
      <c r="D1194" s="65">
        <v>25</v>
      </c>
      <c r="E1194" s="66">
        <v>500</v>
      </c>
      <c r="F1194" s="67">
        <v>2.7652024390243901</v>
      </c>
      <c r="G1194" s="113">
        <f t="shared" si="165"/>
        <v>118.90370487804877</v>
      </c>
      <c r="H1194" s="28">
        <f t="shared" ref="H1194:H1212" si="166">G1194-G1194*0.2</f>
        <v>95.122963902439011</v>
      </c>
      <c r="I1194" s="20"/>
      <c r="J1194" s="62" t="s">
        <v>1466</v>
      </c>
      <c r="K1194" s="287" t="s">
        <v>1454</v>
      </c>
      <c r="L1194" s="64" t="s">
        <v>86</v>
      </c>
      <c r="M1194" s="65">
        <v>100</v>
      </c>
      <c r="N1194" s="66">
        <v>50</v>
      </c>
      <c r="O1194" s="66"/>
      <c r="P1194" s="67">
        <v>18.818995121951218</v>
      </c>
      <c r="Q1194" s="111">
        <f t="shared" si="163"/>
        <v>809.21679024390232</v>
      </c>
      <c r="R1194" s="72">
        <f t="shared" si="164"/>
        <v>647.37343219512184</v>
      </c>
    </row>
    <row r="1195" spans="1:18" ht="10.5" customHeight="1" x14ac:dyDescent="0.3">
      <c r="A1195" s="62" t="s">
        <v>1467</v>
      </c>
      <c r="B1195" s="288" t="s">
        <v>1463</v>
      </c>
      <c r="C1195" s="64" t="s">
        <v>86</v>
      </c>
      <c r="D1195" s="65">
        <v>30</v>
      </c>
      <c r="E1195" s="66">
        <v>500</v>
      </c>
      <c r="F1195" s="67">
        <v>4.0596099999999993</v>
      </c>
      <c r="G1195" s="113">
        <f t="shared" si="165"/>
        <v>174.56322999999998</v>
      </c>
      <c r="H1195" s="28">
        <f t="shared" si="166"/>
        <v>139.65058399999998</v>
      </c>
      <c r="I1195" s="20"/>
      <c r="J1195" s="62" t="s">
        <v>1468</v>
      </c>
      <c r="K1195" s="287" t="s">
        <v>1454</v>
      </c>
      <c r="L1195" s="64" t="s">
        <v>86</v>
      </c>
      <c r="M1195" s="65">
        <v>110</v>
      </c>
      <c r="N1195" s="66">
        <v>50</v>
      </c>
      <c r="O1195" s="66"/>
      <c r="P1195" s="67">
        <v>21.2092243902439</v>
      </c>
      <c r="Q1195" s="111">
        <f t="shared" si="163"/>
        <v>911.9966487804877</v>
      </c>
      <c r="R1195" s="72">
        <f t="shared" si="164"/>
        <v>729.59731902439012</v>
      </c>
    </row>
    <row r="1196" spans="1:18" ht="10.5" customHeight="1" x14ac:dyDescent="0.3">
      <c r="A1196" s="62" t="s">
        <v>1469</v>
      </c>
      <c r="B1196" s="288" t="s">
        <v>1463</v>
      </c>
      <c r="C1196" s="64" t="s">
        <v>86</v>
      </c>
      <c r="D1196" s="65">
        <v>50</v>
      </c>
      <c r="E1196" s="66">
        <v>500</v>
      </c>
      <c r="F1196" s="67">
        <v>4.0266399999999996</v>
      </c>
      <c r="G1196" s="113">
        <f t="shared" si="165"/>
        <v>173.14551999999998</v>
      </c>
      <c r="H1196" s="28">
        <f t="shared" si="166"/>
        <v>138.51641599999999</v>
      </c>
      <c r="I1196" s="20"/>
      <c r="J1196" s="62" t="s">
        <v>1470</v>
      </c>
      <c r="K1196" s="287" t="s">
        <v>1454</v>
      </c>
      <c r="L1196" s="64" t="s">
        <v>86</v>
      </c>
      <c r="M1196" s="65">
        <v>120</v>
      </c>
      <c r="N1196" s="66">
        <v>50</v>
      </c>
      <c r="O1196" s="66"/>
      <c r="P1196" s="67">
        <v>21.966270731707315</v>
      </c>
      <c r="Q1196" s="111">
        <f t="shared" si="163"/>
        <v>944.54964146341456</v>
      </c>
      <c r="R1196" s="72">
        <f t="shared" si="164"/>
        <v>755.63971317073162</v>
      </c>
    </row>
    <row r="1197" spans="1:18" ht="10.5" customHeight="1" x14ac:dyDescent="0.3">
      <c r="A1197" s="62" t="s">
        <v>1471</v>
      </c>
      <c r="B1197" s="288" t="s">
        <v>1463</v>
      </c>
      <c r="C1197" s="64" t="s">
        <v>86</v>
      </c>
      <c r="D1197" s="65">
        <v>60</v>
      </c>
      <c r="E1197" s="66">
        <v>500</v>
      </c>
      <c r="F1197" s="67">
        <v>5.2262731707317052</v>
      </c>
      <c r="G1197" s="113">
        <f t="shared" si="165"/>
        <v>224.72974634146331</v>
      </c>
      <c r="H1197" s="28">
        <f t="shared" si="166"/>
        <v>179.78379707317066</v>
      </c>
      <c r="I1197" s="20"/>
      <c r="J1197" s="62" t="s">
        <v>1472</v>
      </c>
      <c r="K1197" s="287" t="s">
        <v>1454</v>
      </c>
      <c r="L1197" s="64" t="s">
        <v>86</v>
      </c>
      <c r="M1197" s="65">
        <v>140</v>
      </c>
      <c r="N1197" s="66">
        <v>50</v>
      </c>
      <c r="O1197" s="66"/>
      <c r="P1197" s="67">
        <v>24.731824390243901</v>
      </c>
      <c r="Q1197" s="111">
        <f t="shared" si="163"/>
        <v>1063.4684487804877</v>
      </c>
      <c r="R1197" s="72">
        <f t="shared" si="164"/>
        <v>850.77475902439016</v>
      </c>
    </row>
    <row r="1198" spans="1:18" ht="10.5" customHeight="1" x14ac:dyDescent="0.3">
      <c r="A1198" s="54" t="s">
        <v>1462</v>
      </c>
      <c r="B1198" s="288" t="s">
        <v>1473</v>
      </c>
      <c r="C1198" s="56" t="s">
        <v>86</v>
      </c>
      <c r="D1198" s="57">
        <v>20</v>
      </c>
      <c r="E1198" s="58">
        <v>500</v>
      </c>
      <c r="F1198" s="59">
        <v>3.8301219512195117</v>
      </c>
      <c r="G1198" s="113">
        <f t="shared" si="165"/>
        <v>164.69524390243902</v>
      </c>
      <c r="H1198" s="28">
        <f t="shared" si="166"/>
        <v>131.75619512195121</v>
      </c>
      <c r="I1198" s="20"/>
      <c r="J1198" s="273" t="s">
        <v>1474</v>
      </c>
      <c r="K1198" s="289" t="s">
        <v>1475</v>
      </c>
      <c r="L1198" s="278" t="s">
        <v>86</v>
      </c>
      <c r="M1198" s="290">
        <v>50</v>
      </c>
      <c r="N1198" s="291">
        <v>50</v>
      </c>
      <c r="O1198" s="291"/>
      <c r="P1198" s="292">
        <v>16.002951219512195</v>
      </c>
      <c r="Q1198" s="111">
        <f t="shared" si="163"/>
        <v>688.12690243902432</v>
      </c>
      <c r="R1198" s="72">
        <f t="shared" si="164"/>
        <v>550.5015219512195</v>
      </c>
    </row>
    <row r="1199" spans="1:18" ht="10.5" customHeight="1" x14ac:dyDescent="0.3">
      <c r="A1199" s="62" t="s">
        <v>1467</v>
      </c>
      <c r="B1199" s="287" t="s">
        <v>1473</v>
      </c>
      <c r="C1199" s="64" t="s">
        <v>86</v>
      </c>
      <c r="D1199" s="65">
        <v>30</v>
      </c>
      <c r="E1199" s="66">
        <v>250</v>
      </c>
      <c r="F1199" s="67">
        <v>3.8952195121951214</v>
      </c>
      <c r="G1199" s="113">
        <f t="shared" si="165"/>
        <v>167.49443902439023</v>
      </c>
      <c r="H1199" s="28">
        <f t="shared" si="166"/>
        <v>133.99555121951218</v>
      </c>
      <c r="I1199" s="20"/>
      <c r="J1199" s="273" t="s">
        <v>1476</v>
      </c>
      <c r="K1199" s="289" t="s">
        <v>1475</v>
      </c>
      <c r="L1199" s="278" t="s">
        <v>86</v>
      </c>
      <c r="M1199" s="290">
        <v>60</v>
      </c>
      <c r="N1199" s="291">
        <v>50</v>
      </c>
      <c r="O1199" s="291"/>
      <c r="P1199" s="292">
        <v>20.640960975609758</v>
      </c>
      <c r="Q1199" s="111">
        <f t="shared" si="163"/>
        <v>887.56132195121961</v>
      </c>
      <c r="R1199" s="72">
        <f t="shared" si="164"/>
        <v>710.04905756097571</v>
      </c>
    </row>
    <row r="1200" spans="1:18" ht="10.5" customHeight="1" x14ac:dyDescent="0.3">
      <c r="A1200" s="62" t="s">
        <v>1471</v>
      </c>
      <c r="B1200" s="287" t="s">
        <v>1473</v>
      </c>
      <c r="C1200" s="64" t="s">
        <v>86</v>
      </c>
      <c r="D1200" s="65">
        <v>40</v>
      </c>
      <c r="E1200" s="66">
        <v>250</v>
      </c>
      <c r="F1200" s="67">
        <v>5.8159804878048771</v>
      </c>
      <c r="G1200" s="113">
        <f t="shared" si="165"/>
        <v>250.08716097560972</v>
      </c>
      <c r="H1200" s="28">
        <f t="shared" si="166"/>
        <v>200.06972878048776</v>
      </c>
      <c r="I1200" s="20"/>
      <c r="J1200" s="273" t="s">
        <v>1477</v>
      </c>
      <c r="K1200" s="289" t="s">
        <v>1475</v>
      </c>
      <c r="L1200" s="278" t="s">
        <v>86</v>
      </c>
      <c r="M1200" s="290">
        <v>65</v>
      </c>
      <c r="N1200" s="291">
        <v>50</v>
      </c>
      <c r="O1200" s="291"/>
      <c r="P1200" s="292">
        <v>28.821099999999998</v>
      </c>
      <c r="Q1200" s="111">
        <f t="shared" si="163"/>
        <v>1239.3072999999999</v>
      </c>
      <c r="R1200" s="72">
        <f t="shared" si="164"/>
        <v>991.44583999999998</v>
      </c>
    </row>
    <row r="1201" spans="1:18" ht="10.5" customHeight="1" x14ac:dyDescent="0.3">
      <c r="A1201" s="62" t="s">
        <v>1478</v>
      </c>
      <c r="B1201" s="287" t="s">
        <v>1473</v>
      </c>
      <c r="C1201" s="64" t="s">
        <v>86</v>
      </c>
      <c r="D1201" s="65">
        <v>50</v>
      </c>
      <c r="E1201" s="66">
        <v>250</v>
      </c>
      <c r="F1201" s="67">
        <v>7.0290926829268292</v>
      </c>
      <c r="G1201" s="113">
        <f t="shared" si="165"/>
        <v>302.25098536585364</v>
      </c>
      <c r="H1201" s="28">
        <f t="shared" si="166"/>
        <v>241.80078829268291</v>
      </c>
      <c r="I1201" s="20"/>
      <c r="J1201" s="273" t="s">
        <v>1479</v>
      </c>
      <c r="K1201" s="289" t="s">
        <v>1475</v>
      </c>
      <c r="L1201" s="278" t="s">
        <v>86</v>
      </c>
      <c r="M1201" s="290">
        <v>70</v>
      </c>
      <c r="N1201" s="291">
        <v>50</v>
      </c>
      <c r="O1201" s="291"/>
      <c r="P1201" s="292">
        <v>24.202563414634145</v>
      </c>
      <c r="Q1201" s="111">
        <f t="shared" si="163"/>
        <v>1040.7102268292683</v>
      </c>
      <c r="R1201" s="72">
        <f t="shared" si="164"/>
        <v>832.5681814634147</v>
      </c>
    </row>
    <row r="1202" spans="1:18" ht="10.5" customHeight="1" x14ac:dyDescent="0.3">
      <c r="A1202" s="62" t="s">
        <v>1480</v>
      </c>
      <c r="B1202" s="287" t="s">
        <v>1473</v>
      </c>
      <c r="C1202" s="64" t="s">
        <v>86</v>
      </c>
      <c r="D1202" s="65">
        <v>55</v>
      </c>
      <c r="E1202" s="66">
        <v>250</v>
      </c>
      <c r="F1202" s="67">
        <v>7.0964878048780484</v>
      </c>
      <c r="G1202" s="113">
        <f t="shared" si="165"/>
        <v>305.14897560975606</v>
      </c>
      <c r="H1202" s="28">
        <f t="shared" si="166"/>
        <v>244.11918048780484</v>
      </c>
      <c r="I1202" s="20"/>
      <c r="J1202" s="273" t="s">
        <v>1481</v>
      </c>
      <c r="K1202" s="289" t="s">
        <v>1475</v>
      </c>
      <c r="L1202" s="278" t="s">
        <v>86</v>
      </c>
      <c r="M1202" s="290">
        <v>80</v>
      </c>
      <c r="N1202" s="291">
        <v>50</v>
      </c>
      <c r="O1202" s="291"/>
      <c r="P1202" s="292">
        <v>26.518887804878048</v>
      </c>
      <c r="Q1202" s="111">
        <f t="shared" si="163"/>
        <v>1140.312175609756</v>
      </c>
      <c r="R1202" s="72">
        <f t="shared" si="164"/>
        <v>912.24974048780473</v>
      </c>
    </row>
    <row r="1203" spans="1:18" ht="10.5" customHeight="1" x14ac:dyDescent="0.3">
      <c r="A1203" s="62" t="s">
        <v>1482</v>
      </c>
      <c r="B1203" s="287" t="s">
        <v>1473</v>
      </c>
      <c r="C1203" s="64" t="s">
        <v>86</v>
      </c>
      <c r="D1203" s="65">
        <v>60</v>
      </c>
      <c r="E1203" s="66">
        <v>200</v>
      </c>
      <c r="F1203" s="67">
        <v>7.261278048780488</v>
      </c>
      <c r="G1203" s="113">
        <f t="shared" si="165"/>
        <v>312.234956097561</v>
      </c>
      <c r="H1203" s="28">
        <f t="shared" si="166"/>
        <v>249.7879648780488</v>
      </c>
      <c r="I1203" s="20"/>
      <c r="J1203" s="273" t="s">
        <v>1483</v>
      </c>
      <c r="K1203" s="289" t="s">
        <v>1475</v>
      </c>
      <c r="L1203" s="278" t="s">
        <v>86</v>
      </c>
      <c r="M1203" s="290">
        <v>100</v>
      </c>
      <c r="N1203" s="291">
        <v>50</v>
      </c>
      <c r="O1203" s="291"/>
      <c r="P1203" s="292">
        <v>36.757136000000003</v>
      </c>
      <c r="Q1203" s="111">
        <f t="shared" si="163"/>
        <v>1580.5568480000002</v>
      </c>
      <c r="R1203" s="72">
        <f t="shared" si="164"/>
        <v>1264.4454784000002</v>
      </c>
    </row>
    <row r="1204" spans="1:18" ht="10.5" customHeight="1" x14ac:dyDescent="0.3">
      <c r="A1204" s="62" t="s">
        <v>1484</v>
      </c>
      <c r="B1204" s="287" t="s">
        <v>1473</v>
      </c>
      <c r="C1204" s="64" t="s">
        <v>86</v>
      </c>
      <c r="D1204" s="65">
        <v>65</v>
      </c>
      <c r="E1204" s="66">
        <v>200</v>
      </c>
      <c r="F1204" s="67">
        <v>8.1906414634146341</v>
      </c>
      <c r="G1204" s="113">
        <f t="shared" si="165"/>
        <v>352.19758292682928</v>
      </c>
      <c r="H1204" s="28">
        <f t="shared" si="166"/>
        <v>281.7580663414634</v>
      </c>
      <c r="I1204" s="20"/>
      <c r="J1204" s="273" t="s">
        <v>1485</v>
      </c>
      <c r="K1204" s="289" t="s">
        <v>1475</v>
      </c>
      <c r="L1204" s="278" t="s">
        <v>86</v>
      </c>
      <c r="M1204" s="290">
        <v>110</v>
      </c>
      <c r="N1204" s="291">
        <v>50</v>
      </c>
      <c r="O1204" s="291"/>
      <c r="P1204" s="292">
        <v>45.321799999999996</v>
      </c>
      <c r="Q1204" s="111">
        <f t="shared" si="163"/>
        <v>1948.8373999999999</v>
      </c>
      <c r="R1204" s="72">
        <f t="shared" si="164"/>
        <v>1559.0699199999999</v>
      </c>
    </row>
    <row r="1205" spans="1:18" ht="10.5" customHeight="1" x14ac:dyDescent="0.3">
      <c r="A1205" s="62" t="s">
        <v>1486</v>
      </c>
      <c r="B1205" s="287" t="s">
        <v>1473</v>
      </c>
      <c r="C1205" s="64" t="s">
        <v>86</v>
      </c>
      <c r="D1205" s="65">
        <v>70</v>
      </c>
      <c r="E1205" s="66">
        <v>100</v>
      </c>
      <c r="F1205" s="67">
        <v>8.9798536585365856</v>
      </c>
      <c r="G1205" s="113">
        <f t="shared" si="165"/>
        <v>386.13370731707317</v>
      </c>
      <c r="H1205" s="28">
        <f t="shared" si="166"/>
        <v>308.90696585365856</v>
      </c>
      <c r="I1205" s="20"/>
      <c r="J1205" s="62" t="s">
        <v>1487</v>
      </c>
      <c r="K1205" s="287" t="s">
        <v>1475</v>
      </c>
      <c r="L1205" s="64" t="s">
        <v>86</v>
      </c>
      <c r="M1205" s="65">
        <v>160</v>
      </c>
      <c r="N1205" s="66">
        <v>50</v>
      </c>
      <c r="O1205" s="291"/>
      <c r="P1205" s="292">
        <v>56.016639999999995</v>
      </c>
      <c r="Q1205" s="111">
        <f t="shared" si="163"/>
        <v>2408.7155199999997</v>
      </c>
      <c r="R1205" s="72">
        <f t="shared" si="164"/>
        <v>1926.9724159999998</v>
      </c>
    </row>
    <row r="1206" spans="1:18" ht="10.5" customHeight="1" x14ac:dyDescent="0.3">
      <c r="A1206" s="62" t="s">
        <v>1488</v>
      </c>
      <c r="B1206" s="287" t="s">
        <v>1473</v>
      </c>
      <c r="C1206" s="64" t="s">
        <v>86</v>
      </c>
      <c r="D1206" s="65">
        <v>80</v>
      </c>
      <c r="E1206" s="66">
        <v>100</v>
      </c>
      <c r="F1206" s="67">
        <v>9.3267853658536595</v>
      </c>
      <c r="G1206" s="113">
        <f t="shared" si="165"/>
        <v>401.05177073170734</v>
      </c>
      <c r="H1206" s="28">
        <f t="shared" si="166"/>
        <v>320.84141658536589</v>
      </c>
      <c r="I1206" s="20"/>
      <c r="J1206" s="62" t="s">
        <v>1487</v>
      </c>
      <c r="K1206" s="287" t="s">
        <v>1475</v>
      </c>
      <c r="L1206" s="64" t="s">
        <v>86</v>
      </c>
      <c r="M1206" s="65">
        <v>180</v>
      </c>
      <c r="N1206" s="66">
        <v>50</v>
      </c>
      <c r="O1206" s="291"/>
      <c r="P1206" s="292">
        <v>71.006999999999991</v>
      </c>
      <c r="Q1206" s="111">
        <f t="shared" si="163"/>
        <v>3053.3009999999995</v>
      </c>
      <c r="R1206" s="72">
        <f t="shared" si="164"/>
        <v>2442.6407999999997</v>
      </c>
    </row>
    <row r="1207" spans="1:18" ht="10.5" customHeight="1" x14ac:dyDescent="0.3">
      <c r="A1207" s="62" t="s">
        <v>1489</v>
      </c>
      <c r="B1207" s="287" t="s">
        <v>1473</v>
      </c>
      <c r="C1207" s="64" t="s">
        <v>86</v>
      </c>
      <c r="D1207" s="65">
        <v>90</v>
      </c>
      <c r="E1207" s="66">
        <v>100</v>
      </c>
      <c r="F1207" s="67">
        <v>10.597336585365852</v>
      </c>
      <c r="G1207" s="113">
        <f t="shared" si="165"/>
        <v>455.68547317073165</v>
      </c>
      <c r="H1207" s="28">
        <f t="shared" si="166"/>
        <v>364.54837853658535</v>
      </c>
      <c r="I1207" s="20"/>
      <c r="J1207" s="273" t="s">
        <v>1490</v>
      </c>
      <c r="K1207" s="289" t="s">
        <v>1475</v>
      </c>
      <c r="L1207" s="278" t="s">
        <v>86</v>
      </c>
      <c r="M1207" s="290">
        <v>200</v>
      </c>
      <c r="N1207" s="291">
        <v>50</v>
      </c>
      <c r="O1207" s="291"/>
      <c r="P1207" s="292">
        <v>56.183902439024386</v>
      </c>
      <c r="Q1207" s="111">
        <f t="shared" si="163"/>
        <v>2415.9078048780484</v>
      </c>
      <c r="R1207" s="72">
        <f t="shared" si="164"/>
        <v>1932.7262439024387</v>
      </c>
    </row>
    <row r="1208" spans="1:18" ht="10.5" customHeight="1" x14ac:dyDescent="0.3">
      <c r="A1208" s="62" t="s">
        <v>1491</v>
      </c>
      <c r="B1208" s="287" t="s">
        <v>1473</v>
      </c>
      <c r="C1208" s="64" t="s">
        <v>86</v>
      </c>
      <c r="D1208" s="65">
        <v>100</v>
      </c>
      <c r="E1208" s="66">
        <v>100</v>
      </c>
      <c r="F1208" s="67">
        <v>11.776751219512196</v>
      </c>
      <c r="G1208" s="113">
        <f t="shared" si="165"/>
        <v>506.40030243902441</v>
      </c>
      <c r="H1208" s="28">
        <f t="shared" si="166"/>
        <v>405.12024195121955</v>
      </c>
      <c r="I1208" s="20"/>
      <c r="J1208" s="273" t="s">
        <v>1492</v>
      </c>
      <c r="K1208" s="289" t="s">
        <v>1493</v>
      </c>
      <c r="L1208" s="278" t="s">
        <v>86</v>
      </c>
      <c r="M1208" s="290">
        <v>40</v>
      </c>
      <c r="N1208" s="291">
        <v>50</v>
      </c>
      <c r="O1208" s="291"/>
      <c r="P1208" s="292">
        <v>24.054043902439023</v>
      </c>
      <c r="Q1208" s="111">
        <f t="shared" si="163"/>
        <v>1034.323887804878</v>
      </c>
      <c r="R1208" s="72">
        <f t="shared" si="164"/>
        <v>827.45911024390239</v>
      </c>
    </row>
    <row r="1209" spans="1:18" ht="10.5" customHeight="1" x14ac:dyDescent="0.3">
      <c r="A1209" s="62" t="s">
        <v>1494</v>
      </c>
      <c r="B1209" s="287" t="s">
        <v>1473</v>
      </c>
      <c r="C1209" s="64" t="s">
        <v>86</v>
      </c>
      <c r="D1209" s="65">
        <v>110</v>
      </c>
      <c r="E1209" s="66">
        <v>100</v>
      </c>
      <c r="F1209" s="67">
        <v>10.178414634146341</v>
      </c>
      <c r="G1209" s="113">
        <f t="shared" si="165"/>
        <v>437.67182926829264</v>
      </c>
      <c r="H1209" s="28">
        <f t="shared" si="166"/>
        <v>350.13746341463411</v>
      </c>
      <c r="I1209" s="20"/>
      <c r="J1209" s="273" t="s">
        <v>1495</v>
      </c>
      <c r="K1209" s="289" t="s">
        <v>1493</v>
      </c>
      <c r="L1209" s="278" t="s">
        <v>86</v>
      </c>
      <c r="M1209" s="290">
        <v>60</v>
      </c>
      <c r="N1209" s="291">
        <v>50</v>
      </c>
      <c r="O1209" s="291"/>
      <c r="P1209" s="292">
        <v>28.597853658536586</v>
      </c>
      <c r="Q1209" s="111">
        <f t="shared" si="163"/>
        <v>1229.7077073170733</v>
      </c>
      <c r="R1209" s="72">
        <f t="shared" si="164"/>
        <v>983.76616585365866</v>
      </c>
    </row>
    <row r="1210" spans="1:18" ht="10.5" customHeight="1" x14ac:dyDescent="0.3">
      <c r="A1210" s="62" t="s">
        <v>1496</v>
      </c>
      <c r="B1210" s="287" t="s">
        <v>1454</v>
      </c>
      <c r="C1210" s="64" t="s">
        <v>86</v>
      </c>
      <c r="D1210" s="65">
        <v>20</v>
      </c>
      <c r="E1210" s="66">
        <v>250</v>
      </c>
      <c r="F1210" s="67">
        <v>6.7488780487804858</v>
      </c>
      <c r="G1210" s="113">
        <f t="shared" si="165"/>
        <v>290.20175609756092</v>
      </c>
      <c r="H1210" s="28">
        <f t="shared" si="166"/>
        <v>232.16140487804873</v>
      </c>
      <c r="I1210" s="20"/>
      <c r="J1210" s="273" t="s">
        <v>1497</v>
      </c>
      <c r="K1210" s="289" t="s">
        <v>1493</v>
      </c>
      <c r="L1210" s="278" t="s">
        <v>86</v>
      </c>
      <c r="M1210" s="290">
        <v>80</v>
      </c>
      <c r="N1210" s="291">
        <v>50</v>
      </c>
      <c r="O1210" s="291"/>
      <c r="P1210" s="292">
        <v>44.49754999999999</v>
      </c>
      <c r="Q1210" s="111">
        <f t="shared" si="163"/>
        <v>1913.3946499999995</v>
      </c>
      <c r="R1210" s="72">
        <f t="shared" si="164"/>
        <v>1530.7157199999997</v>
      </c>
    </row>
    <row r="1211" spans="1:18" ht="10.5" customHeight="1" x14ac:dyDescent="0.3">
      <c r="A1211" s="62" t="s">
        <v>1498</v>
      </c>
      <c r="B1211" s="287" t="s">
        <v>1454</v>
      </c>
      <c r="C1211" s="64" t="s">
        <v>86</v>
      </c>
      <c r="D1211" s="65">
        <v>30</v>
      </c>
      <c r="E1211" s="66">
        <v>250</v>
      </c>
      <c r="F1211" s="67">
        <v>8.3227073170731689</v>
      </c>
      <c r="G1211" s="113">
        <f t="shared" si="165"/>
        <v>357.87641463414627</v>
      </c>
      <c r="H1211" s="28">
        <f t="shared" si="166"/>
        <v>286.30113170731704</v>
      </c>
      <c r="I1211" s="20"/>
      <c r="J1211" s="273" t="s">
        <v>1499</v>
      </c>
      <c r="K1211" s="289" t="s">
        <v>1493</v>
      </c>
      <c r="L1211" s="278" t="s">
        <v>86</v>
      </c>
      <c r="M1211" s="290">
        <v>100</v>
      </c>
      <c r="N1211" s="291">
        <v>50</v>
      </c>
      <c r="O1211" s="291"/>
      <c r="P1211" s="292">
        <v>49.138048780487807</v>
      </c>
      <c r="Q1211" s="111">
        <f t="shared" si="163"/>
        <v>2112.9360975609757</v>
      </c>
      <c r="R1211" s="72">
        <f t="shared" si="164"/>
        <v>1690.3488780487805</v>
      </c>
    </row>
    <row r="1212" spans="1:18" ht="10.5" customHeight="1" x14ac:dyDescent="0.3">
      <c r="A1212" s="62" t="s">
        <v>1500</v>
      </c>
      <c r="B1212" s="287" t="s">
        <v>1454</v>
      </c>
      <c r="C1212" s="64" t="s">
        <v>86</v>
      </c>
      <c r="D1212" s="65">
        <v>40</v>
      </c>
      <c r="E1212" s="66">
        <v>200</v>
      </c>
      <c r="F1212" s="67">
        <v>8.6639390243902437</v>
      </c>
      <c r="G1212" s="113">
        <f t="shared" si="165"/>
        <v>372.54937804878045</v>
      </c>
      <c r="H1212" s="28">
        <f t="shared" si="166"/>
        <v>298.03950243902437</v>
      </c>
      <c r="I1212" s="20"/>
      <c r="J1212" s="49"/>
      <c r="K1212" s="293"/>
      <c r="L1212" s="278"/>
      <c r="M1212" s="279"/>
      <c r="N1212" s="280"/>
      <c r="O1212" s="280"/>
      <c r="P1212" s="281"/>
      <c r="Q1212" s="140"/>
      <c r="R1212" s="140"/>
    </row>
    <row r="1213" spans="1:18" ht="10.5" customHeight="1" x14ac:dyDescent="0.3">
      <c r="A1213" s="20"/>
      <c r="B1213" s="20"/>
      <c r="C1213" s="20"/>
      <c r="D1213" s="20"/>
      <c r="E1213" s="20"/>
      <c r="F1213" s="20"/>
      <c r="G1213" s="20"/>
      <c r="H1213" s="20"/>
      <c r="I1213" s="20"/>
      <c r="J1213" s="20"/>
      <c r="K1213" s="20"/>
      <c r="L1213" s="20"/>
      <c r="M1213" s="20"/>
      <c r="N1213" s="20"/>
      <c r="O1213" s="20"/>
      <c r="P1213" s="20"/>
      <c r="Q1213" s="20"/>
      <c r="R1213" s="20"/>
    </row>
    <row r="1214" spans="1:18" ht="15" customHeight="1" x14ac:dyDescent="0.3">
      <c r="A1214" s="448" t="s">
        <v>1501</v>
      </c>
      <c r="B1214" s="448"/>
      <c r="C1214" s="448"/>
      <c r="D1214" s="448"/>
      <c r="E1214" s="448"/>
      <c r="F1214" s="448"/>
      <c r="G1214" s="448"/>
      <c r="H1214" s="448"/>
      <c r="I1214" s="448"/>
      <c r="J1214" s="448"/>
      <c r="K1214" s="448"/>
      <c r="L1214" s="448"/>
      <c r="M1214" s="448"/>
      <c r="N1214" s="448"/>
      <c r="O1214" s="448"/>
      <c r="P1214" s="448"/>
      <c r="Q1214" s="448"/>
      <c r="R1214" s="448"/>
    </row>
    <row r="1215" spans="1:18" ht="10.5" customHeight="1" x14ac:dyDescent="0.3">
      <c r="A1215" s="20"/>
      <c r="B1215" s="20"/>
      <c r="C1215" s="20"/>
      <c r="D1215" s="20"/>
      <c r="E1215" s="20"/>
      <c r="F1215" s="20"/>
      <c r="G1215" s="20"/>
      <c r="H1215" s="20"/>
      <c r="I1215" s="20"/>
      <c r="J1215" s="20"/>
      <c r="K1215" s="20"/>
      <c r="L1215" s="20"/>
      <c r="M1215" s="20"/>
      <c r="N1215" s="20"/>
      <c r="O1215" s="20"/>
      <c r="P1215" s="20"/>
      <c r="Q1215" s="20"/>
      <c r="R1215" s="20"/>
    </row>
    <row r="1216" spans="1:18" ht="10.5" customHeight="1" x14ac:dyDescent="0.3">
      <c r="A1216" s="166" t="s">
        <v>1502</v>
      </c>
      <c r="B1216" s="48" t="s">
        <v>1503</v>
      </c>
      <c r="C1216" s="49"/>
      <c r="D1216" s="49"/>
      <c r="E1216" s="49"/>
      <c r="F1216" s="49"/>
      <c r="G1216" s="49"/>
      <c r="H1216" s="49"/>
      <c r="I1216" s="49"/>
      <c r="J1216" s="446" t="s">
        <v>78</v>
      </c>
      <c r="K1216" s="477" t="s">
        <v>79</v>
      </c>
      <c r="L1216" s="477"/>
      <c r="M1216" s="477"/>
      <c r="N1216" s="473" t="s">
        <v>80</v>
      </c>
      <c r="O1216" s="434"/>
      <c r="P1216" s="61"/>
      <c r="Q1216" s="16" t="s">
        <v>81</v>
      </c>
      <c r="R1216" s="17" t="s">
        <v>82</v>
      </c>
    </row>
    <row r="1217" spans="1:18" ht="10.5" customHeight="1" thickTop="1" x14ac:dyDescent="0.3">
      <c r="A1217" s="294"/>
      <c r="B1217" s="20"/>
      <c r="C1217" s="20"/>
      <c r="D1217" s="20"/>
      <c r="E1217" s="20"/>
      <c r="F1217" s="20"/>
      <c r="G1217" s="20"/>
      <c r="H1217" s="20"/>
      <c r="I1217" s="20"/>
      <c r="J1217" s="446"/>
      <c r="K1217" s="477"/>
      <c r="L1217" s="477"/>
      <c r="M1217" s="477"/>
      <c r="N1217" s="473"/>
      <c r="O1217" s="369"/>
      <c r="P1217" s="68"/>
      <c r="Q1217" s="69" t="s">
        <v>84</v>
      </c>
      <c r="R1217" s="15" t="s">
        <v>84</v>
      </c>
    </row>
    <row r="1218" spans="1:18" ht="10.5" customHeight="1" x14ac:dyDescent="0.3">
      <c r="A1218" s="18"/>
      <c r="B1218" s="20"/>
      <c r="C1218" s="20"/>
      <c r="D1218" s="20"/>
      <c r="E1218" s="20"/>
      <c r="F1218" s="20"/>
      <c r="G1218" s="20"/>
      <c r="H1218" s="20"/>
      <c r="I1218" s="20"/>
      <c r="J1218" s="80" t="s">
        <v>1504</v>
      </c>
      <c r="K1218" s="287" t="s">
        <v>766</v>
      </c>
      <c r="L1218" s="64" t="s">
        <v>86</v>
      </c>
      <c r="M1218" s="65">
        <v>30</v>
      </c>
      <c r="N1218" s="66">
        <v>500</v>
      </c>
      <c r="O1218" s="66"/>
      <c r="P1218" s="67">
        <v>2.86</v>
      </c>
      <c r="Q1218" s="72">
        <f t="shared" ref="Q1218:Q1249" si="167">P1218*$F$10</f>
        <v>122.97999999999999</v>
      </c>
      <c r="R1218" s="72">
        <f t="shared" ref="R1218:R1249" si="168">Q1218-Q1218*0.2</f>
        <v>98.383999999999986</v>
      </c>
    </row>
    <row r="1219" spans="1:18" ht="10.5" customHeight="1" x14ac:dyDescent="0.3">
      <c r="A1219" s="18"/>
      <c r="B1219" s="20"/>
      <c r="C1219" s="20"/>
      <c r="D1219" s="20"/>
      <c r="E1219" s="20"/>
      <c r="F1219" s="20"/>
      <c r="G1219" s="20"/>
      <c r="H1219" s="20"/>
      <c r="I1219" s="20"/>
      <c r="J1219" s="80" t="s">
        <v>1505</v>
      </c>
      <c r="K1219" s="287" t="s">
        <v>766</v>
      </c>
      <c r="L1219" s="64" t="s">
        <v>86</v>
      </c>
      <c r="M1219" s="65">
        <v>35</v>
      </c>
      <c r="N1219" s="66">
        <v>500</v>
      </c>
      <c r="O1219" s="66"/>
      <c r="P1219" s="67">
        <v>3.15</v>
      </c>
      <c r="Q1219" s="72">
        <f t="shared" si="167"/>
        <v>135.44999999999999</v>
      </c>
      <c r="R1219" s="72">
        <f t="shared" si="168"/>
        <v>108.35999999999999</v>
      </c>
    </row>
    <row r="1220" spans="1:18" ht="10.5" customHeight="1" x14ac:dyDescent="0.3">
      <c r="A1220" s="262" t="s">
        <v>1506</v>
      </c>
      <c r="B1220" s="20"/>
      <c r="C1220" s="20"/>
      <c r="D1220" s="20"/>
      <c r="E1220" s="20"/>
      <c r="F1220" s="20"/>
      <c r="G1220" s="20"/>
      <c r="H1220" s="20"/>
      <c r="I1220" s="20"/>
      <c r="J1220" s="295" t="s">
        <v>1507</v>
      </c>
      <c r="K1220" s="289" t="s">
        <v>766</v>
      </c>
      <c r="L1220" s="278" t="s">
        <v>86</v>
      </c>
      <c r="M1220" s="290">
        <v>40</v>
      </c>
      <c r="N1220" s="291">
        <v>500</v>
      </c>
      <c r="O1220" s="291"/>
      <c r="P1220" s="292">
        <v>3.62</v>
      </c>
      <c r="Q1220" s="72">
        <f t="shared" si="167"/>
        <v>155.66</v>
      </c>
      <c r="R1220" s="72">
        <f t="shared" si="168"/>
        <v>124.52799999999999</v>
      </c>
    </row>
    <row r="1221" spans="1:18" ht="10.5" customHeight="1" x14ac:dyDescent="0.3">
      <c r="A1221" s="262" t="s">
        <v>1508</v>
      </c>
      <c r="B1221" s="20"/>
      <c r="C1221" s="20"/>
      <c r="D1221" s="20"/>
      <c r="E1221" s="20"/>
      <c r="F1221" s="20"/>
      <c r="G1221" s="20"/>
      <c r="H1221" s="20"/>
      <c r="I1221" s="20"/>
      <c r="J1221" s="80" t="s">
        <v>1509</v>
      </c>
      <c r="K1221" s="287" t="s">
        <v>766</v>
      </c>
      <c r="L1221" s="64" t="s">
        <v>86</v>
      </c>
      <c r="M1221" s="65">
        <v>45</v>
      </c>
      <c r="N1221" s="66">
        <v>500</v>
      </c>
      <c r="O1221" s="66"/>
      <c r="P1221" s="67">
        <v>3.99</v>
      </c>
      <c r="Q1221" s="72">
        <f t="shared" si="167"/>
        <v>171.57000000000002</v>
      </c>
      <c r="R1221" s="72">
        <f t="shared" si="168"/>
        <v>137.25600000000003</v>
      </c>
    </row>
    <row r="1222" spans="1:18" ht="10.5" customHeight="1" thickBot="1" x14ac:dyDescent="0.35">
      <c r="A1222" s="446" t="s">
        <v>78</v>
      </c>
      <c r="B1222" s="477" t="s">
        <v>79</v>
      </c>
      <c r="C1222" s="477"/>
      <c r="D1222" s="477"/>
      <c r="E1222" s="473" t="s">
        <v>80</v>
      </c>
      <c r="F1222" s="61"/>
      <c r="G1222" s="16" t="s">
        <v>81</v>
      </c>
      <c r="H1222" s="17" t="s">
        <v>82</v>
      </c>
      <c r="I1222" s="20"/>
      <c r="J1222" s="80" t="s">
        <v>1510</v>
      </c>
      <c r="K1222" s="287" t="s">
        <v>766</v>
      </c>
      <c r="L1222" s="64" t="s">
        <v>86</v>
      </c>
      <c r="M1222" s="65">
        <v>50</v>
      </c>
      <c r="N1222" s="66">
        <v>500</v>
      </c>
      <c r="O1222" s="66"/>
      <c r="P1222" s="67">
        <v>4.37</v>
      </c>
      <c r="Q1222" s="72">
        <f t="shared" si="167"/>
        <v>187.91</v>
      </c>
      <c r="R1222" s="72">
        <f t="shared" si="168"/>
        <v>150.328</v>
      </c>
    </row>
    <row r="1223" spans="1:18" ht="10.5" customHeight="1" thickTop="1" x14ac:dyDescent="0.3">
      <c r="A1223" s="446"/>
      <c r="B1223" s="477"/>
      <c r="C1223" s="477"/>
      <c r="D1223" s="477"/>
      <c r="E1223" s="473"/>
      <c r="F1223" s="68"/>
      <c r="G1223" s="69" t="s">
        <v>84</v>
      </c>
      <c r="H1223" s="15" t="s">
        <v>84</v>
      </c>
      <c r="I1223" s="20"/>
      <c r="J1223" s="80" t="s">
        <v>1511</v>
      </c>
      <c r="K1223" s="287" t="s">
        <v>766</v>
      </c>
      <c r="L1223" s="64" t="s">
        <v>86</v>
      </c>
      <c r="M1223" s="65">
        <v>60</v>
      </c>
      <c r="N1223" s="66">
        <v>200</v>
      </c>
      <c r="O1223" s="66"/>
      <c r="P1223" s="67">
        <v>4.51</v>
      </c>
      <c r="Q1223" s="72">
        <f t="shared" si="167"/>
        <v>193.92999999999998</v>
      </c>
      <c r="R1223" s="72">
        <f t="shared" si="168"/>
        <v>155.14399999999998</v>
      </c>
    </row>
    <row r="1224" spans="1:18" ht="10.5" customHeight="1" x14ac:dyDescent="0.3">
      <c r="A1224" s="81" t="s">
        <v>1512</v>
      </c>
      <c r="B1224" s="288" t="s">
        <v>387</v>
      </c>
      <c r="C1224" s="56" t="s">
        <v>86</v>
      </c>
      <c r="D1224" s="57">
        <v>8</v>
      </c>
      <c r="E1224" s="58">
        <v>1000</v>
      </c>
      <c r="F1224" s="59">
        <v>0.67</v>
      </c>
      <c r="G1224" s="72">
        <f t="shared" ref="G1224:G1250" si="169">F1224*$F$10</f>
        <v>28.810000000000002</v>
      </c>
      <c r="H1224" s="72">
        <f t="shared" ref="H1224:H1250" si="170">G1224-G1224*0.2</f>
        <v>23.048000000000002</v>
      </c>
      <c r="I1224" s="20"/>
      <c r="J1224" s="80" t="s">
        <v>1513</v>
      </c>
      <c r="K1224" s="287" t="s">
        <v>769</v>
      </c>
      <c r="L1224" s="64" t="s">
        <v>86</v>
      </c>
      <c r="M1224" s="65">
        <v>10</v>
      </c>
      <c r="N1224" s="66">
        <v>500</v>
      </c>
      <c r="O1224" s="66"/>
      <c r="P1224" s="67">
        <v>2.54</v>
      </c>
      <c r="Q1224" s="72">
        <f t="shared" si="167"/>
        <v>109.22</v>
      </c>
      <c r="R1224" s="72">
        <f t="shared" si="168"/>
        <v>87.376000000000005</v>
      </c>
    </row>
    <row r="1225" spans="1:18" ht="10.5" customHeight="1" x14ac:dyDescent="0.3">
      <c r="A1225" s="81" t="s">
        <v>1514</v>
      </c>
      <c r="B1225" s="288" t="s">
        <v>387</v>
      </c>
      <c r="C1225" s="56" t="s">
        <v>86</v>
      </c>
      <c r="D1225" s="57">
        <v>10</v>
      </c>
      <c r="E1225" s="58">
        <v>1000</v>
      </c>
      <c r="F1225" s="59">
        <v>0.68</v>
      </c>
      <c r="G1225" s="72">
        <f t="shared" si="169"/>
        <v>29.240000000000002</v>
      </c>
      <c r="H1225" s="72">
        <f t="shared" si="170"/>
        <v>23.392000000000003</v>
      </c>
      <c r="I1225" s="20"/>
      <c r="J1225" s="80" t="s">
        <v>1515</v>
      </c>
      <c r="K1225" s="287" t="s">
        <v>769</v>
      </c>
      <c r="L1225" s="64" t="s">
        <v>86</v>
      </c>
      <c r="M1225" s="65">
        <v>12</v>
      </c>
      <c r="N1225" s="66">
        <v>500</v>
      </c>
      <c r="O1225" s="66"/>
      <c r="P1225" s="67">
        <v>2.54</v>
      </c>
      <c r="Q1225" s="72">
        <f t="shared" si="167"/>
        <v>109.22</v>
      </c>
      <c r="R1225" s="72">
        <f t="shared" si="168"/>
        <v>87.376000000000005</v>
      </c>
    </row>
    <row r="1226" spans="1:18" ht="10.5" customHeight="1" x14ac:dyDescent="0.3">
      <c r="A1226" s="81" t="s">
        <v>1516</v>
      </c>
      <c r="B1226" s="288" t="s">
        <v>387</v>
      </c>
      <c r="C1226" s="56" t="s">
        <v>86</v>
      </c>
      <c r="D1226" s="57">
        <v>12</v>
      </c>
      <c r="E1226" s="58">
        <v>1000</v>
      </c>
      <c r="F1226" s="59">
        <v>0.65</v>
      </c>
      <c r="G1226" s="72">
        <f t="shared" si="169"/>
        <v>27.95</v>
      </c>
      <c r="H1226" s="72">
        <f t="shared" si="170"/>
        <v>22.36</v>
      </c>
      <c r="I1226" s="20"/>
      <c r="J1226" s="80" t="s">
        <v>1517</v>
      </c>
      <c r="K1226" s="287" t="s">
        <v>769</v>
      </c>
      <c r="L1226" s="64" t="s">
        <v>86</v>
      </c>
      <c r="M1226" s="65">
        <v>14</v>
      </c>
      <c r="N1226" s="66">
        <v>500</v>
      </c>
      <c r="O1226" s="66"/>
      <c r="P1226" s="67">
        <v>3.86</v>
      </c>
      <c r="Q1226" s="72">
        <f t="shared" si="167"/>
        <v>165.98</v>
      </c>
      <c r="R1226" s="72">
        <f t="shared" si="168"/>
        <v>132.78399999999999</v>
      </c>
    </row>
    <row r="1227" spans="1:18" ht="10.5" customHeight="1" x14ac:dyDescent="0.3">
      <c r="A1227" s="80" t="s">
        <v>1518</v>
      </c>
      <c r="B1227" s="287" t="s">
        <v>387</v>
      </c>
      <c r="C1227" s="64" t="s">
        <v>86</v>
      </c>
      <c r="D1227" s="65">
        <v>14</v>
      </c>
      <c r="E1227" s="66">
        <v>1000</v>
      </c>
      <c r="F1227" s="67">
        <v>0.69</v>
      </c>
      <c r="G1227" s="72">
        <f t="shared" si="169"/>
        <v>29.669999999999998</v>
      </c>
      <c r="H1227" s="72">
        <f t="shared" si="170"/>
        <v>23.735999999999997</v>
      </c>
      <c r="I1227" s="20"/>
      <c r="J1227" s="80" t="s">
        <v>1519</v>
      </c>
      <c r="K1227" s="287" t="s">
        <v>769</v>
      </c>
      <c r="L1227" s="64" t="s">
        <v>86</v>
      </c>
      <c r="M1227" s="65">
        <v>16</v>
      </c>
      <c r="N1227" s="66">
        <v>500</v>
      </c>
      <c r="O1227" s="66"/>
      <c r="P1227" s="67">
        <v>2.82</v>
      </c>
      <c r="Q1227" s="72">
        <f t="shared" si="167"/>
        <v>121.25999999999999</v>
      </c>
      <c r="R1227" s="72">
        <f t="shared" si="168"/>
        <v>97.007999999999996</v>
      </c>
    </row>
    <row r="1228" spans="1:18" ht="10.5" customHeight="1" x14ac:dyDescent="0.3">
      <c r="A1228" s="80" t="s">
        <v>1520</v>
      </c>
      <c r="B1228" s="287" t="s">
        <v>387</v>
      </c>
      <c r="C1228" s="64" t="s">
        <v>86</v>
      </c>
      <c r="D1228" s="65">
        <v>16</v>
      </c>
      <c r="E1228" s="66">
        <v>1000</v>
      </c>
      <c r="F1228" s="67">
        <v>0.7</v>
      </c>
      <c r="G1228" s="72">
        <f t="shared" si="169"/>
        <v>30.099999999999998</v>
      </c>
      <c r="H1228" s="72">
        <f t="shared" si="170"/>
        <v>24.08</v>
      </c>
      <c r="I1228" s="20"/>
      <c r="J1228" s="80" t="s">
        <v>1521</v>
      </c>
      <c r="K1228" s="287" t="s">
        <v>769</v>
      </c>
      <c r="L1228" s="64" t="s">
        <v>86</v>
      </c>
      <c r="M1228" s="65">
        <v>20</v>
      </c>
      <c r="N1228" s="66">
        <v>500</v>
      </c>
      <c r="O1228" s="66"/>
      <c r="P1228" s="67">
        <v>3.2</v>
      </c>
      <c r="Q1228" s="72">
        <f t="shared" si="167"/>
        <v>137.6</v>
      </c>
      <c r="R1228" s="72">
        <f t="shared" si="168"/>
        <v>110.08</v>
      </c>
    </row>
    <row r="1229" spans="1:18" ht="10.5" customHeight="1" x14ac:dyDescent="0.3">
      <c r="A1229" s="80" t="s">
        <v>1522</v>
      </c>
      <c r="B1229" s="287" t="s">
        <v>387</v>
      </c>
      <c r="C1229" s="64" t="s">
        <v>86</v>
      </c>
      <c r="D1229" s="65">
        <v>20</v>
      </c>
      <c r="E1229" s="66">
        <v>1000</v>
      </c>
      <c r="F1229" s="67">
        <v>0.78</v>
      </c>
      <c r="G1229" s="72">
        <f t="shared" si="169"/>
        <v>33.54</v>
      </c>
      <c r="H1229" s="72">
        <f t="shared" si="170"/>
        <v>26.832000000000001</v>
      </c>
      <c r="I1229" s="20"/>
      <c r="J1229" s="80" t="s">
        <v>1523</v>
      </c>
      <c r="K1229" s="287" t="s">
        <v>769</v>
      </c>
      <c r="L1229" s="64" t="s">
        <v>86</v>
      </c>
      <c r="M1229" s="65">
        <v>25</v>
      </c>
      <c r="N1229" s="66">
        <v>500</v>
      </c>
      <c r="O1229" s="66"/>
      <c r="P1229" s="67">
        <v>3.54</v>
      </c>
      <c r="Q1229" s="72">
        <f t="shared" si="167"/>
        <v>152.22</v>
      </c>
      <c r="R1229" s="72">
        <f t="shared" si="168"/>
        <v>121.776</v>
      </c>
    </row>
    <row r="1230" spans="1:18" ht="10.5" customHeight="1" x14ac:dyDescent="0.3">
      <c r="A1230" s="80" t="s">
        <v>1524</v>
      </c>
      <c r="B1230" s="287" t="s">
        <v>387</v>
      </c>
      <c r="C1230" s="64" t="s">
        <v>86</v>
      </c>
      <c r="D1230" s="65">
        <v>25</v>
      </c>
      <c r="E1230" s="66">
        <v>1000</v>
      </c>
      <c r="F1230" s="67">
        <v>0.86</v>
      </c>
      <c r="G1230" s="72">
        <f t="shared" si="169"/>
        <v>36.979999999999997</v>
      </c>
      <c r="H1230" s="72">
        <f t="shared" si="170"/>
        <v>29.583999999999996</v>
      </c>
      <c r="I1230" s="20"/>
      <c r="J1230" s="80" t="s">
        <v>1525</v>
      </c>
      <c r="K1230" s="287" t="s">
        <v>769</v>
      </c>
      <c r="L1230" s="64" t="s">
        <v>86</v>
      </c>
      <c r="M1230" s="65">
        <v>30</v>
      </c>
      <c r="N1230" s="66">
        <v>200</v>
      </c>
      <c r="O1230" s="66"/>
      <c r="P1230" s="67">
        <v>4.24</v>
      </c>
      <c r="Q1230" s="72">
        <f t="shared" si="167"/>
        <v>182.32000000000002</v>
      </c>
      <c r="R1230" s="72">
        <f t="shared" si="168"/>
        <v>145.85600000000002</v>
      </c>
    </row>
    <row r="1231" spans="1:18" ht="10.5" customHeight="1" x14ac:dyDescent="0.3">
      <c r="A1231" s="80" t="s">
        <v>1526</v>
      </c>
      <c r="B1231" s="287" t="s">
        <v>387</v>
      </c>
      <c r="C1231" s="64" t="s">
        <v>86</v>
      </c>
      <c r="D1231" s="65">
        <v>30</v>
      </c>
      <c r="E1231" s="66">
        <v>1000</v>
      </c>
      <c r="F1231" s="67">
        <v>1</v>
      </c>
      <c r="G1231" s="72">
        <f t="shared" si="169"/>
        <v>43</v>
      </c>
      <c r="H1231" s="72">
        <f t="shared" si="170"/>
        <v>34.4</v>
      </c>
      <c r="I1231" s="20"/>
      <c r="J1231" s="80" t="s">
        <v>1527</v>
      </c>
      <c r="K1231" s="287" t="s">
        <v>769</v>
      </c>
      <c r="L1231" s="64" t="s">
        <v>86</v>
      </c>
      <c r="M1231" s="65">
        <v>35</v>
      </c>
      <c r="N1231" s="66">
        <v>200</v>
      </c>
      <c r="O1231" s="66"/>
      <c r="P1231" s="67">
        <v>4.34</v>
      </c>
      <c r="Q1231" s="72">
        <f t="shared" si="167"/>
        <v>186.62</v>
      </c>
      <c r="R1231" s="72">
        <f t="shared" si="168"/>
        <v>149.29599999999999</v>
      </c>
    </row>
    <row r="1232" spans="1:18" ht="10.5" customHeight="1" x14ac:dyDescent="0.3">
      <c r="A1232" s="296" t="s">
        <v>1528</v>
      </c>
      <c r="B1232" s="287" t="s">
        <v>1529</v>
      </c>
      <c r="C1232" s="64" t="s">
        <v>86</v>
      </c>
      <c r="D1232" s="65">
        <v>6</v>
      </c>
      <c r="E1232" s="66">
        <v>1000</v>
      </c>
      <c r="F1232" s="67">
        <v>0.86</v>
      </c>
      <c r="G1232" s="72">
        <f t="shared" si="169"/>
        <v>36.979999999999997</v>
      </c>
      <c r="H1232" s="72">
        <f t="shared" si="170"/>
        <v>29.583999999999996</v>
      </c>
      <c r="I1232" s="20"/>
      <c r="J1232" s="80" t="s">
        <v>1530</v>
      </c>
      <c r="K1232" s="287" t="s">
        <v>769</v>
      </c>
      <c r="L1232" s="64" t="s">
        <v>86</v>
      </c>
      <c r="M1232" s="65">
        <v>40</v>
      </c>
      <c r="N1232" s="66">
        <v>200</v>
      </c>
      <c r="O1232" s="66"/>
      <c r="P1232" s="67">
        <v>4.79</v>
      </c>
      <c r="Q1232" s="72">
        <f t="shared" si="167"/>
        <v>205.97</v>
      </c>
      <c r="R1232" s="72">
        <f t="shared" si="168"/>
        <v>164.77600000000001</v>
      </c>
    </row>
    <row r="1233" spans="1:18" ht="10.5" customHeight="1" x14ac:dyDescent="0.3">
      <c r="A1233" s="296" t="s">
        <v>1531</v>
      </c>
      <c r="B1233" s="287" t="s">
        <v>1529</v>
      </c>
      <c r="C1233" s="64" t="s">
        <v>86</v>
      </c>
      <c r="D1233" s="65">
        <v>8</v>
      </c>
      <c r="E1233" s="66">
        <v>1000</v>
      </c>
      <c r="F1233" s="67">
        <v>0.97</v>
      </c>
      <c r="G1233" s="72">
        <f t="shared" si="169"/>
        <v>41.71</v>
      </c>
      <c r="H1233" s="72">
        <f t="shared" si="170"/>
        <v>33.368000000000002</v>
      </c>
      <c r="I1233" s="20"/>
      <c r="J1233" s="80" t="s">
        <v>1532</v>
      </c>
      <c r="K1233" s="287" t="s">
        <v>769</v>
      </c>
      <c r="L1233" s="64" t="s">
        <v>86</v>
      </c>
      <c r="M1233" s="65">
        <v>45</v>
      </c>
      <c r="N1233" s="66">
        <v>200</v>
      </c>
      <c r="O1233" s="66"/>
      <c r="P1233" s="67">
        <v>5.56</v>
      </c>
      <c r="Q1233" s="72">
        <f t="shared" si="167"/>
        <v>239.07999999999998</v>
      </c>
      <c r="R1233" s="72">
        <f t="shared" si="168"/>
        <v>191.26399999999998</v>
      </c>
    </row>
    <row r="1234" spans="1:18" ht="10.5" customHeight="1" x14ac:dyDescent="0.3">
      <c r="A1234" s="80" t="s">
        <v>1533</v>
      </c>
      <c r="B1234" s="287" t="s">
        <v>1529</v>
      </c>
      <c r="C1234" s="64" t="s">
        <v>86</v>
      </c>
      <c r="D1234" s="65">
        <v>10</v>
      </c>
      <c r="E1234" s="66">
        <v>1000</v>
      </c>
      <c r="F1234" s="67">
        <v>1.04</v>
      </c>
      <c r="G1234" s="72">
        <f t="shared" si="169"/>
        <v>44.72</v>
      </c>
      <c r="H1234" s="72">
        <f t="shared" si="170"/>
        <v>35.775999999999996</v>
      </c>
      <c r="I1234" s="20"/>
      <c r="J1234" s="80" t="s">
        <v>1534</v>
      </c>
      <c r="K1234" s="287" t="s">
        <v>769</v>
      </c>
      <c r="L1234" s="64" t="s">
        <v>86</v>
      </c>
      <c r="M1234" s="65">
        <v>50</v>
      </c>
      <c r="N1234" s="66">
        <v>200</v>
      </c>
      <c r="O1234" s="66"/>
      <c r="P1234" s="67">
        <v>5.58</v>
      </c>
      <c r="Q1234" s="72">
        <f t="shared" si="167"/>
        <v>239.94</v>
      </c>
      <c r="R1234" s="72">
        <f t="shared" si="168"/>
        <v>191.952</v>
      </c>
    </row>
    <row r="1235" spans="1:18" ht="10.5" customHeight="1" x14ac:dyDescent="0.3">
      <c r="A1235" s="80" t="s">
        <v>1535</v>
      </c>
      <c r="B1235" s="287" t="s">
        <v>1529</v>
      </c>
      <c r="C1235" s="64" t="s">
        <v>86</v>
      </c>
      <c r="D1235" s="65">
        <v>12</v>
      </c>
      <c r="E1235" s="66">
        <v>1000</v>
      </c>
      <c r="F1235" s="67">
        <v>1.1299999999999999</v>
      </c>
      <c r="G1235" s="72">
        <f t="shared" si="169"/>
        <v>48.589999999999996</v>
      </c>
      <c r="H1235" s="72">
        <f t="shared" si="170"/>
        <v>38.872</v>
      </c>
      <c r="I1235" s="20"/>
      <c r="J1235" s="80" t="s">
        <v>1536</v>
      </c>
      <c r="K1235" s="287" t="s">
        <v>769</v>
      </c>
      <c r="L1235" s="64" t="s">
        <v>86</v>
      </c>
      <c r="M1235" s="65">
        <v>55</v>
      </c>
      <c r="N1235" s="66">
        <v>200</v>
      </c>
      <c r="O1235" s="66"/>
      <c r="P1235" s="67">
        <v>6.29</v>
      </c>
      <c r="Q1235" s="72">
        <f t="shared" si="167"/>
        <v>270.47000000000003</v>
      </c>
      <c r="R1235" s="72">
        <f t="shared" si="168"/>
        <v>216.37600000000003</v>
      </c>
    </row>
    <row r="1236" spans="1:18" ht="10.5" customHeight="1" x14ac:dyDescent="0.3">
      <c r="A1236" s="80" t="s">
        <v>1537</v>
      </c>
      <c r="B1236" s="287" t="s">
        <v>1529</v>
      </c>
      <c r="C1236" s="64" t="s">
        <v>86</v>
      </c>
      <c r="D1236" s="65">
        <v>14</v>
      </c>
      <c r="E1236" s="66">
        <v>1000</v>
      </c>
      <c r="F1236" s="67">
        <v>1.25</v>
      </c>
      <c r="G1236" s="72">
        <f t="shared" si="169"/>
        <v>53.75</v>
      </c>
      <c r="H1236" s="72">
        <f t="shared" si="170"/>
        <v>43</v>
      </c>
      <c r="I1236" s="20"/>
      <c r="J1236" s="80" t="s">
        <v>1538</v>
      </c>
      <c r="K1236" s="287" t="s">
        <v>769</v>
      </c>
      <c r="L1236" s="64" t="s">
        <v>86</v>
      </c>
      <c r="M1236" s="65">
        <v>60</v>
      </c>
      <c r="N1236" s="66">
        <v>200</v>
      </c>
      <c r="O1236" s="66"/>
      <c r="P1236" s="67">
        <v>6.6</v>
      </c>
      <c r="Q1236" s="72">
        <f t="shared" si="167"/>
        <v>283.8</v>
      </c>
      <c r="R1236" s="72">
        <f t="shared" si="168"/>
        <v>227.04000000000002</v>
      </c>
    </row>
    <row r="1237" spans="1:18" ht="10.5" customHeight="1" x14ac:dyDescent="0.3">
      <c r="A1237" s="80" t="s">
        <v>1539</v>
      </c>
      <c r="B1237" s="287" t="s">
        <v>1529</v>
      </c>
      <c r="C1237" s="64" t="s">
        <v>86</v>
      </c>
      <c r="D1237" s="65">
        <v>16</v>
      </c>
      <c r="E1237" s="66">
        <v>1000</v>
      </c>
      <c r="F1237" s="67">
        <v>1.31</v>
      </c>
      <c r="G1237" s="72">
        <f t="shared" si="169"/>
        <v>56.330000000000005</v>
      </c>
      <c r="H1237" s="72">
        <f t="shared" si="170"/>
        <v>45.064000000000007</v>
      </c>
      <c r="I1237" s="20"/>
      <c r="J1237" s="80" t="s">
        <v>1540</v>
      </c>
      <c r="K1237" s="287" t="s">
        <v>769</v>
      </c>
      <c r="L1237" s="64" t="s">
        <v>86</v>
      </c>
      <c r="M1237" s="65">
        <v>70</v>
      </c>
      <c r="N1237" s="66">
        <v>200</v>
      </c>
      <c r="O1237" s="66"/>
      <c r="P1237" s="67">
        <v>6.87</v>
      </c>
      <c r="Q1237" s="72">
        <f t="shared" si="167"/>
        <v>295.41000000000003</v>
      </c>
      <c r="R1237" s="72">
        <f t="shared" si="168"/>
        <v>236.32800000000003</v>
      </c>
    </row>
    <row r="1238" spans="1:18" ht="10.5" customHeight="1" x14ac:dyDescent="0.3">
      <c r="A1238" s="80" t="s">
        <v>1541</v>
      </c>
      <c r="B1238" s="287" t="s">
        <v>1529</v>
      </c>
      <c r="C1238" s="64" t="s">
        <v>86</v>
      </c>
      <c r="D1238" s="65">
        <v>20</v>
      </c>
      <c r="E1238" s="66">
        <v>1000</v>
      </c>
      <c r="F1238" s="67">
        <v>1.41</v>
      </c>
      <c r="G1238" s="72">
        <f t="shared" si="169"/>
        <v>60.629999999999995</v>
      </c>
      <c r="H1238" s="72">
        <f t="shared" si="170"/>
        <v>48.503999999999998</v>
      </c>
      <c r="I1238" s="20"/>
      <c r="J1238" s="80" t="s">
        <v>1542</v>
      </c>
      <c r="K1238" s="287" t="s">
        <v>772</v>
      </c>
      <c r="L1238" s="64" t="s">
        <v>86</v>
      </c>
      <c r="M1238" s="65">
        <v>12</v>
      </c>
      <c r="N1238" s="66">
        <v>200</v>
      </c>
      <c r="O1238" s="66"/>
      <c r="P1238" s="67">
        <v>5.34</v>
      </c>
      <c r="Q1238" s="72">
        <f t="shared" si="167"/>
        <v>229.62</v>
      </c>
      <c r="R1238" s="72">
        <f t="shared" si="168"/>
        <v>183.696</v>
      </c>
    </row>
    <row r="1239" spans="1:18" ht="10.5" customHeight="1" x14ac:dyDescent="0.3">
      <c r="A1239" s="80" t="s">
        <v>1543</v>
      </c>
      <c r="B1239" s="287" t="s">
        <v>1529</v>
      </c>
      <c r="C1239" s="64" t="s">
        <v>86</v>
      </c>
      <c r="D1239" s="65">
        <v>25</v>
      </c>
      <c r="E1239" s="66">
        <v>1000</v>
      </c>
      <c r="F1239" s="67">
        <v>1.51</v>
      </c>
      <c r="G1239" s="72">
        <f t="shared" si="169"/>
        <v>64.930000000000007</v>
      </c>
      <c r="H1239" s="72">
        <f t="shared" si="170"/>
        <v>51.944000000000003</v>
      </c>
      <c r="I1239" s="20"/>
      <c r="J1239" s="80" t="s">
        <v>1544</v>
      </c>
      <c r="K1239" s="287" t="s">
        <v>772</v>
      </c>
      <c r="L1239" s="64" t="s">
        <v>86</v>
      </c>
      <c r="M1239" s="65">
        <v>16</v>
      </c>
      <c r="N1239" s="66">
        <v>200</v>
      </c>
      <c r="O1239" s="66"/>
      <c r="P1239" s="67">
        <v>5.93</v>
      </c>
      <c r="Q1239" s="72">
        <f t="shared" si="167"/>
        <v>254.98999999999998</v>
      </c>
      <c r="R1239" s="72">
        <f t="shared" si="168"/>
        <v>203.99199999999999</v>
      </c>
    </row>
    <row r="1240" spans="1:18" ht="10.5" customHeight="1" x14ac:dyDescent="0.3">
      <c r="A1240" s="80" t="s">
        <v>1545</v>
      </c>
      <c r="B1240" s="287" t="s">
        <v>1529</v>
      </c>
      <c r="C1240" s="64" t="s">
        <v>86</v>
      </c>
      <c r="D1240" s="65">
        <v>30</v>
      </c>
      <c r="E1240" s="66">
        <v>500</v>
      </c>
      <c r="F1240" s="67">
        <v>1.73</v>
      </c>
      <c r="G1240" s="72">
        <f t="shared" si="169"/>
        <v>74.39</v>
      </c>
      <c r="H1240" s="72">
        <f t="shared" si="170"/>
        <v>59.512</v>
      </c>
      <c r="I1240" s="20"/>
      <c r="J1240" s="80" t="s">
        <v>1546</v>
      </c>
      <c r="K1240" s="287" t="s">
        <v>772</v>
      </c>
      <c r="L1240" s="64" t="s">
        <v>86</v>
      </c>
      <c r="M1240" s="65">
        <v>20</v>
      </c>
      <c r="N1240" s="66">
        <v>200</v>
      </c>
      <c r="O1240" s="66"/>
      <c r="P1240" s="67">
        <v>6.22</v>
      </c>
      <c r="Q1240" s="72">
        <f t="shared" si="167"/>
        <v>267.45999999999998</v>
      </c>
      <c r="R1240" s="72">
        <f t="shared" si="168"/>
        <v>213.96799999999999</v>
      </c>
    </row>
    <row r="1241" spans="1:18" ht="10.5" customHeight="1" x14ac:dyDescent="0.3">
      <c r="A1241" s="80" t="s">
        <v>1547</v>
      </c>
      <c r="B1241" s="287" t="s">
        <v>1529</v>
      </c>
      <c r="C1241" s="64" t="s">
        <v>86</v>
      </c>
      <c r="D1241" s="65">
        <v>35</v>
      </c>
      <c r="E1241" s="66">
        <v>500</v>
      </c>
      <c r="F1241" s="67">
        <v>1.98</v>
      </c>
      <c r="G1241" s="72">
        <f t="shared" si="169"/>
        <v>85.14</v>
      </c>
      <c r="H1241" s="72">
        <f t="shared" si="170"/>
        <v>68.111999999999995</v>
      </c>
      <c r="I1241" s="20"/>
      <c r="J1241" s="80" t="s">
        <v>1548</v>
      </c>
      <c r="K1241" s="287" t="s">
        <v>772</v>
      </c>
      <c r="L1241" s="64" t="s">
        <v>86</v>
      </c>
      <c r="M1241" s="65">
        <v>25</v>
      </c>
      <c r="N1241" s="66">
        <v>200</v>
      </c>
      <c r="O1241" s="66"/>
      <c r="P1241" s="67">
        <v>7.44</v>
      </c>
      <c r="Q1241" s="72">
        <f t="shared" si="167"/>
        <v>319.92</v>
      </c>
      <c r="R1241" s="72">
        <f t="shared" si="168"/>
        <v>255.93600000000001</v>
      </c>
    </row>
    <row r="1242" spans="1:18" ht="10.5" customHeight="1" x14ac:dyDescent="0.3">
      <c r="A1242" s="80" t="s">
        <v>1549</v>
      </c>
      <c r="B1242" s="287" t="s">
        <v>1529</v>
      </c>
      <c r="C1242" s="64" t="s">
        <v>86</v>
      </c>
      <c r="D1242" s="65">
        <v>40</v>
      </c>
      <c r="E1242" s="66">
        <v>500</v>
      </c>
      <c r="F1242" s="67">
        <v>2.23</v>
      </c>
      <c r="G1242" s="72">
        <f t="shared" si="169"/>
        <v>95.89</v>
      </c>
      <c r="H1242" s="72">
        <f t="shared" si="170"/>
        <v>76.712000000000003</v>
      </c>
      <c r="I1242" s="20"/>
      <c r="J1242" s="80" t="s">
        <v>1550</v>
      </c>
      <c r="K1242" s="287" t="s">
        <v>772</v>
      </c>
      <c r="L1242" s="64" t="s">
        <v>86</v>
      </c>
      <c r="M1242" s="65">
        <v>30</v>
      </c>
      <c r="N1242" s="66">
        <v>200</v>
      </c>
      <c r="O1242" s="66"/>
      <c r="P1242" s="67">
        <v>7.63</v>
      </c>
      <c r="Q1242" s="72">
        <f t="shared" si="167"/>
        <v>328.09</v>
      </c>
      <c r="R1242" s="72">
        <f t="shared" si="168"/>
        <v>262.47199999999998</v>
      </c>
    </row>
    <row r="1243" spans="1:18" ht="10.5" customHeight="1" x14ac:dyDescent="0.3">
      <c r="A1243" s="80" t="s">
        <v>1551</v>
      </c>
      <c r="B1243" s="287" t="s">
        <v>1529</v>
      </c>
      <c r="C1243" s="64" t="s">
        <v>86</v>
      </c>
      <c r="D1243" s="65">
        <v>50</v>
      </c>
      <c r="E1243" s="66">
        <v>500</v>
      </c>
      <c r="F1243" s="67">
        <v>2.54</v>
      </c>
      <c r="G1243" s="72">
        <f t="shared" si="169"/>
        <v>109.22</v>
      </c>
      <c r="H1243" s="72">
        <f t="shared" si="170"/>
        <v>87.376000000000005</v>
      </c>
      <c r="I1243" s="20"/>
      <c r="J1243" s="80" t="s">
        <v>1552</v>
      </c>
      <c r="K1243" s="287" t="s">
        <v>772</v>
      </c>
      <c r="L1243" s="64" t="s">
        <v>86</v>
      </c>
      <c r="M1243" s="65">
        <v>35</v>
      </c>
      <c r="N1243" s="66">
        <v>200</v>
      </c>
      <c r="O1243" s="66"/>
      <c r="P1243" s="67">
        <v>9.0399999999999991</v>
      </c>
      <c r="Q1243" s="72">
        <f t="shared" si="167"/>
        <v>388.71999999999997</v>
      </c>
      <c r="R1243" s="72">
        <f t="shared" si="168"/>
        <v>310.976</v>
      </c>
    </row>
    <row r="1244" spans="1:18" ht="10.5" customHeight="1" x14ac:dyDescent="0.3">
      <c r="A1244" s="296" t="s">
        <v>1553</v>
      </c>
      <c r="B1244" s="287" t="s">
        <v>766</v>
      </c>
      <c r="C1244" s="64" t="s">
        <v>86</v>
      </c>
      <c r="D1244" s="65">
        <v>8</v>
      </c>
      <c r="E1244" s="66">
        <v>1000</v>
      </c>
      <c r="F1244" s="67">
        <v>1.46</v>
      </c>
      <c r="G1244" s="72">
        <f t="shared" si="169"/>
        <v>62.78</v>
      </c>
      <c r="H1244" s="72">
        <f t="shared" si="170"/>
        <v>50.224000000000004</v>
      </c>
      <c r="I1244" s="20"/>
      <c r="J1244" s="81" t="s">
        <v>1554</v>
      </c>
      <c r="K1244" s="288" t="s">
        <v>772</v>
      </c>
      <c r="L1244" s="56" t="s">
        <v>86</v>
      </c>
      <c r="M1244" s="57">
        <v>40</v>
      </c>
      <c r="N1244" s="58">
        <v>200</v>
      </c>
      <c r="O1244" s="58"/>
      <c r="P1244" s="59">
        <v>9.14</v>
      </c>
      <c r="Q1244" s="72">
        <f t="shared" si="167"/>
        <v>393.02000000000004</v>
      </c>
      <c r="R1244" s="72">
        <f t="shared" si="168"/>
        <v>314.41600000000005</v>
      </c>
    </row>
    <row r="1245" spans="1:18" ht="10.5" customHeight="1" x14ac:dyDescent="0.3">
      <c r="A1245" s="80" t="s">
        <v>1555</v>
      </c>
      <c r="B1245" s="287" t="s">
        <v>766</v>
      </c>
      <c r="C1245" s="64" t="s">
        <v>86</v>
      </c>
      <c r="D1245" s="65">
        <v>10</v>
      </c>
      <c r="E1245" s="66">
        <v>1000</v>
      </c>
      <c r="F1245" s="67">
        <v>1.59</v>
      </c>
      <c r="G1245" s="72">
        <f t="shared" si="169"/>
        <v>68.37</v>
      </c>
      <c r="H1245" s="72">
        <f t="shared" si="170"/>
        <v>54.696000000000005</v>
      </c>
      <c r="I1245" s="20"/>
      <c r="J1245" s="80" t="s">
        <v>1556</v>
      </c>
      <c r="K1245" s="287" t="s">
        <v>772</v>
      </c>
      <c r="L1245" s="64" t="s">
        <v>86</v>
      </c>
      <c r="M1245" s="65">
        <v>45</v>
      </c>
      <c r="N1245" s="66">
        <v>200</v>
      </c>
      <c r="O1245" s="66"/>
      <c r="P1245" s="67">
        <v>10.64</v>
      </c>
      <c r="Q1245" s="72">
        <f t="shared" si="167"/>
        <v>457.52000000000004</v>
      </c>
      <c r="R1245" s="72">
        <f t="shared" si="168"/>
        <v>366.01600000000002</v>
      </c>
    </row>
    <row r="1246" spans="1:18" ht="10.5" customHeight="1" x14ac:dyDescent="0.3">
      <c r="A1246" s="80" t="s">
        <v>1557</v>
      </c>
      <c r="B1246" s="287" t="s">
        <v>766</v>
      </c>
      <c r="C1246" s="64" t="s">
        <v>86</v>
      </c>
      <c r="D1246" s="65">
        <v>12</v>
      </c>
      <c r="E1246" s="66">
        <v>1000</v>
      </c>
      <c r="F1246" s="67">
        <v>1.79</v>
      </c>
      <c r="G1246" s="72">
        <f t="shared" si="169"/>
        <v>76.97</v>
      </c>
      <c r="H1246" s="72">
        <f t="shared" si="170"/>
        <v>61.576000000000001</v>
      </c>
      <c r="I1246" s="20"/>
      <c r="J1246" s="80" t="s">
        <v>1558</v>
      </c>
      <c r="K1246" s="287" t="s">
        <v>772</v>
      </c>
      <c r="L1246" s="64" t="s">
        <v>86</v>
      </c>
      <c r="M1246" s="65">
        <v>50</v>
      </c>
      <c r="N1246" s="66">
        <v>200</v>
      </c>
      <c r="O1246" s="66"/>
      <c r="P1246" s="67">
        <v>10.64</v>
      </c>
      <c r="Q1246" s="72">
        <f t="shared" si="167"/>
        <v>457.52000000000004</v>
      </c>
      <c r="R1246" s="72">
        <f t="shared" si="168"/>
        <v>366.01600000000002</v>
      </c>
    </row>
    <row r="1247" spans="1:18" ht="10.5" customHeight="1" x14ac:dyDescent="0.3">
      <c r="A1247" s="80" t="s">
        <v>1559</v>
      </c>
      <c r="B1247" s="287" t="s">
        <v>766</v>
      </c>
      <c r="C1247" s="64" t="s">
        <v>86</v>
      </c>
      <c r="D1247" s="65">
        <v>14</v>
      </c>
      <c r="E1247" s="66">
        <v>1000</v>
      </c>
      <c r="F1247" s="67">
        <v>1.84</v>
      </c>
      <c r="G1247" s="72">
        <f t="shared" si="169"/>
        <v>79.12</v>
      </c>
      <c r="H1247" s="72">
        <f t="shared" si="170"/>
        <v>63.296000000000006</v>
      </c>
      <c r="I1247" s="20"/>
      <c r="J1247" s="80" t="s">
        <v>1560</v>
      </c>
      <c r="K1247" s="287" t="s">
        <v>772</v>
      </c>
      <c r="L1247" s="64" t="s">
        <v>86</v>
      </c>
      <c r="M1247" s="65">
        <v>60</v>
      </c>
      <c r="N1247" s="66">
        <v>200</v>
      </c>
      <c r="O1247" s="66"/>
      <c r="P1247" s="67">
        <v>11.58</v>
      </c>
      <c r="Q1247" s="72">
        <f t="shared" si="167"/>
        <v>497.94</v>
      </c>
      <c r="R1247" s="72">
        <f t="shared" si="168"/>
        <v>398.35199999999998</v>
      </c>
    </row>
    <row r="1248" spans="1:18" ht="10.5" customHeight="1" x14ac:dyDescent="0.3">
      <c r="A1248" s="80" t="s">
        <v>1561</v>
      </c>
      <c r="B1248" s="287" t="s">
        <v>766</v>
      </c>
      <c r="C1248" s="64" t="s">
        <v>86</v>
      </c>
      <c r="D1248" s="65">
        <v>16</v>
      </c>
      <c r="E1248" s="66">
        <v>1000</v>
      </c>
      <c r="F1248" s="67">
        <v>1.97</v>
      </c>
      <c r="G1248" s="72">
        <f t="shared" si="169"/>
        <v>84.71</v>
      </c>
      <c r="H1248" s="72">
        <f t="shared" si="170"/>
        <v>67.768000000000001</v>
      </c>
      <c r="I1248" s="54"/>
      <c r="J1248" s="80" t="s">
        <v>1562</v>
      </c>
      <c r="K1248" s="287" t="s">
        <v>772</v>
      </c>
      <c r="L1248" s="64" t="s">
        <v>86</v>
      </c>
      <c r="M1248" s="65">
        <v>70</v>
      </c>
      <c r="N1248" s="66">
        <v>200</v>
      </c>
      <c r="O1248" s="66"/>
      <c r="P1248" s="67">
        <v>12.95</v>
      </c>
      <c r="Q1248" s="72">
        <f t="shared" si="167"/>
        <v>556.85</v>
      </c>
      <c r="R1248" s="72">
        <f t="shared" si="168"/>
        <v>445.48</v>
      </c>
    </row>
    <row r="1249" spans="1:18" ht="10.5" customHeight="1" x14ac:dyDescent="0.3">
      <c r="A1249" s="80" t="s">
        <v>1563</v>
      </c>
      <c r="B1249" s="287" t="s">
        <v>766</v>
      </c>
      <c r="C1249" s="64" t="s">
        <v>86</v>
      </c>
      <c r="D1249" s="65">
        <v>20</v>
      </c>
      <c r="E1249" s="66">
        <v>500</v>
      </c>
      <c r="F1249" s="67">
        <v>2.2200000000000002</v>
      </c>
      <c r="G1249" s="72">
        <f t="shared" si="169"/>
        <v>95.460000000000008</v>
      </c>
      <c r="H1249" s="72">
        <f t="shared" si="170"/>
        <v>76.368000000000009</v>
      </c>
      <c r="I1249" s="20"/>
      <c r="J1249" s="80" t="s">
        <v>1564</v>
      </c>
      <c r="K1249" s="287" t="s">
        <v>772</v>
      </c>
      <c r="L1249" s="64" t="s">
        <v>86</v>
      </c>
      <c r="M1249" s="65">
        <v>80</v>
      </c>
      <c r="N1249" s="66">
        <v>200</v>
      </c>
      <c r="O1249" s="66"/>
      <c r="P1249" s="67">
        <v>14.32</v>
      </c>
      <c r="Q1249" s="72">
        <f t="shared" si="167"/>
        <v>615.76</v>
      </c>
      <c r="R1249" s="72">
        <f t="shared" si="168"/>
        <v>492.608</v>
      </c>
    </row>
    <row r="1250" spans="1:18" ht="10.5" customHeight="1" x14ac:dyDescent="0.3">
      <c r="A1250" s="80" t="s">
        <v>1565</v>
      </c>
      <c r="B1250" s="287" t="s">
        <v>766</v>
      </c>
      <c r="C1250" s="64" t="s">
        <v>86</v>
      </c>
      <c r="D1250" s="65">
        <v>25</v>
      </c>
      <c r="E1250" s="66">
        <v>500</v>
      </c>
      <c r="F1250" s="67">
        <v>2.5299999999999998</v>
      </c>
      <c r="G1250" s="72">
        <f t="shared" si="169"/>
        <v>108.78999999999999</v>
      </c>
      <c r="H1250" s="72">
        <f t="shared" si="170"/>
        <v>87.031999999999996</v>
      </c>
      <c r="I1250" s="20"/>
      <c r="J1250" s="20"/>
      <c r="K1250" s="20"/>
      <c r="L1250" s="20"/>
      <c r="M1250" s="20"/>
      <c r="N1250" s="20"/>
      <c r="O1250" s="20"/>
      <c r="P1250" s="20"/>
      <c r="Q1250" s="20"/>
      <c r="R1250" s="20"/>
    </row>
    <row r="1251" spans="1:18" ht="10.5" customHeight="1" x14ac:dyDescent="0.3">
      <c r="A1251" s="20"/>
      <c r="B1251" s="20"/>
      <c r="C1251" s="20"/>
      <c r="D1251" s="20"/>
      <c r="E1251" s="20"/>
      <c r="F1251" s="20"/>
      <c r="G1251" s="20"/>
      <c r="H1251" s="20"/>
      <c r="I1251" s="20"/>
      <c r="J1251" s="20"/>
      <c r="K1251" s="20"/>
      <c r="L1251" s="20"/>
      <c r="M1251" s="20"/>
      <c r="N1251" s="20"/>
      <c r="O1251" s="20"/>
      <c r="P1251" s="20"/>
      <c r="Q1251" s="20"/>
      <c r="R1251" s="20"/>
    </row>
    <row r="1252" spans="1:18" ht="10.5" customHeight="1" x14ac:dyDescent="0.3">
      <c r="A1252" s="20"/>
      <c r="B1252" s="20"/>
      <c r="C1252" s="20"/>
      <c r="D1252" s="20"/>
      <c r="E1252" s="20"/>
      <c r="F1252" s="20"/>
      <c r="G1252" s="20"/>
      <c r="H1252" s="20"/>
      <c r="I1252" s="20"/>
      <c r="J1252" s="20"/>
      <c r="K1252" s="20"/>
      <c r="L1252" s="20"/>
      <c r="M1252" s="20"/>
      <c r="N1252" s="20"/>
      <c r="O1252" s="20"/>
      <c r="P1252" s="20"/>
      <c r="Q1252" s="20"/>
      <c r="R1252" s="20"/>
    </row>
    <row r="1253" spans="1:18" ht="10.5" customHeight="1" x14ac:dyDescent="0.3">
      <c r="A1253" s="166" t="s">
        <v>1566</v>
      </c>
      <c r="B1253" s="48" t="s">
        <v>1567</v>
      </c>
      <c r="C1253" s="49"/>
      <c r="D1253" s="49"/>
      <c r="E1253" s="49"/>
      <c r="F1253" s="49"/>
      <c r="G1253" s="49"/>
      <c r="H1253" s="49"/>
      <c r="I1253" s="49"/>
      <c r="J1253" s="446" t="s">
        <v>78</v>
      </c>
      <c r="K1253" s="477" t="s">
        <v>79</v>
      </c>
      <c r="L1253" s="477"/>
      <c r="M1253" s="477"/>
      <c r="N1253" s="473" t="s">
        <v>80</v>
      </c>
      <c r="O1253" s="434"/>
      <c r="P1253" s="61"/>
      <c r="Q1253" s="16" t="s">
        <v>81</v>
      </c>
      <c r="R1253" s="17" t="s">
        <v>82</v>
      </c>
    </row>
    <row r="1254" spans="1:18" ht="10.5" customHeight="1" thickTop="1" x14ac:dyDescent="0.3">
      <c r="A1254" s="18"/>
      <c r="B1254" s="20"/>
      <c r="C1254" s="20"/>
      <c r="D1254" s="20"/>
      <c r="E1254" s="20"/>
      <c r="F1254" s="20"/>
      <c r="G1254" s="20"/>
      <c r="H1254" s="20"/>
      <c r="I1254" s="20"/>
      <c r="J1254" s="446"/>
      <c r="K1254" s="477"/>
      <c r="L1254" s="477"/>
      <c r="M1254" s="477"/>
      <c r="N1254" s="473"/>
      <c r="O1254" s="369"/>
      <c r="P1254" s="68"/>
      <c r="Q1254" s="69" t="s">
        <v>84</v>
      </c>
      <c r="R1254" s="15" t="s">
        <v>84</v>
      </c>
    </row>
    <row r="1255" spans="1:18" ht="10.5" customHeight="1" x14ac:dyDescent="0.3">
      <c r="A1255" s="18"/>
      <c r="B1255" s="20"/>
      <c r="C1255" s="20"/>
      <c r="D1255" s="20"/>
      <c r="E1255" s="20"/>
      <c r="F1255" s="20"/>
      <c r="G1255" s="20"/>
      <c r="H1255" s="20"/>
      <c r="I1255" s="20"/>
      <c r="J1255" s="251" t="s">
        <v>1568</v>
      </c>
      <c r="K1255" s="287" t="s">
        <v>1569</v>
      </c>
      <c r="L1255" s="64" t="s">
        <v>86</v>
      </c>
      <c r="M1255" s="65">
        <v>20</v>
      </c>
      <c r="N1255" s="66">
        <v>500</v>
      </c>
      <c r="O1255" s="66"/>
      <c r="P1255" s="67">
        <v>1.92</v>
      </c>
      <c r="Q1255" s="72">
        <f t="shared" ref="Q1255:Q1284" si="171">P1255*$F$10</f>
        <v>82.56</v>
      </c>
      <c r="R1255" s="72">
        <f t="shared" ref="R1255:R1284" si="172">Q1255-Q1255*0.2</f>
        <v>66.048000000000002</v>
      </c>
    </row>
    <row r="1256" spans="1:18" ht="10.5" customHeight="1" x14ac:dyDescent="0.3">
      <c r="A1256" s="18"/>
      <c r="B1256" s="20"/>
      <c r="C1256" s="20"/>
      <c r="D1256" s="20"/>
      <c r="E1256" s="20"/>
      <c r="F1256" s="20"/>
      <c r="G1256" s="20"/>
      <c r="H1256" s="20"/>
      <c r="I1256" s="20"/>
      <c r="J1256" s="251" t="s">
        <v>1570</v>
      </c>
      <c r="K1256" s="287" t="s">
        <v>1569</v>
      </c>
      <c r="L1256" s="64" t="s">
        <v>86</v>
      </c>
      <c r="M1256" s="65">
        <v>25</v>
      </c>
      <c r="N1256" s="66">
        <v>500</v>
      </c>
      <c r="O1256" s="66"/>
      <c r="P1256" s="67">
        <v>2.0299999999999998</v>
      </c>
      <c r="Q1256" s="72">
        <f t="shared" si="171"/>
        <v>87.289999999999992</v>
      </c>
      <c r="R1256" s="72">
        <f t="shared" si="172"/>
        <v>69.831999999999994</v>
      </c>
    </row>
    <row r="1257" spans="1:18" ht="10.5" customHeight="1" x14ac:dyDescent="0.3">
      <c r="A1257" s="262" t="s">
        <v>1571</v>
      </c>
      <c r="B1257" s="20"/>
      <c r="C1257" s="20"/>
      <c r="D1257" s="20"/>
      <c r="E1257" s="20"/>
      <c r="F1257" s="20"/>
      <c r="G1257" s="20"/>
      <c r="H1257" s="20"/>
      <c r="I1257" s="20"/>
      <c r="J1257" s="62" t="s">
        <v>1572</v>
      </c>
      <c r="K1257" s="287" t="s">
        <v>1569</v>
      </c>
      <c r="L1257" s="64" t="s">
        <v>86</v>
      </c>
      <c r="M1257" s="65">
        <v>30</v>
      </c>
      <c r="N1257" s="66">
        <v>500</v>
      </c>
      <c r="O1257" s="66"/>
      <c r="P1257" s="67">
        <v>2.2400000000000002</v>
      </c>
      <c r="Q1257" s="72">
        <f t="shared" si="171"/>
        <v>96.320000000000007</v>
      </c>
      <c r="R1257" s="72">
        <f t="shared" si="172"/>
        <v>77.056000000000012</v>
      </c>
    </row>
    <row r="1258" spans="1:18" ht="10.5" customHeight="1" x14ac:dyDescent="0.3">
      <c r="A1258" s="262" t="s">
        <v>1508</v>
      </c>
      <c r="B1258" s="20"/>
      <c r="C1258" s="20"/>
      <c r="D1258" s="20"/>
      <c r="E1258" s="20"/>
      <c r="F1258" s="20"/>
      <c r="G1258" s="20"/>
      <c r="H1258" s="20"/>
      <c r="I1258" s="20"/>
      <c r="J1258" s="62" t="s">
        <v>1573</v>
      </c>
      <c r="K1258" s="287" t="s">
        <v>1569</v>
      </c>
      <c r="L1258" s="64" t="s">
        <v>86</v>
      </c>
      <c r="M1258" s="65">
        <v>35</v>
      </c>
      <c r="N1258" s="66">
        <v>500</v>
      </c>
      <c r="O1258" s="66"/>
      <c r="P1258" s="67">
        <v>2.39</v>
      </c>
      <c r="Q1258" s="72">
        <f t="shared" si="171"/>
        <v>102.77000000000001</v>
      </c>
      <c r="R1258" s="72">
        <f t="shared" si="172"/>
        <v>82.216000000000008</v>
      </c>
    </row>
    <row r="1259" spans="1:18" ht="10.5" customHeight="1" thickBot="1" x14ac:dyDescent="0.35">
      <c r="A1259" s="446" t="s">
        <v>78</v>
      </c>
      <c r="B1259" s="477" t="s">
        <v>79</v>
      </c>
      <c r="C1259" s="477"/>
      <c r="D1259" s="477"/>
      <c r="E1259" s="473" t="s">
        <v>80</v>
      </c>
      <c r="F1259" s="61"/>
      <c r="G1259" s="16" t="s">
        <v>81</v>
      </c>
      <c r="H1259" s="17" t="s">
        <v>82</v>
      </c>
      <c r="I1259" s="20"/>
      <c r="J1259" s="62" t="s">
        <v>1574</v>
      </c>
      <c r="K1259" s="287" t="s">
        <v>1569</v>
      </c>
      <c r="L1259" s="64" t="s">
        <v>86</v>
      </c>
      <c r="M1259" s="65">
        <v>40</v>
      </c>
      <c r="N1259" s="66">
        <v>500</v>
      </c>
      <c r="O1259" s="66"/>
      <c r="P1259" s="67">
        <v>3.04</v>
      </c>
      <c r="Q1259" s="72">
        <f t="shared" si="171"/>
        <v>130.72</v>
      </c>
      <c r="R1259" s="72">
        <f t="shared" si="172"/>
        <v>104.57599999999999</v>
      </c>
    </row>
    <row r="1260" spans="1:18" ht="10.5" customHeight="1" thickTop="1" x14ac:dyDescent="0.3">
      <c r="A1260" s="446"/>
      <c r="B1260" s="477"/>
      <c r="C1260" s="477"/>
      <c r="D1260" s="477"/>
      <c r="E1260" s="473"/>
      <c r="F1260" s="68"/>
      <c r="G1260" s="69" t="s">
        <v>84</v>
      </c>
      <c r="H1260" s="15" t="s">
        <v>84</v>
      </c>
      <c r="I1260" s="20"/>
      <c r="J1260" s="62" t="s">
        <v>1575</v>
      </c>
      <c r="K1260" s="287" t="s">
        <v>1569</v>
      </c>
      <c r="L1260" s="64" t="s">
        <v>86</v>
      </c>
      <c r="M1260" s="65">
        <v>45</v>
      </c>
      <c r="N1260" s="66">
        <v>500</v>
      </c>
      <c r="O1260" s="66"/>
      <c r="P1260" s="67">
        <v>3.04</v>
      </c>
      <c r="Q1260" s="72">
        <f t="shared" si="171"/>
        <v>130.72</v>
      </c>
      <c r="R1260" s="72">
        <f t="shared" si="172"/>
        <v>104.57599999999999</v>
      </c>
    </row>
    <row r="1261" spans="1:18" ht="10.5" customHeight="1" x14ac:dyDescent="0.3">
      <c r="A1261" s="297">
        <v>110020306</v>
      </c>
      <c r="B1261" s="288" t="s">
        <v>1576</v>
      </c>
      <c r="C1261" s="56" t="s">
        <v>86</v>
      </c>
      <c r="D1261" s="57">
        <v>6</v>
      </c>
      <c r="E1261" s="58">
        <v>1000</v>
      </c>
      <c r="F1261" s="298">
        <v>0.47</v>
      </c>
      <c r="G1261" s="72">
        <f t="shared" ref="G1261:G1285" si="173">F1261*$F$10</f>
        <v>20.209999999999997</v>
      </c>
      <c r="H1261" s="72">
        <f t="shared" ref="H1261:H1285" si="174">G1261-G1261*0.2</f>
        <v>16.167999999999999</v>
      </c>
      <c r="I1261" s="20"/>
      <c r="J1261" s="62" t="s">
        <v>1577</v>
      </c>
      <c r="K1261" s="287" t="s">
        <v>1569</v>
      </c>
      <c r="L1261" s="64" t="s">
        <v>86</v>
      </c>
      <c r="M1261" s="65">
        <v>50</v>
      </c>
      <c r="N1261" s="66">
        <v>500</v>
      </c>
      <c r="O1261" s="66"/>
      <c r="P1261" s="67">
        <v>3.19</v>
      </c>
      <c r="Q1261" s="72">
        <f t="shared" si="171"/>
        <v>137.16999999999999</v>
      </c>
      <c r="R1261" s="72">
        <f t="shared" si="172"/>
        <v>109.73599999999999</v>
      </c>
    </row>
    <row r="1262" spans="1:18" ht="10.5" customHeight="1" x14ac:dyDescent="0.3">
      <c r="A1262" s="251">
        <v>110020308</v>
      </c>
      <c r="B1262" s="287" t="s">
        <v>1576</v>
      </c>
      <c r="C1262" s="64" t="s">
        <v>86</v>
      </c>
      <c r="D1262" s="65">
        <v>8</v>
      </c>
      <c r="E1262" s="66">
        <v>1000</v>
      </c>
      <c r="F1262" s="67">
        <v>0.49</v>
      </c>
      <c r="G1262" s="72">
        <f t="shared" si="173"/>
        <v>21.07</v>
      </c>
      <c r="H1262" s="72">
        <f t="shared" si="174"/>
        <v>16.856000000000002</v>
      </c>
      <c r="I1262" s="20"/>
      <c r="J1262" s="62" t="s">
        <v>1578</v>
      </c>
      <c r="K1262" s="287" t="s">
        <v>1579</v>
      </c>
      <c r="L1262" s="64" t="s">
        <v>86</v>
      </c>
      <c r="M1262" s="65">
        <v>10</v>
      </c>
      <c r="N1262" s="66">
        <v>500</v>
      </c>
      <c r="O1262" s="66"/>
      <c r="P1262" s="67">
        <v>1.66</v>
      </c>
      <c r="Q1262" s="72">
        <f t="shared" si="171"/>
        <v>71.38</v>
      </c>
      <c r="R1262" s="72">
        <f t="shared" si="172"/>
        <v>57.103999999999999</v>
      </c>
    </row>
    <row r="1263" spans="1:18" ht="10.5" customHeight="1" x14ac:dyDescent="0.3">
      <c r="A1263" s="251" t="s">
        <v>1580</v>
      </c>
      <c r="B1263" s="287" t="s">
        <v>1576</v>
      </c>
      <c r="C1263" s="64" t="s">
        <v>86</v>
      </c>
      <c r="D1263" s="65">
        <v>10</v>
      </c>
      <c r="E1263" s="66">
        <v>1000</v>
      </c>
      <c r="F1263" s="67">
        <v>0.5</v>
      </c>
      <c r="G1263" s="72">
        <f t="shared" si="173"/>
        <v>21.5</v>
      </c>
      <c r="H1263" s="72">
        <f t="shared" si="174"/>
        <v>17.2</v>
      </c>
      <c r="I1263" s="20"/>
      <c r="J1263" s="62" t="s">
        <v>1581</v>
      </c>
      <c r="K1263" s="287" t="s">
        <v>1579</v>
      </c>
      <c r="L1263" s="64" t="s">
        <v>86</v>
      </c>
      <c r="M1263" s="65">
        <v>12</v>
      </c>
      <c r="N1263" s="66">
        <v>500</v>
      </c>
      <c r="O1263" s="66"/>
      <c r="P1263" s="67">
        <v>1.89</v>
      </c>
      <c r="Q1263" s="72">
        <f t="shared" si="171"/>
        <v>81.27</v>
      </c>
      <c r="R1263" s="72">
        <f t="shared" si="172"/>
        <v>65.015999999999991</v>
      </c>
    </row>
    <row r="1264" spans="1:18" ht="10.5" customHeight="1" x14ac:dyDescent="0.3">
      <c r="A1264" s="251" t="s">
        <v>1582</v>
      </c>
      <c r="B1264" s="287" t="s">
        <v>1576</v>
      </c>
      <c r="C1264" s="64" t="s">
        <v>86</v>
      </c>
      <c r="D1264" s="65">
        <v>12</v>
      </c>
      <c r="E1264" s="66">
        <v>1000</v>
      </c>
      <c r="F1264" s="67">
        <v>0.73</v>
      </c>
      <c r="G1264" s="72">
        <f t="shared" si="173"/>
        <v>31.39</v>
      </c>
      <c r="H1264" s="72">
        <f t="shared" si="174"/>
        <v>25.112000000000002</v>
      </c>
      <c r="I1264" s="20"/>
      <c r="J1264" s="273" t="s">
        <v>1583</v>
      </c>
      <c r="K1264" s="289" t="s">
        <v>1579</v>
      </c>
      <c r="L1264" s="278" t="s">
        <v>86</v>
      </c>
      <c r="M1264" s="290">
        <v>14</v>
      </c>
      <c r="N1264" s="291">
        <v>500</v>
      </c>
      <c r="O1264" s="291"/>
      <c r="P1264" s="292">
        <v>2.12</v>
      </c>
      <c r="Q1264" s="72">
        <f t="shared" si="171"/>
        <v>91.160000000000011</v>
      </c>
      <c r="R1264" s="72">
        <f t="shared" si="172"/>
        <v>72.928000000000011</v>
      </c>
    </row>
    <row r="1265" spans="1:18" ht="10.5" customHeight="1" x14ac:dyDescent="0.3">
      <c r="A1265" s="251">
        <v>110020314</v>
      </c>
      <c r="B1265" s="287" t="s">
        <v>1576</v>
      </c>
      <c r="C1265" s="64" t="s">
        <v>86</v>
      </c>
      <c r="D1265" s="65">
        <v>14</v>
      </c>
      <c r="E1265" s="66">
        <v>1000</v>
      </c>
      <c r="F1265" s="67">
        <v>0.63</v>
      </c>
      <c r="G1265" s="72">
        <f t="shared" si="173"/>
        <v>27.09</v>
      </c>
      <c r="H1265" s="72">
        <f t="shared" si="174"/>
        <v>21.672000000000001</v>
      </c>
      <c r="I1265" s="20"/>
      <c r="J1265" s="62" t="s">
        <v>1584</v>
      </c>
      <c r="K1265" s="287" t="s">
        <v>1579</v>
      </c>
      <c r="L1265" s="64" t="s">
        <v>86</v>
      </c>
      <c r="M1265" s="65">
        <v>16</v>
      </c>
      <c r="N1265" s="66">
        <v>500</v>
      </c>
      <c r="O1265" s="66"/>
      <c r="P1265" s="67">
        <v>2.36</v>
      </c>
      <c r="Q1265" s="72">
        <f t="shared" si="171"/>
        <v>101.47999999999999</v>
      </c>
      <c r="R1265" s="72">
        <f t="shared" si="172"/>
        <v>81.183999999999997</v>
      </c>
    </row>
    <row r="1266" spans="1:18" ht="10.5" customHeight="1" x14ac:dyDescent="0.3">
      <c r="A1266" s="251" t="s">
        <v>1585</v>
      </c>
      <c r="B1266" s="287" t="s">
        <v>1576</v>
      </c>
      <c r="C1266" s="64" t="s">
        <v>86</v>
      </c>
      <c r="D1266" s="65">
        <v>16</v>
      </c>
      <c r="E1266" s="66">
        <v>1000</v>
      </c>
      <c r="F1266" s="67">
        <v>0.71</v>
      </c>
      <c r="G1266" s="72">
        <f t="shared" si="173"/>
        <v>30.529999999999998</v>
      </c>
      <c r="H1266" s="72">
        <f t="shared" si="174"/>
        <v>24.423999999999999</v>
      </c>
      <c r="I1266" s="20"/>
      <c r="J1266" s="54" t="s">
        <v>1586</v>
      </c>
      <c r="K1266" s="288" t="s">
        <v>1579</v>
      </c>
      <c r="L1266" s="56" t="s">
        <v>86</v>
      </c>
      <c r="M1266" s="57">
        <v>20</v>
      </c>
      <c r="N1266" s="58">
        <v>500</v>
      </c>
      <c r="O1266" s="58"/>
      <c r="P1266" s="59">
        <v>2.6</v>
      </c>
      <c r="Q1266" s="72">
        <f t="shared" si="171"/>
        <v>111.8</v>
      </c>
      <c r="R1266" s="72">
        <f t="shared" si="172"/>
        <v>89.44</v>
      </c>
    </row>
    <row r="1267" spans="1:18" ht="10.5" customHeight="1" x14ac:dyDescent="0.3">
      <c r="A1267" s="251" t="s">
        <v>1587</v>
      </c>
      <c r="B1267" s="287" t="s">
        <v>1576</v>
      </c>
      <c r="C1267" s="64" t="s">
        <v>86</v>
      </c>
      <c r="D1267" s="65">
        <v>20</v>
      </c>
      <c r="E1267" s="66">
        <v>1000</v>
      </c>
      <c r="F1267" s="67">
        <v>1.1299999999999999</v>
      </c>
      <c r="G1267" s="72">
        <f t="shared" si="173"/>
        <v>48.589999999999996</v>
      </c>
      <c r="H1267" s="72">
        <f t="shared" si="174"/>
        <v>38.872</v>
      </c>
      <c r="I1267" s="20"/>
      <c r="J1267" s="62" t="s">
        <v>1588</v>
      </c>
      <c r="K1267" s="287" t="s">
        <v>1579</v>
      </c>
      <c r="L1267" s="64" t="s">
        <v>86</v>
      </c>
      <c r="M1267" s="65">
        <v>25</v>
      </c>
      <c r="N1267" s="66">
        <v>500</v>
      </c>
      <c r="O1267" s="66"/>
      <c r="P1267" s="67">
        <v>3.39</v>
      </c>
      <c r="Q1267" s="72">
        <f t="shared" si="171"/>
        <v>145.77000000000001</v>
      </c>
      <c r="R1267" s="72">
        <f t="shared" si="172"/>
        <v>116.61600000000001</v>
      </c>
    </row>
    <row r="1268" spans="1:18" ht="10.5" customHeight="1" x14ac:dyDescent="0.3">
      <c r="A1268" s="251" t="s">
        <v>1589</v>
      </c>
      <c r="B1268" s="287" t="s">
        <v>1576</v>
      </c>
      <c r="C1268" s="64" t="s">
        <v>86</v>
      </c>
      <c r="D1268" s="65">
        <v>25</v>
      </c>
      <c r="E1268" s="66">
        <v>1000</v>
      </c>
      <c r="F1268" s="67">
        <v>1.1499999999999999</v>
      </c>
      <c r="G1268" s="72">
        <f t="shared" si="173"/>
        <v>49.449999999999996</v>
      </c>
      <c r="H1268" s="72">
        <f t="shared" si="174"/>
        <v>39.559999999999995</v>
      </c>
      <c r="I1268" s="20"/>
      <c r="J1268" s="62" t="s">
        <v>1590</v>
      </c>
      <c r="K1268" s="287" t="s">
        <v>1579</v>
      </c>
      <c r="L1268" s="64" t="s">
        <v>86</v>
      </c>
      <c r="M1268" s="65">
        <v>30</v>
      </c>
      <c r="N1268" s="66">
        <v>200</v>
      </c>
      <c r="O1268" s="66"/>
      <c r="P1268" s="67">
        <v>3.97</v>
      </c>
      <c r="Q1268" s="72">
        <f t="shared" si="171"/>
        <v>170.71</v>
      </c>
      <c r="R1268" s="72">
        <f t="shared" si="172"/>
        <v>136.56800000000001</v>
      </c>
    </row>
    <row r="1269" spans="1:18" ht="10.5" customHeight="1" x14ac:dyDescent="0.3">
      <c r="A1269" s="251" t="s">
        <v>1591</v>
      </c>
      <c r="B1269" s="287" t="s">
        <v>1576</v>
      </c>
      <c r="C1269" s="64" t="s">
        <v>86</v>
      </c>
      <c r="D1269" s="65">
        <v>30</v>
      </c>
      <c r="E1269" s="66">
        <v>1000</v>
      </c>
      <c r="F1269" s="67">
        <v>1.1299999999999999</v>
      </c>
      <c r="G1269" s="72">
        <f t="shared" si="173"/>
        <v>48.589999999999996</v>
      </c>
      <c r="H1269" s="72">
        <f t="shared" si="174"/>
        <v>38.872</v>
      </c>
      <c r="I1269" s="20"/>
      <c r="J1269" s="62" t="s">
        <v>1592</v>
      </c>
      <c r="K1269" s="287" t="s">
        <v>1579</v>
      </c>
      <c r="L1269" s="64" t="s">
        <v>86</v>
      </c>
      <c r="M1269" s="65">
        <v>35</v>
      </c>
      <c r="N1269" s="66">
        <v>200</v>
      </c>
      <c r="O1269" s="66"/>
      <c r="P1269" s="67">
        <v>4.55</v>
      </c>
      <c r="Q1269" s="72">
        <f t="shared" si="171"/>
        <v>195.65</v>
      </c>
      <c r="R1269" s="72">
        <f t="shared" si="172"/>
        <v>156.52000000000001</v>
      </c>
    </row>
    <row r="1270" spans="1:18" ht="10.5" customHeight="1" x14ac:dyDescent="0.3">
      <c r="A1270" s="251" t="s">
        <v>1593</v>
      </c>
      <c r="B1270" s="287" t="s">
        <v>1576</v>
      </c>
      <c r="C1270" s="64" t="s">
        <v>86</v>
      </c>
      <c r="D1270" s="65">
        <v>35</v>
      </c>
      <c r="E1270" s="66">
        <v>1000</v>
      </c>
      <c r="F1270" s="67">
        <v>1.26</v>
      </c>
      <c r="G1270" s="72">
        <f t="shared" si="173"/>
        <v>54.18</v>
      </c>
      <c r="H1270" s="72">
        <f t="shared" si="174"/>
        <v>43.344000000000001</v>
      </c>
      <c r="I1270" s="20"/>
      <c r="J1270" s="62" t="s">
        <v>1594</v>
      </c>
      <c r="K1270" s="287" t="s">
        <v>1579</v>
      </c>
      <c r="L1270" s="64" t="s">
        <v>86</v>
      </c>
      <c r="M1270" s="65">
        <v>40</v>
      </c>
      <c r="N1270" s="66">
        <v>200</v>
      </c>
      <c r="O1270" s="66"/>
      <c r="P1270" s="67">
        <v>5.12</v>
      </c>
      <c r="Q1270" s="72">
        <f t="shared" si="171"/>
        <v>220.16</v>
      </c>
      <c r="R1270" s="72">
        <f t="shared" si="172"/>
        <v>176.12799999999999</v>
      </c>
    </row>
    <row r="1271" spans="1:18" ht="10.5" customHeight="1" x14ac:dyDescent="0.3">
      <c r="A1271" s="251">
        <v>110020406</v>
      </c>
      <c r="B1271" s="287" t="s">
        <v>1595</v>
      </c>
      <c r="C1271" s="64" t="s">
        <v>86</v>
      </c>
      <c r="D1271" s="65">
        <v>6</v>
      </c>
      <c r="E1271" s="66">
        <v>2000</v>
      </c>
      <c r="F1271" s="67">
        <v>0.67</v>
      </c>
      <c r="G1271" s="72">
        <f t="shared" si="173"/>
        <v>28.810000000000002</v>
      </c>
      <c r="H1271" s="72">
        <f t="shared" si="174"/>
        <v>23.048000000000002</v>
      </c>
      <c r="I1271" s="20"/>
      <c r="J1271" s="62" t="s">
        <v>1596</v>
      </c>
      <c r="K1271" s="287" t="s">
        <v>1579</v>
      </c>
      <c r="L1271" s="64" t="s">
        <v>86</v>
      </c>
      <c r="M1271" s="65">
        <v>45</v>
      </c>
      <c r="N1271" s="66">
        <v>200</v>
      </c>
      <c r="O1271" s="66"/>
      <c r="P1271" s="67">
        <v>5.71</v>
      </c>
      <c r="Q1271" s="72">
        <f t="shared" si="171"/>
        <v>245.53</v>
      </c>
      <c r="R1271" s="72">
        <f t="shared" si="172"/>
        <v>196.42400000000001</v>
      </c>
    </row>
    <row r="1272" spans="1:18" ht="10.5" customHeight="1" x14ac:dyDescent="0.3">
      <c r="A1272" s="251">
        <v>110020408</v>
      </c>
      <c r="B1272" s="287" t="s">
        <v>1595</v>
      </c>
      <c r="C1272" s="64" t="s">
        <v>86</v>
      </c>
      <c r="D1272" s="65">
        <v>8</v>
      </c>
      <c r="E1272" s="66">
        <v>1000</v>
      </c>
      <c r="F1272" s="67">
        <v>0.67</v>
      </c>
      <c r="G1272" s="72">
        <f t="shared" si="173"/>
        <v>28.810000000000002</v>
      </c>
      <c r="H1272" s="72">
        <f t="shared" si="174"/>
        <v>23.048000000000002</v>
      </c>
      <c r="I1272" s="20"/>
      <c r="J1272" s="62" t="s">
        <v>1597</v>
      </c>
      <c r="K1272" s="287" t="s">
        <v>1579</v>
      </c>
      <c r="L1272" s="64" t="s">
        <v>86</v>
      </c>
      <c r="M1272" s="65">
        <v>50</v>
      </c>
      <c r="N1272" s="66">
        <v>200</v>
      </c>
      <c r="O1272" s="66"/>
      <c r="P1272" s="67">
        <v>6.28</v>
      </c>
      <c r="Q1272" s="72">
        <f t="shared" si="171"/>
        <v>270.04000000000002</v>
      </c>
      <c r="R1272" s="72">
        <f t="shared" si="172"/>
        <v>216.03200000000001</v>
      </c>
    </row>
    <row r="1273" spans="1:18" ht="10.5" customHeight="1" x14ac:dyDescent="0.3">
      <c r="A1273" s="251" t="s">
        <v>1598</v>
      </c>
      <c r="B1273" s="287" t="s">
        <v>1595</v>
      </c>
      <c r="C1273" s="64" t="s">
        <v>86</v>
      </c>
      <c r="D1273" s="65">
        <v>10</v>
      </c>
      <c r="E1273" s="66">
        <v>1000</v>
      </c>
      <c r="F1273" s="67">
        <v>0.75</v>
      </c>
      <c r="G1273" s="28">
        <f t="shared" si="173"/>
        <v>32.25</v>
      </c>
      <c r="H1273" s="28">
        <f t="shared" si="174"/>
        <v>25.8</v>
      </c>
      <c r="I1273" s="20"/>
      <c r="J1273" s="62" t="s">
        <v>1599</v>
      </c>
      <c r="K1273" s="287" t="s">
        <v>1600</v>
      </c>
      <c r="L1273" s="64" t="s">
        <v>86</v>
      </c>
      <c r="M1273" s="65">
        <v>12</v>
      </c>
      <c r="N1273" s="66">
        <v>200</v>
      </c>
      <c r="O1273" s="66"/>
      <c r="P1273" s="67">
        <v>3.62</v>
      </c>
      <c r="Q1273" s="28">
        <f t="shared" si="171"/>
        <v>155.66</v>
      </c>
      <c r="R1273" s="28">
        <f t="shared" si="172"/>
        <v>124.52799999999999</v>
      </c>
    </row>
    <row r="1274" spans="1:18" ht="10.5" customHeight="1" x14ac:dyDescent="0.3">
      <c r="A1274" s="251" t="s">
        <v>1601</v>
      </c>
      <c r="B1274" s="287" t="s">
        <v>1595</v>
      </c>
      <c r="C1274" s="64" t="s">
        <v>86</v>
      </c>
      <c r="D1274" s="65">
        <v>12</v>
      </c>
      <c r="E1274" s="66">
        <v>1000</v>
      </c>
      <c r="F1274" s="67">
        <v>0.87</v>
      </c>
      <c r="G1274" s="28">
        <f t="shared" si="173"/>
        <v>37.409999999999997</v>
      </c>
      <c r="H1274" s="28">
        <f t="shared" si="174"/>
        <v>29.927999999999997</v>
      </c>
      <c r="I1274" s="20"/>
      <c r="J1274" s="62" t="s">
        <v>1602</v>
      </c>
      <c r="K1274" s="287" t="s">
        <v>1600</v>
      </c>
      <c r="L1274" s="64" t="s">
        <v>86</v>
      </c>
      <c r="M1274" s="65">
        <v>16</v>
      </c>
      <c r="N1274" s="66">
        <v>200</v>
      </c>
      <c r="O1274" s="66"/>
      <c r="P1274" s="67">
        <v>4.43</v>
      </c>
      <c r="Q1274" s="28">
        <f t="shared" si="171"/>
        <v>190.48999999999998</v>
      </c>
      <c r="R1274" s="28">
        <f t="shared" si="172"/>
        <v>152.392</v>
      </c>
    </row>
    <row r="1275" spans="1:18" ht="10.5" customHeight="1" x14ac:dyDescent="0.3">
      <c r="A1275" s="251" t="s">
        <v>1603</v>
      </c>
      <c r="B1275" s="287" t="s">
        <v>1595</v>
      </c>
      <c r="C1275" s="64" t="s">
        <v>86</v>
      </c>
      <c r="D1275" s="65">
        <v>16</v>
      </c>
      <c r="E1275" s="66">
        <v>1000</v>
      </c>
      <c r="F1275" s="67">
        <v>1.01</v>
      </c>
      <c r="G1275" s="72">
        <f t="shared" si="173"/>
        <v>43.43</v>
      </c>
      <c r="H1275" s="72">
        <f t="shared" si="174"/>
        <v>34.744</v>
      </c>
      <c r="I1275" s="20"/>
      <c r="J1275" s="62" t="s">
        <v>1604</v>
      </c>
      <c r="K1275" s="287" t="s">
        <v>1600</v>
      </c>
      <c r="L1275" s="64" t="s">
        <v>86</v>
      </c>
      <c r="M1275" s="65">
        <v>20</v>
      </c>
      <c r="N1275" s="66">
        <v>200</v>
      </c>
      <c r="O1275" s="66"/>
      <c r="P1275" s="67">
        <v>5.24</v>
      </c>
      <c r="Q1275" s="72">
        <f t="shared" si="171"/>
        <v>225.32000000000002</v>
      </c>
      <c r="R1275" s="72">
        <f t="shared" si="172"/>
        <v>180.25600000000003</v>
      </c>
    </row>
    <row r="1276" spans="1:18" ht="10.5" customHeight="1" x14ac:dyDescent="0.3">
      <c r="A1276" s="251" t="s">
        <v>1605</v>
      </c>
      <c r="B1276" s="287" t="s">
        <v>1595</v>
      </c>
      <c r="C1276" s="64" t="s">
        <v>86</v>
      </c>
      <c r="D1276" s="65">
        <v>20</v>
      </c>
      <c r="E1276" s="66">
        <v>1000</v>
      </c>
      <c r="F1276" s="67">
        <v>1.1599999999999999</v>
      </c>
      <c r="G1276" s="72">
        <f t="shared" si="173"/>
        <v>49.879999999999995</v>
      </c>
      <c r="H1276" s="72">
        <f t="shared" si="174"/>
        <v>39.903999999999996</v>
      </c>
      <c r="I1276" s="20"/>
      <c r="J1276" s="62" t="s">
        <v>1606</v>
      </c>
      <c r="K1276" s="287" t="s">
        <v>1600</v>
      </c>
      <c r="L1276" s="64" t="s">
        <v>86</v>
      </c>
      <c r="M1276" s="65">
        <v>25</v>
      </c>
      <c r="N1276" s="66">
        <v>200</v>
      </c>
      <c r="O1276" s="66"/>
      <c r="P1276" s="67">
        <v>6.25</v>
      </c>
      <c r="Q1276" s="72">
        <f t="shared" si="171"/>
        <v>268.75</v>
      </c>
      <c r="R1276" s="72">
        <f t="shared" si="172"/>
        <v>215</v>
      </c>
    </row>
    <row r="1277" spans="1:18" ht="10.5" customHeight="1" x14ac:dyDescent="0.3">
      <c r="A1277" s="251" t="s">
        <v>1607</v>
      </c>
      <c r="B1277" s="287" t="s">
        <v>1595</v>
      </c>
      <c r="C1277" s="64" t="s">
        <v>86</v>
      </c>
      <c r="D1277" s="65">
        <v>25</v>
      </c>
      <c r="E1277" s="66">
        <v>1000</v>
      </c>
      <c r="F1277" s="67">
        <v>1.23</v>
      </c>
      <c r="G1277" s="72">
        <f t="shared" si="173"/>
        <v>52.89</v>
      </c>
      <c r="H1277" s="72">
        <f t="shared" si="174"/>
        <v>42.311999999999998</v>
      </c>
      <c r="I1277" s="20"/>
      <c r="J1277" s="62" t="s">
        <v>1608</v>
      </c>
      <c r="K1277" s="287" t="s">
        <v>1600</v>
      </c>
      <c r="L1277" s="64" t="s">
        <v>86</v>
      </c>
      <c r="M1277" s="65">
        <v>30</v>
      </c>
      <c r="N1277" s="66">
        <v>200</v>
      </c>
      <c r="O1277" s="66"/>
      <c r="P1277" s="67">
        <v>7.47</v>
      </c>
      <c r="Q1277" s="72">
        <f t="shared" si="171"/>
        <v>321.20999999999998</v>
      </c>
      <c r="R1277" s="72">
        <f t="shared" si="172"/>
        <v>256.96799999999996</v>
      </c>
    </row>
    <row r="1278" spans="1:18" ht="10.5" customHeight="1" x14ac:dyDescent="0.3">
      <c r="A1278" s="251" t="s">
        <v>1609</v>
      </c>
      <c r="B1278" s="287" t="s">
        <v>1595</v>
      </c>
      <c r="C1278" s="64" t="s">
        <v>86</v>
      </c>
      <c r="D1278" s="65">
        <v>30</v>
      </c>
      <c r="E1278" s="66">
        <v>500</v>
      </c>
      <c r="F1278" s="67">
        <v>1.45</v>
      </c>
      <c r="G1278" s="72">
        <f t="shared" si="173"/>
        <v>62.35</v>
      </c>
      <c r="H1278" s="72">
        <f t="shared" si="174"/>
        <v>49.88</v>
      </c>
      <c r="I1278" s="20"/>
      <c r="J1278" s="273" t="s">
        <v>1610</v>
      </c>
      <c r="K1278" s="289" t="s">
        <v>1600</v>
      </c>
      <c r="L1278" s="278" t="s">
        <v>86</v>
      </c>
      <c r="M1278" s="290">
        <v>35</v>
      </c>
      <c r="N1278" s="291">
        <v>200</v>
      </c>
      <c r="O1278" s="291"/>
      <c r="P1278" s="292">
        <v>8.3000000000000007</v>
      </c>
      <c r="Q1278" s="72">
        <f t="shared" si="171"/>
        <v>356.90000000000003</v>
      </c>
      <c r="R1278" s="72">
        <f t="shared" si="172"/>
        <v>285.52000000000004</v>
      </c>
    </row>
    <row r="1279" spans="1:18" ht="10.5" customHeight="1" x14ac:dyDescent="0.3">
      <c r="A1279" s="251" t="s">
        <v>1611</v>
      </c>
      <c r="B1279" s="287" t="s">
        <v>1595</v>
      </c>
      <c r="C1279" s="64" t="s">
        <v>86</v>
      </c>
      <c r="D1279" s="65">
        <v>35</v>
      </c>
      <c r="E1279" s="66">
        <v>500</v>
      </c>
      <c r="F1279" s="67">
        <v>1.53</v>
      </c>
      <c r="G1279" s="72">
        <f t="shared" si="173"/>
        <v>65.790000000000006</v>
      </c>
      <c r="H1279" s="72">
        <f t="shared" si="174"/>
        <v>52.632000000000005</v>
      </c>
      <c r="I1279" s="20"/>
      <c r="J1279" s="62" t="s">
        <v>1612</v>
      </c>
      <c r="K1279" s="287" t="s">
        <v>1600</v>
      </c>
      <c r="L1279" s="64" t="s">
        <v>86</v>
      </c>
      <c r="M1279" s="65">
        <v>40</v>
      </c>
      <c r="N1279" s="66">
        <v>200</v>
      </c>
      <c r="O1279" s="66"/>
      <c r="P1279" s="67">
        <v>9.32</v>
      </c>
      <c r="Q1279" s="72">
        <f t="shared" si="171"/>
        <v>400.76</v>
      </c>
      <c r="R1279" s="72">
        <f t="shared" si="172"/>
        <v>320.608</v>
      </c>
    </row>
    <row r="1280" spans="1:18" ht="10.5" customHeight="1" x14ac:dyDescent="0.3">
      <c r="A1280" s="251" t="s">
        <v>1613</v>
      </c>
      <c r="B1280" s="287" t="s">
        <v>1595</v>
      </c>
      <c r="C1280" s="64" t="s">
        <v>86</v>
      </c>
      <c r="D1280" s="65">
        <v>40</v>
      </c>
      <c r="E1280" s="66">
        <v>500</v>
      </c>
      <c r="F1280" s="67">
        <v>1.74</v>
      </c>
      <c r="G1280" s="72">
        <f t="shared" si="173"/>
        <v>74.819999999999993</v>
      </c>
      <c r="H1280" s="72">
        <f t="shared" si="174"/>
        <v>59.855999999999995</v>
      </c>
      <c r="I1280" s="20"/>
      <c r="J1280" s="62" t="s">
        <v>1614</v>
      </c>
      <c r="K1280" s="287" t="s">
        <v>1600</v>
      </c>
      <c r="L1280" s="64" t="s">
        <v>86</v>
      </c>
      <c r="M1280" s="65">
        <v>45</v>
      </c>
      <c r="N1280" s="66">
        <v>200</v>
      </c>
      <c r="O1280" s="66"/>
      <c r="P1280" s="67">
        <v>10.34</v>
      </c>
      <c r="Q1280" s="72">
        <f t="shared" si="171"/>
        <v>444.62</v>
      </c>
      <c r="R1280" s="72">
        <f t="shared" si="172"/>
        <v>355.69600000000003</v>
      </c>
    </row>
    <row r="1281" spans="1:18" ht="10.5" customHeight="1" x14ac:dyDescent="0.3">
      <c r="A1281" s="251">
        <v>110020508</v>
      </c>
      <c r="B1281" s="287" t="s">
        <v>1569</v>
      </c>
      <c r="C1281" s="64" t="s">
        <v>86</v>
      </c>
      <c r="D1281" s="65">
        <v>8</v>
      </c>
      <c r="E1281" s="66">
        <v>1000</v>
      </c>
      <c r="F1281" s="67">
        <v>1.1599999999999999</v>
      </c>
      <c r="G1281" s="72">
        <f t="shared" si="173"/>
        <v>49.879999999999995</v>
      </c>
      <c r="H1281" s="72">
        <f t="shared" si="174"/>
        <v>39.903999999999996</v>
      </c>
      <c r="I1281" s="20"/>
      <c r="J1281" s="62" t="s">
        <v>1615</v>
      </c>
      <c r="K1281" s="287" t="s">
        <v>1600</v>
      </c>
      <c r="L1281" s="64" t="s">
        <v>86</v>
      </c>
      <c r="M1281" s="65">
        <v>50</v>
      </c>
      <c r="N1281" s="66">
        <v>200</v>
      </c>
      <c r="O1281" s="66"/>
      <c r="P1281" s="67">
        <v>11.36</v>
      </c>
      <c r="Q1281" s="72">
        <f t="shared" si="171"/>
        <v>488.47999999999996</v>
      </c>
      <c r="R1281" s="72">
        <f t="shared" si="172"/>
        <v>390.78399999999999</v>
      </c>
    </row>
    <row r="1282" spans="1:18" ht="10.5" customHeight="1" x14ac:dyDescent="0.3">
      <c r="A1282" s="251" t="s">
        <v>1616</v>
      </c>
      <c r="B1282" s="287" t="s">
        <v>1569</v>
      </c>
      <c r="C1282" s="64" t="s">
        <v>86</v>
      </c>
      <c r="D1282" s="65">
        <v>10</v>
      </c>
      <c r="E1282" s="66">
        <v>1000</v>
      </c>
      <c r="F1282" s="67">
        <v>1.23</v>
      </c>
      <c r="G1282" s="72">
        <f t="shared" si="173"/>
        <v>52.89</v>
      </c>
      <c r="H1282" s="72">
        <f t="shared" si="174"/>
        <v>42.311999999999998</v>
      </c>
      <c r="I1282" s="20"/>
      <c r="J1282" s="62" t="s">
        <v>1617</v>
      </c>
      <c r="K1282" s="287" t="s">
        <v>1600</v>
      </c>
      <c r="L1282" s="64" t="s">
        <v>86</v>
      </c>
      <c r="M1282" s="65">
        <v>60</v>
      </c>
      <c r="N1282" s="66">
        <v>200</v>
      </c>
      <c r="O1282" s="66"/>
      <c r="P1282" s="67">
        <v>13.41</v>
      </c>
      <c r="Q1282" s="72">
        <f t="shared" si="171"/>
        <v>576.63</v>
      </c>
      <c r="R1282" s="72">
        <f t="shared" si="172"/>
        <v>461.30399999999997</v>
      </c>
    </row>
    <row r="1283" spans="1:18" ht="10.5" customHeight="1" x14ac:dyDescent="0.3">
      <c r="A1283" s="251" t="s">
        <v>1618</v>
      </c>
      <c r="B1283" s="287" t="s">
        <v>1569</v>
      </c>
      <c r="C1283" s="64" t="s">
        <v>86</v>
      </c>
      <c r="D1283" s="65">
        <v>12</v>
      </c>
      <c r="E1283" s="66">
        <v>1000</v>
      </c>
      <c r="F1283" s="67">
        <v>1.4</v>
      </c>
      <c r="G1283" s="72">
        <f t="shared" si="173"/>
        <v>60.199999999999996</v>
      </c>
      <c r="H1283" s="72">
        <f t="shared" si="174"/>
        <v>48.16</v>
      </c>
      <c r="I1283" s="20"/>
      <c r="J1283" s="62" t="s">
        <v>1619</v>
      </c>
      <c r="K1283" s="287" t="s">
        <v>1600</v>
      </c>
      <c r="L1283" s="64" t="s">
        <v>86</v>
      </c>
      <c r="M1283" s="65">
        <v>70</v>
      </c>
      <c r="N1283" s="66">
        <v>200</v>
      </c>
      <c r="O1283" s="66"/>
      <c r="P1283" s="67">
        <v>15.45</v>
      </c>
      <c r="Q1283" s="72">
        <f t="shared" si="171"/>
        <v>664.35</v>
      </c>
      <c r="R1283" s="72">
        <f t="shared" si="172"/>
        <v>531.48</v>
      </c>
    </row>
    <row r="1284" spans="1:18" ht="10.5" customHeight="1" x14ac:dyDescent="0.3">
      <c r="A1284" s="251" t="s">
        <v>1620</v>
      </c>
      <c r="B1284" s="287" t="s">
        <v>1569</v>
      </c>
      <c r="C1284" s="64" t="s">
        <v>86</v>
      </c>
      <c r="D1284" s="65">
        <v>14</v>
      </c>
      <c r="E1284" s="66">
        <v>1000</v>
      </c>
      <c r="F1284" s="67">
        <v>1.43</v>
      </c>
      <c r="G1284" s="72">
        <f t="shared" si="173"/>
        <v>61.489999999999995</v>
      </c>
      <c r="H1284" s="72">
        <f t="shared" si="174"/>
        <v>49.191999999999993</v>
      </c>
      <c r="I1284" s="20"/>
      <c r="J1284" s="62" t="s">
        <v>1621</v>
      </c>
      <c r="K1284" s="287" t="s">
        <v>1600</v>
      </c>
      <c r="L1284" s="64" t="s">
        <v>86</v>
      </c>
      <c r="M1284" s="65">
        <v>80</v>
      </c>
      <c r="N1284" s="66">
        <v>100</v>
      </c>
      <c r="O1284" s="66"/>
      <c r="P1284" s="67">
        <v>15.54</v>
      </c>
      <c r="Q1284" s="72">
        <f t="shared" si="171"/>
        <v>668.21999999999991</v>
      </c>
      <c r="R1284" s="72">
        <f t="shared" si="172"/>
        <v>534.57599999999991</v>
      </c>
    </row>
    <row r="1285" spans="1:18" ht="10.5" customHeight="1" x14ac:dyDescent="0.3">
      <c r="A1285" s="297" t="s">
        <v>1622</v>
      </c>
      <c r="B1285" s="288" t="s">
        <v>1569</v>
      </c>
      <c r="C1285" s="56" t="s">
        <v>86</v>
      </c>
      <c r="D1285" s="57">
        <v>16</v>
      </c>
      <c r="E1285" s="58">
        <v>1000</v>
      </c>
      <c r="F1285" s="59">
        <v>1.6</v>
      </c>
      <c r="G1285" s="72">
        <f t="shared" si="173"/>
        <v>68.8</v>
      </c>
      <c r="H1285" s="72">
        <f t="shared" si="174"/>
        <v>55.04</v>
      </c>
      <c r="I1285" s="18"/>
      <c r="J1285" s="20"/>
      <c r="K1285" s="299"/>
      <c r="L1285" s="245"/>
      <c r="M1285" s="159"/>
      <c r="N1285" s="253"/>
      <c r="O1285" s="253"/>
      <c r="P1285" s="300"/>
      <c r="Q1285" s="46"/>
      <c r="R1285" s="46"/>
    </row>
    <row r="1286" spans="1:18" ht="10.5" customHeight="1" x14ac:dyDescent="0.3">
      <c r="A1286" s="20"/>
      <c r="B1286" s="20"/>
      <c r="C1286" s="20"/>
      <c r="D1286" s="20"/>
      <c r="E1286" s="20"/>
      <c r="F1286" s="20"/>
      <c r="G1286" s="20"/>
      <c r="H1286" s="20"/>
      <c r="I1286" s="20"/>
      <c r="J1286" s="20"/>
      <c r="K1286" s="20"/>
      <c r="L1286" s="20"/>
      <c r="M1286" s="20"/>
      <c r="N1286" s="20"/>
      <c r="O1286" s="20"/>
      <c r="P1286" s="20"/>
      <c r="Q1286" s="20"/>
      <c r="R1286" s="20"/>
    </row>
    <row r="1287" spans="1:18" ht="10.5" customHeight="1" x14ac:dyDescent="0.3">
      <c r="A1287" s="166" t="s">
        <v>1623</v>
      </c>
      <c r="B1287" s="48" t="s">
        <v>1624</v>
      </c>
      <c r="C1287" s="49"/>
      <c r="D1287" s="49"/>
      <c r="E1287" s="49"/>
      <c r="F1287" s="49"/>
      <c r="G1287" s="49"/>
      <c r="H1287" s="49"/>
      <c r="I1287" s="49"/>
      <c r="J1287" s="446" t="s">
        <v>78</v>
      </c>
      <c r="K1287" s="477" t="s">
        <v>79</v>
      </c>
      <c r="L1287" s="477"/>
      <c r="M1287" s="477"/>
      <c r="N1287" s="473" t="s">
        <v>80</v>
      </c>
      <c r="O1287" s="434"/>
      <c r="P1287" s="61"/>
      <c r="Q1287" s="16" t="s">
        <v>81</v>
      </c>
      <c r="R1287" s="17" t="s">
        <v>82</v>
      </c>
    </row>
    <row r="1288" spans="1:18" ht="10.5" customHeight="1" thickTop="1" x14ac:dyDescent="0.3">
      <c r="A1288" s="18"/>
      <c r="B1288" s="20"/>
      <c r="C1288" s="20"/>
      <c r="D1288" s="20"/>
      <c r="E1288" s="20"/>
      <c r="F1288" s="20"/>
      <c r="G1288" s="20"/>
      <c r="H1288" s="20"/>
      <c r="I1288" s="20"/>
      <c r="J1288" s="446"/>
      <c r="K1288" s="477"/>
      <c r="L1288" s="477"/>
      <c r="M1288" s="477"/>
      <c r="N1288" s="473"/>
      <c r="O1288" s="369"/>
      <c r="P1288" s="68"/>
      <c r="Q1288" s="69" t="s">
        <v>84</v>
      </c>
      <c r="R1288" s="15" t="s">
        <v>84</v>
      </c>
    </row>
    <row r="1289" spans="1:18" ht="10.5" customHeight="1" x14ac:dyDescent="0.3">
      <c r="A1289" s="18"/>
      <c r="B1289" s="20"/>
      <c r="C1289" s="20"/>
      <c r="D1289" s="20"/>
      <c r="E1289" s="20"/>
      <c r="F1289" s="20"/>
      <c r="G1289" s="20"/>
      <c r="H1289" s="20"/>
      <c r="I1289" s="20"/>
      <c r="J1289" s="251" t="s">
        <v>1625</v>
      </c>
      <c r="K1289" s="287" t="s">
        <v>772</v>
      </c>
      <c r="L1289" s="64" t="s">
        <v>86</v>
      </c>
      <c r="M1289" s="65">
        <v>60</v>
      </c>
      <c r="N1289" s="66">
        <v>200</v>
      </c>
      <c r="O1289" s="66"/>
      <c r="P1289" s="67">
        <v>18.47</v>
      </c>
      <c r="Q1289" s="72">
        <f t="shared" ref="Q1289:Q1309" si="175">P1289*$F$10</f>
        <v>794.20999999999992</v>
      </c>
      <c r="R1289" s="72">
        <f t="shared" ref="R1289:R1309" si="176">Q1289-Q1289*0.2</f>
        <v>635.36799999999994</v>
      </c>
    </row>
    <row r="1290" spans="1:18" ht="10.5" customHeight="1" x14ac:dyDescent="0.3">
      <c r="A1290" s="18"/>
      <c r="B1290" s="20"/>
      <c r="C1290" s="20"/>
      <c r="D1290" s="20"/>
      <c r="E1290" s="20"/>
      <c r="F1290" s="20"/>
      <c r="G1290" s="20"/>
      <c r="H1290" s="20"/>
      <c r="I1290" s="20"/>
      <c r="J1290" s="251" t="s">
        <v>1626</v>
      </c>
      <c r="K1290" s="287" t="s">
        <v>772</v>
      </c>
      <c r="L1290" s="64" t="s">
        <v>86</v>
      </c>
      <c r="M1290" s="65">
        <v>70</v>
      </c>
      <c r="N1290" s="66">
        <v>200</v>
      </c>
      <c r="O1290" s="66"/>
      <c r="P1290" s="67">
        <v>21.17</v>
      </c>
      <c r="Q1290" s="72">
        <f t="shared" si="175"/>
        <v>910.31000000000006</v>
      </c>
      <c r="R1290" s="72">
        <f t="shared" si="176"/>
        <v>728.24800000000005</v>
      </c>
    </row>
    <row r="1291" spans="1:18" ht="10.5" customHeight="1" x14ac:dyDescent="0.3">
      <c r="A1291" s="262" t="s">
        <v>1627</v>
      </c>
      <c r="B1291" s="20"/>
      <c r="C1291" s="20"/>
      <c r="D1291" s="20"/>
      <c r="E1291" s="20"/>
      <c r="F1291" s="20"/>
      <c r="G1291" s="20"/>
      <c r="H1291" s="20"/>
      <c r="I1291" s="20"/>
      <c r="J1291" s="62" t="s">
        <v>1628</v>
      </c>
      <c r="K1291" s="287" t="s">
        <v>772</v>
      </c>
      <c r="L1291" s="64" t="s">
        <v>86</v>
      </c>
      <c r="M1291" s="65">
        <v>80</v>
      </c>
      <c r="N1291" s="66">
        <v>200</v>
      </c>
      <c r="O1291" s="66"/>
      <c r="P1291" s="67">
        <v>23.65</v>
      </c>
      <c r="Q1291" s="72">
        <f t="shared" si="175"/>
        <v>1016.9499999999999</v>
      </c>
      <c r="R1291" s="72">
        <f t="shared" si="176"/>
        <v>813.56</v>
      </c>
    </row>
    <row r="1292" spans="1:18" ht="10.5" customHeight="1" x14ac:dyDescent="0.3">
      <c r="A1292" s="262" t="s">
        <v>1629</v>
      </c>
      <c r="B1292" s="20"/>
      <c r="C1292" s="20"/>
      <c r="D1292" s="20"/>
      <c r="E1292" s="20"/>
      <c r="F1292" s="20"/>
      <c r="G1292" s="20"/>
      <c r="H1292" s="20"/>
      <c r="I1292" s="20"/>
      <c r="J1292" s="62" t="s">
        <v>1630</v>
      </c>
      <c r="K1292" s="287" t="s">
        <v>775</v>
      </c>
      <c r="L1292" s="64" t="s">
        <v>86</v>
      </c>
      <c r="M1292" s="65">
        <v>20</v>
      </c>
      <c r="N1292" s="66">
        <v>200</v>
      </c>
      <c r="O1292" s="66"/>
      <c r="P1292" s="67">
        <v>14.64</v>
      </c>
      <c r="Q1292" s="72">
        <f t="shared" si="175"/>
        <v>629.52</v>
      </c>
      <c r="R1292" s="72">
        <f t="shared" si="176"/>
        <v>503.61599999999999</v>
      </c>
    </row>
    <row r="1293" spans="1:18" ht="10.5" customHeight="1" thickBot="1" x14ac:dyDescent="0.35">
      <c r="A1293" s="446" t="s">
        <v>78</v>
      </c>
      <c r="B1293" s="477" t="s">
        <v>79</v>
      </c>
      <c r="C1293" s="477"/>
      <c r="D1293" s="477"/>
      <c r="E1293" s="473" t="s">
        <v>80</v>
      </c>
      <c r="F1293" s="61"/>
      <c r="G1293" s="16" t="s">
        <v>81</v>
      </c>
      <c r="H1293" s="17" t="s">
        <v>82</v>
      </c>
      <c r="I1293" s="20"/>
      <c r="J1293" s="62" t="s">
        <v>1631</v>
      </c>
      <c r="K1293" s="287" t="s">
        <v>775</v>
      </c>
      <c r="L1293" s="64" t="s">
        <v>86</v>
      </c>
      <c r="M1293" s="65">
        <v>25</v>
      </c>
      <c r="N1293" s="66">
        <v>200</v>
      </c>
      <c r="O1293" s="66"/>
      <c r="P1293" s="67">
        <v>16.22</v>
      </c>
      <c r="Q1293" s="72">
        <f t="shared" si="175"/>
        <v>697.45999999999992</v>
      </c>
      <c r="R1293" s="72">
        <f t="shared" si="176"/>
        <v>557.96799999999996</v>
      </c>
    </row>
    <row r="1294" spans="1:18" ht="10.5" customHeight="1" thickTop="1" x14ac:dyDescent="0.3">
      <c r="A1294" s="446"/>
      <c r="B1294" s="477"/>
      <c r="C1294" s="477"/>
      <c r="D1294" s="477"/>
      <c r="E1294" s="473"/>
      <c r="F1294" s="68"/>
      <c r="G1294" s="69" t="s">
        <v>84</v>
      </c>
      <c r="H1294" s="15" t="s">
        <v>84</v>
      </c>
      <c r="I1294" s="20"/>
      <c r="J1294" s="62" t="s">
        <v>1632</v>
      </c>
      <c r="K1294" s="287" t="s">
        <v>775</v>
      </c>
      <c r="L1294" s="64" t="s">
        <v>86</v>
      </c>
      <c r="M1294" s="65">
        <v>30</v>
      </c>
      <c r="N1294" s="66">
        <v>100</v>
      </c>
      <c r="O1294" s="66"/>
      <c r="P1294" s="67">
        <v>17.79</v>
      </c>
      <c r="Q1294" s="72">
        <f t="shared" si="175"/>
        <v>764.96999999999991</v>
      </c>
      <c r="R1294" s="72">
        <f t="shared" si="176"/>
        <v>611.97599999999989</v>
      </c>
    </row>
    <row r="1295" spans="1:18" ht="10.5" customHeight="1" x14ac:dyDescent="0.3">
      <c r="A1295" s="297" t="s">
        <v>1633</v>
      </c>
      <c r="B1295" s="288" t="s">
        <v>1529</v>
      </c>
      <c r="C1295" s="56" t="s">
        <v>86</v>
      </c>
      <c r="D1295" s="57">
        <v>16</v>
      </c>
      <c r="E1295" s="58">
        <v>1000</v>
      </c>
      <c r="F1295" s="298">
        <v>2.25</v>
      </c>
      <c r="G1295" s="72">
        <f t="shared" ref="G1295:G1310" si="177">F1295*$F$10</f>
        <v>96.75</v>
      </c>
      <c r="H1295" s="72">
        <f t="shared" ref="H1295:H1310" si="178">G1295-G1295*0.2</f>
        <v>77.400000000000006</v>
      </c>
      <c r="I1295" s="20"/>
      <c r="J1295" s="62" t="s">
        <v>1634</v>
      </c>
      <c r="K1295" s="287" t="s">
        <v>775</v>
      </c>
      <c r="L1295" s="64" t="s">
        <v>86</v>
      </c>
      <c r="M1295" s="65">
        <v>40</v>
      </c>
      <c r="N1295" s="66">
        <v>100</v>
      </c>
      <c r="O1295" s="66"/>
      <c r="P1295" s="67">
        <v>20.5</v>
      </c>
      <c r="Q1295" s="72">
        <f t="shared" si="175"/>
        <v>881.5</v>
      </c>
      <c r="R1295" s="72">
        <f t="shared" si="176"/>
        <v>705.2</v>
      </c>
    </row>
    <row r="1296" spans="1:18" ht="10.5" customHeight="1" x14ac:dyDescent="0.3">
      <c r="A1296" s="251" t="s">
        <v>1635</v>
      </c>
      <c r="B1296" s="287" t="s">
        <v>766</v>
      </c>
      <c r="C1296" s="64" t="s">
        <v>86</v>
      </c>
      <c r="D1296" s="65">
        <v>12</v>
      </c>
      <c r="E1296" s="66">
        <v>500</v>
      </c>
      <c r="F1296" s="67">
        <v>2.14</v>
      </c>
      <c r="G1296" s="72">
        <f t="shared" si="177"/>
        <v>92.02000000000001</v>
      </c>
      <c r="H1296" s="72">
        <f t="shared" si="178"/>
        <v>73.616000000000014</v>
      </c>
      <c r="I1296" s="20"/>
      <c r="J1296" s="62" t="s">
        <v>1636</v>
      </c>
      <c r="K1296" s="287" t="s">
        <v>775</v>
      </c>
      <c r="L1296" s="64" t="s">
        <v>86</v>
      </c>
      <c r="M1296" s="65">
        <v>45</v>
      </c>
      <c r="N1296" s="66">
        <v>100</v>
      </c>
      <c r="O1296" s="66"/>
      <c r="P1296" s="67">
        <v>20.79</v>
      </c>
      <c r="Q1296" s="72">
        <f t="shared" si="175"/>
        <v>893.96999999999991</v>
      </c>
      <c r="R1296" s="72">
        <f t="shared" si="176"/>
        <v>715.17599999999993</v>
      </c>
    </row>
    <row r="1297" spans="1:18" ht="10.5" customHeight="1" x14ac:dyDescent="0.3">
      <c r="A1297" s="251" t="s">
        <v>1637</v>
      </c>
      <c r="B1297" s="287" t="s">
        <v>766</v>
      </c>
      <c r="C1297" s="64" t="s">
        <v>86</v>
      </c>
      <c r="D1297" s="65">
        <v>25</v>
      </c>
      <c r="E1297" s="66">
        <v>500</v>
      </c>
      <c r="F1297" s="67">
        <v>3.27</v>
      </c>
      <c r="G1297" s="72">
        <f t="shared" si="177"/>
        <v>140.61000000000001</v>
      </c>
      <c r="H1297" s="72">
        <f t="shared" si="178"/>
        <v>112.48800000000001</v>
      </c>
      <c r="I1297" s="20"/>
      <c r="J1297" s="62" t="s">
        <v>1638</v>
      </c>
      <c r="K1297" s="287" t="s">
        <v>775</v>
      </c>
      <c r="L1297" s="64" t="s">
        <v>86</v>
      </c>
      <c r="M1297" s="65">
        <v>60</v>
      </c>
      <c r="N1297" s="66">
        <v>100</v>
      </c>
      <c r="O1297" s="66"/>
      <c r="P1297" s="67">
        <v>26.58</v>
      </c>
      <c r="Q1297" s="72">
        <f t="shared" si="175"/>
        <v>1142.9399999999998</v>
      </c>
      <c r="R1297" s="72">
        <f t="shared" si="176"/>
        <v>914.35199999999986</v>
      </c>
    </row>
    <row r="1298" spans="1:18" ht="10.5" customHeight="1" x14ac:dyDescent="0.3">
      <c r="A1298" s="251" t="s">
        <v>1639</v>
      </c>
      <c r="B1298" s="287" t="s">
        <v>766</v>
      </c>
      <c r="C1298" s="64" t="s">
        <v>86</v>
      </c>
      <c r="D1298" s="65">
        <v>35</v>
      </c>
      <c r="E1298" s="66">
        <v>500</v>
      </c>
      <c r="F1298" s="67">
        <v>4.28</v>
      </c>
      <c r="G1298" s="72">
        <f t="shared" si="177"/>
        <v>184.04000000000002</v>
      </c>
      <c r="H1298" s="72">
        <f t="shared" si="178"/>
        <v>147.23200000000003</v>
      </c>
      <c r="I1298" s="20"/>
      <c r="J1298" s="273" t="s">
        <v>1640</v>
      </c>
      <c r="K1298" s="289" t="s">
        <v>775</v>
      </c>
      <c r="L1298" s="278" t="s">
        <v>86</v>
      </c>
      <c r="M1298" s="290">
        <v>70</v>
      </c>
      <c r="N1298" s="291">
        <v>100</v>
      </c>
      <c r="O1298" s="291"/>
      <c r="P1298" s="292">
        <v>33.22</v>
      </c>
      <c r="Q1298" s="72">
        <f t="shared" si="175"/>
        <v>1428.46</v>
      </c>
      <c r="R1298" s="72">
        <f t="shared" si="176"/>
        <v>1142.768</v>
      </c>
    </row>
    <row r="1299" spans="1:18" ht="10.5" customHeight="1" x14ac:dyDescent="0.3">
      <c r="A1299" s="251" t="s">
        <v>1641</v>
      </c>
      <c r="B1299" s="287" t="s">
        <v>769</v>
      </c>
      <c r="C1299" s="64" t="s">
        <v>86</v>
      </c>
      <c r="D1299" s="65">
        <v>16</v>
      </c>
      <c r="E1299" s="66">
        <v>500</v>
      </c>
      <c r="F1299" s="67">
        <v>3.94</v>
      </c>
      <c r="G1299" s="72">
        <f t="shared" si="177"/>
        <v>169.42</v>
      </c>
      <c r="H1299" s="72">
        <f t="shared" si="178"/>
        <v>135.536</v>
      </c>
      <c r="I1299" s="20"/>
      <c r="J1299" s="62" t="s">
        <v>1642</v>
      </c>
      <c r="K1299" s="287" t="s">
        <v>778</v>
      </c>
      <c r="L1299" s="64" t="s">
        <v>86</v>
      </c>
      <c r="M1299" s="65">
        <v>30</v>
      </c>
      <c r="N1299" s="66">
        <v>100</v>
      </c>
      <c r="O1299" s="66"/>
      <c r="P1299" s="67">
        <v>22.19</v>
      </c>
      <c r="Q1299" s="72">
        <f t="shared" si="175"/>
        <v>954.17000000000007</v>
      </c>
      <c r="R1299" s="72">
        <f t="shared" si="176"/>
        <v>763.33600000000001</v>
      </c>
    </row>
    <row r="1300" spans="1:18" ht="10.5" customHeight="1" x14ac:dyDescent="0.3">
      <c r="A1300" s="251" t="s">
        <v>1643</v>
      </c>
      <c r="B1300" s="287" t="s">
        <v>769</v>
      </c>
      <c r="C1300" s="64" t="s">
        <v>86</v>
      </c>
      <c r="D1300" s="65">
        <v>20</v>
      </c>
      <c r="E1300" s="66">
        <v>500</v>
      </c>
      <c r="F1300" s="67">
        <v>4.62</v>
      </c>
      <c r="G1300" s="72">
        <f t="shared" si="177"/>
        <v>198.66</v>
      </c>
      <c r="H1300" s="72">
        <f t="shared" si="178"/>
        <v>158.928</v>
      </c>
      <c r="I1300" s="20"/>
      <c r="J1300" s="54" t="s">
        <v>1644</v>
      </c>
      <c r="K1300" s="288" t="s">
        <v>778</v>
      </c>
      <c r="L1300" s="56" t="s">
        <v>86</v>
      </c>
      <c r="M1300" s="57">
        <v>35</v>
      </c>
      <c r="N1300" s="58">
        <v>100</v>
      </c>
      <c r="O1300" s="58"/>
      <c r="P1300" s="59">
        <v>24.66</v>
      </c>
      <c r="Q1300" s="72">
        <f t="shared" si="175"/>
        <v>1060.3800000000001</v>
      </c>
      <c r="R1300" s="72">
        <f t="shared" si="176"/>
        <v>848.30400000000009</v>
      </c>
    </row>
    <row r="1301" spans="1:18" ht="10.5" customHeight="1" x14ac:dyDescent="0.3">
      <c r="A1301" s="251" t="s">
        <v>1645</v>
      </c>
      <c r="B1301" s="287" t="s">
        <v>769</v>
      </c>
      <c r="C1301" s="64" t="s">
        <v>86</v>
      </c>
      <c r="D1301" s="65">
        <v>30</v>
      </c>
      <c r="E1301" s="66">
        <v>500</v>
      </c>
      <c r="F1301" s="67">
        <v>5.97</v>
      </c>
      <c r="G1301" s="72">
        <f t="shared" si="177"/>
        <v>256.70999999999998</v>
      </c>
      <c r="H1301" s="72">
        <f t="shared" si="178"/>
        <v>205.36799999999999</v>
      </c>
      <c r="I1301" s="20"/>
      <c r="J1301" s="62" t="s">
        <v>1646</v>
      </c>
      <c r="K1301" s="287" t="s">
        <v>778</v>
      </c>
      <c r="L1301" s="64" t="s">
        <v>86</v>
      </c>
      <c r="M1301" s="65">
        <v>50</v>
      </c>
      <c r="N1301" s="66">
        <v>100</v>
      </c>
      <c r="O1301" s="66"/>
      <c r="P1301" s="67">
        <v>35.020000000000003</v>
      </c>
      <c r="Q1301" s="72">
        <f t="shared" si="175"/>
        <v>1505.8600000000001</v>
      </c>
      <c r="R1301" s="72">
        <f t="shared" si="176"/>
        <v>1204.6880000000001</v>
      </c>
    </row>
    <row r="1302" spans="1:18" ht="10.5" customHeight="1" x14ac:dyDescent="0.3">
      <c r="A1302" s="251" t="s">
        <v>1647</v>
      </c>
      <c r="B1302" s="287" t="s">
        <v>769</v>
      </c>
      <c r="C1302" s="64" t="s">
        <v>86</v>
      </c>
      <c r="D1302" s="65">
        <v>40</v>
      </c>
      <c r="E1302" s="66">
        <v>200</v>
      </c>
      <c r="F1302" s="67">
        <v>7.55</v>
      </c>
      <c r="G1302" s="72">
        <f t="shared" si="177"/>
        <v>324.64999999999998</v>
      </c>
      <c r="H1302" s="72">
        <f t="shared" si="178"/>
        <v>259.71999999999997</v>
      </c>
      <c r="I1302" s="20"/>
      <c r="J1302" s="62" t="s">
        <v>1648</v>
      </c>
      <c r="K1302" s="287" t="s">
        <v>778</v>
      </c>
      <c r="L1302" s="64" t="s">
        <v>86</v>
      </c>
      <c r="M1302" s="65">
        <v>60</v>
      </c>
      <c r="N1302" s="66">
        <v>50</v>
      </c>
      <c r="O1302" s="66"/>
      <c r="P1302" s="67">
        <v>40.43</v>
      </c>
      <c r="Q1302" s="72">
        <f t="shared" si="175"/>
        <v>1738.49</v>
      </c>
      <c r="R1302" s="72">
        <f t="shared" si="176"/>
        <v>1390.7919999999999</v>
      </c>
    </row>
    <row r="1303" spans="1:18" ht="10.5" customHeight="1" x14ac:dyDescent="0.3">
      <c r="A1303" s="251" t="s">
        <v>1649</v>
      </c>
      <c r="B1303" s="287" t="s">
        <v>769</v>
      </c>
      <c r="C1303" s="64" t="s">
        <v>86</v>
      </c>
      <c r="D1303" s="65">
        <v>50</v>
      </c>
      <c r="E1303" s="66">
        <v>200</v>
      </c>
      <c r="F1303" s="67">
        <v>8.4499999999999993</v>
      </c>
      <c r="G1303" s="72">
        <f t="shared" si="177"/>
        <v>363.34999999999997</v>
      </c>
      <c r="H1303" s="72">
        <f t="shared" si="178"/>
        <v>290.67999999999995</v>
      </c>
      <c r="I1303" s="20"/>
      <c r="J1303" s="62" t="s">
        <v>1650</v>
      </c>
      <c r="K1303" s="287" t="s">
        <v>778</v>
      </c>
      <c r="L1303" s="64" t="s">
        <v>86</v>
      </c>
      <c r="M1303" s="65">
        <v>70</v>
      </c>
      <c r="N1303" s="66">
        <v>50</v>
      </c>
      <c r="O1303" s="66"/>
      <c r="P1303" s="67">
        <v>45.5</v>
      </c>
      <c r="Q1303" s="72">
        <f t="shared" si="175"/>
        <v>1956.5</v>
      </c>
      <c r="R1303" s="72">
        <f t="shared" si="176"/>
        <v>1565.2</v>
      </c>
    </row>
    <row r="1304" spans="1:18" ht="10.5" customHeight="1" x14ac:dyDescent="0.3">
      <c r="A1304" s="251" t="s">
        <v>1651</v>
      </c>
      <c r="B1304" s="287" t="s">
        <v>769</v>
      </c>
      <c r="C1304" s="64" t="s">
        <v>86</v>
      </c>
      <c r="D1304" s="65">
        <v>60</v>
      </c>
      <c r="E1304" s="66">
        <v>200</v>
      </c>
      <c r="F1304" s="67">
        <v>10.14</v>
      </c>
      <c r="G1304" s="72">
        <f t="shared" si="177"/>
        <v>436.02000000000004</v>
      </c>
      <c r="H1304" s="72">
        <f t="shared" si="178"/>
        <v>348.81600000000003</v>
      </c>
      <c r="I1304" s="20"/>
      <c r="J1304" s="62" t="s">
        <v>1652</v>
      </c>
      <c r="K1304" s="287" t="s">
        <v>1095</v>
      </c>
      <c r="L1304" s="64" t="s">
        <v>86</v>
      </c>
      <c r="M1304" s="65">
        <v>50</v>
      </c>
      <c r="N1304" s="66">
        <v>50</v>
      </c>
      <c r="O1304" s="66"/>
      <c r="P1304" s="67">
        <v>71.27</v>
      </c>
      <c r="Q1304" s="72">
        <f t="shared" si="175"/>
        <v>3064.6099999999997</v>
      </c>
      <c r="R1304" s="72">
        <f t="shared" si="176"/>
        <v>2451.6879999999996</v>
      </c>
    </row>
    <row r="1305" spans="1:18" ht="10.5" customHeight="1" x14ac:dyDescent="0.3">
      <c r="A1305" s="251" t="s">
        <v>1653</v>
      </c>
      <c r="B1305" s="287" t="s">
        <v>769</v>
      </c>
      <c r="C1305" s="64" t="s">
        <v>86</v>
      </c>
      <c r="D1305" s="65">
        <v>90</v>
      </c>
      <c r="E1305" s="66">
        <v>200</v>
      </c>
      <c r="F1305" s="67">
        <v>15.88</v>
      </c>
      <c r="G1305" s="72">
        <f t="shared" si="177"/>
        <v>682.84</v>
      </c>
      <c r="H1305" s="72">
        <f t="shared" si="178"/>
        <v>546.27200000000005</v>
      </c>
      <c r="I1305" s="20"/>
      <c r="J1305" s="62" t="s">
        <v>1654</v>
      </c>
      <c r="K1305" s="287" t="s">
        <v>1095</v>
      </c>
      <c r="L1305" s="64" t="s">
        <v>86</v>
      </c>
      <c r="M1305" s="65">
        <v>60</v>
      </c>
      <c r="N1305" s="66">
        <v>25</v>
      </c>
      <c r="O1305" s="66"/>
      <c r="P1305" s="67">
        <v>83.1</v>
      </c>
      <c r="Q1305" s="72">
        <f t="shared" si="175"/>
        <v>3573.2999999999997</v>
      </c>
      <c r="R1305" s="72">
        <f t="shared" si="176"/>
        <v>2858.64</v>
      </c>
    </row>
    <row r="1306" spans="1:18" ht="10.5" customHeight="1" x14ac:dyDescent="0.3">
      <c r="A1306" s="251" t="s">
        <v>1655</v>
      </c>
      <c r="B1306" s="287" t="s">
        <v>772</v>
      </c>
      <c r="C1306" s="64" t="s">
        <v>86</v>
      </c>
      <c r="D1306" s="65">
        <v>12</v>
      </c>
      <c r="E1306" s="66">
        <v>200</v>
      </c>
      <c r="F1306" s="67">
        <v>6.42</v>
      </c>
      <c r="G1306" s="72">
        <f t="shared" si="177"/>
        <v>276.06</v>
      </c>
      <c r="H1306" s="72">
        <f t="shared" si="178"/>
        <v>220.84800000000001</v>
      </c>
      <c r="I1306" s="20"/>
      <c r="J1306" s="62" t="s">
        <v>1656</v>
      </c>
      <c r="K1306" s="287" t="s">
        <v>1095</v>
      </c>
      <c r="L1306" s="64" t="s">
        <v>86</v>
      </c>
      <c r="M1306" s="65">
        <v>90</v>
      </c>
      <c r="N1306" s="66">
        <v>25</v>
      </c>
      <c r="O1306" s="66"/>
      <c r="P1306" s="67">
        <v>115.34</v>
      </c>
      <c r="Q1306" s="72">
        <f t="shared" si="175"/>
        <v>4959.62</v>
      </c>
      <c r="R1306" s="72">
        <f t="shared" si="176"/>
        <v>3967.6959999999999</v>
      </c>
    </row>
    <row r="1307" spans="1:18" ht="10.5" customHeight="1" x14ac:dyDescent="0.3">
      <c r="A1307" s="251" t="s">
        <v>1657</v>
      </c>
      <c r="B1307" s="287" t="s">
        <v>772</v>
      </c>
      <c r="C1307" s="64" t="s">
        <v>86</v>
      </c>
      <c r="D1307" s="65">
        <v>25</v>
      </c>
      <c r="E1307" s="66">
        <v>200</v>
      </c>
      <c r="F1307" s="67">
        <v>9.8000000000000007</v>
      </c>
      <c r="G1307" s="72">
        <f t="shared" si="177"/>
        <v>421.40000000000003</v>
      </c>
      <c r="H1307" s="72">
        <f t="shared" si="178"/>
        <v>337.12</v>
      </c>
      <c r="I1307" s="20"/>
      <c r="J1307" s="62" t="s">
        <v>1658</v>
      </c>
      <c r="K1307" s="287" t="s">
        <v>1102</v>
      </c>
      <c r="L1307" s="64" t="s">
        <v>86</v>
      </c>
      <c r="M1307" s="65">
        <v>40</v>
      </c>
      <c r="N1307" s="66">
        <v>25</v>
      </c>
      <c r="O1307" s="66"/>
      <c r="P1307" s="67">
        <v>86.29</v>
      </c>
      <c r="Q1307" s="72">
        <f t="shared" si="175"/>
        <v>3710.4700000000003</v>
      </c>
      <c r="R1307" s="72">
        <f t="shared" si="176"/>
        <v>2968.3760000000002</v>
      </c>
    </row>
    <row r="1308" spans="1:18" ht="10.5" customHeight="1" x14ac:dyDescent="0.3">
      <c r="A1308" s="251" t="s">
        <v>1659</v>
      </c>
      <c r="B1308" s="287" t="s">
        <v>772</v>
      </c>
      <c r="C1308" s="64" t="s">
        <v>86</v>
      </c>
      <c r="D1308" s="65">
        <v>30</v>
      </c>
      <c r="E1308" s="66">
        <v>200</v>
      </c>
      <c r="F1308" s="67">
        <v>10.81</v>
      </c>
      <c r="G1308" s="72">
        <f t="shared" si="177"/>
        <v>464.83000000000004</v>
      </c>
      <c r="H1308" s="72">
        <f t="shared" si="178"/>
        <v>371.86400000000003</v>
      </c>
      <c r="I1308" s="20"/>
      <c r="J1308" s="62" t="s">
        <v>1660</v>
      </c>
      <c r="K1308" s="287" t="s">
        <v>1102</v>
      </c>
      <c r="L1308" s="64" t="s">
        <v>86</v>
      </c>
      <c r="M1308" s="65">
        <v>50</v>
      </c>
      <c r="N1308" s="66">
        <v>25</v>
      </c>
      <c r="O1308" s="66"/>
      <c r="P1308" s="67">
        <v>131.41</v>
      </c>
      <c r="Q1308" s="72">
        <f t="shared" si="175"/>
        <v>5650.63</v>
      </c>
      <c r="R1308" s="72">
        <f t="shared" si="176"/>
        <v>4520.5039999999999</v>
      </c>
    </row>
    <row r="1309" spans="1:18" ht="10.5" customHeight="1" x14ac:dyDescent="0.3">
      <c r="A1309" s="251" t="s">
        <v>1661</v>
      </c>
      <c r="B1309" s="287" t="s">
        <v>772</v>
      </c>
      <c r="C1309" s="64" t="s">
        <v>86</v>
      </c>
      <c r="D1309" s="65">
        <v>40</v>
      </c>
      <c r="E1309" s="66">
        <v>200</v>
      </c>
      <c r="F1309" s="67">
        <v>13.4</v>
      </c>
      <c r="G1309" s="72">
        <f t="shared" si="177"/>
        <v>576.20000000000005</v>
      </c>
      <c r="H1309" s="72">
        <f t="shared" si="178"/>
        <v>460.96000000000004</v>
      </c>
      <c r="I1309" s="20"/>
      <c r="J1309" s="62" t="s">
        <v>1662</v>
      </c>
      <c r="K1309" s="287" t="s">
        <v>1102</v>
      </c>
      <c r="L1309" s="64" t="s">
        <v>86</v>
      </c>
      <c r="M1309" s="65">
        <v>80</v>
      </c>
      <c r="N1309" s="66">
        <v>25</v>
      </c>
      <c r="O1309" s="66"/>
      <c r="P1309" s="67">
        <v>176.13</v>
      </c>
      <c r="Q1309" s="72">
        <f t="shared" si="175"/>
        <v>7573.59</v>
      </c>
      <c r="R1309" s="72">
        <f t="shared" si="176"/>
        <v>6058.8720000000003</v>
      </c>
    </row>
    <row r="1310" spans="1:18" ht="10.5" customHeight="1" x14ac:dyDescent="0.3">
      <c r="A1310" s="251" t="s">
        <v>1663</v>
      </c>
      <c r="B1310" s="287" t="s">
        <v>772</v>
      </c>
      <c r="C1310" s="64" t="s">
        <v>86</v>
      </c>
      <c r="D1310" s="65">
        <v>50</v>
      </c>
      <c r="E1310" s="66">
        <v>200</v>
      </c>
      <c r="F1310" s="67">
        <v>15.88</v>
      </c>
      <c r="G1310" s="72">
        <f t="shared" si="177"/>
        <v>682.84</v>
      </c>
      <c r="H1310" s="72">
        <f t="shared" si="178"/>
        <v>546.27200000000005</v>
      </c>
      <c r="I1310" s="20"/>
      <c r="J1310" s="49"/>
      <c r="K1310" s="293"/>
      <c r="L1310" s="278"/>
      <c r="M1310" s="279"/>
      <c r="N1310" s="280"/>
      <c r="O1310" s="280"/>
      <c r="P1310" s="281"/>
      <c r="Q1310" s="140"/>
      <c r="R1310" s="140"/>
    </row>
    <row r="1311" spans="1:18" ht="10.5" customHeight="1" x14ac:dyDescent="0.3">
      <c r="A1311" s="159"/>
      <c r="B1311" s="299"/>
      <c r="C1311" s="245"/>
      <c r="D1311" s="159"/>
      <c r="E1311" s="253"/>
      <c r="F1311" s="300"/>
      <c r="G1311" s="46"/>
      <c r="H1311" s="46"/>
      <c r="I1311" s="20"/>
      <c r="J1311" s="20"/>
      <c r="K1311" s="299"/>
      <c r="L1311" s="245"/>
      <c r="M1311" s="159"/>
      <c r="N1311" s="253"/>
      <c r="O1311" s="253"/>
      <c r="P1311" s="300"/>
      <c r="Q1311" s="46"/>
      <c r="R1311" s="46"/>
    </row>
    <row r="1312" spans="1:18" ht="15" customHeight="1" x14ac:dyDescent="0.3">
      <c r="A1312" s="448" t="s">
        <v>1664</v>
      </c>
      <c r="B1312" s="448"/>
      <c r="C1312" s="448"/>
      <c r="D1312" s="448"/>
      <c r="E1312" s="448"/>
      <c r="F1312" s="448"/>
      <c r="G1312" s="448"/>
      <c r="H1312" s="448"/>
      <c r="I1312" s="448"/>
      <c r="J1312" s="448"/>
      <c r="K1312" s="448"/>
      <c r="L1312" s="448"/>
      <c r="M1312" s="448"/>
      <c r="N1312" s="448"/>
      <c r="O1312" s="448"/>
      <c r="P1312" s="448"/>
      <c r="Q1312" s="448"/>
      <c r="R1312" s="448"/>
    </row>
    <row r="1313" spans="1:18" ht="10.5" customHeight="1" x14ac:dyDescent="0.3">
      <c r="A1313" s="20"/>
      <c r="B1313" s="20"/>
      <c r="C1313" s="20"/>
      <c r="D1313" s="20"/>
      <c r="E1313" s="20"/>
      <c r="F1313" s="20"/>
      <c r="G1313" s="20"/>
      <c r="H1313" s="20"/>
      <c r="I1313" s="20"/>
      <c r="J1313" s="20"/>
      <c r="K1313" s="20"/>
      <c r="L1313" s="20"/>
      <c r="M1313" s="20"/>
      <c r="N1313" s="20"/>
      <c r="O1313" s="20"/>
      <c r="P1313" s="20"/>
      <c r="Q1313" s="20"/>
      <c r="R1313" s="20"/>
    </row>
    <row r="1314" spans="1:18" ht="10.5" customHeight="1" x14ac:dyDescent="0.3">
      <c r="A1314" s="166" t="s">
        <v>1665</v>
      </c>
      <c r="B1314" s="301" t="s">
        <v>1666</v>
      </c>
      <c r="C1314" s="49"/>
      <c r="D1314" s="49"/>
      <c r="E1314" s="49"/>
      <c r="F1314" s="49"/>
      <c r="G1314" s="49"/>
      <c r="H1314" s="49"/>
      <c r="I1314" s="49"/>
      <c r="J1314" s="446" t="s">
        <v>78</v>
      </c>
      <c r="K1314" s="477" t="s">
        <v>79</v>
      </c>
      <c r="L1314" s="477"/>
      <c r="M1314" s="477"/>
      <c r="N1314" s="473" t="s">
        <v>80</v>
      </c>
      <c r="O1314" s="434"/>
      <c r="P1314" s="61"/>
      <c r="Q1314" s="16" t="s">
        <v>81</v>
      </c>
      <c r="R1314" s="17" t="s">
        <v>82</v>
      </c>
    </row>
    <row r="1315" spans="1:18" ht="10.5" customHeight="1" x14ac:dyDescent="0.3">
      <c r="A1315" s="18"/>
      <c r="B1315" s="20"/>
      <c r="C1315" s="20"/>
      <c r="D1315" s="20"/>
      <c r="E1315" s="20"/>
      <c r="F1315" s="20"/>
      <c r="G1315" s="20"/>
      <c r="H1315" s="20"/>
      <c r="I1315" s="20"/>
      <c r="J1315" s="446"/>
      <c r="K1315" s="477"/>
      <c r="L1315" s="477"/>
      <c r="M1315" s="477"/>
      <c r="N1315" s="473"/>
      <c r="O1315" s="369"/>
      <c r="P1315" s="68"/>
      <c r="Q1315" s="69" t="s">
        <v>1667</v>
      </c>
      <c r="R1315" s="69" t="s">
        <v>1667</v>
      </c>
    </row>
    <row r="1316" spans="1:18" ht="10.5" customHeight="1" x14ac:dyDescent="0.3">
      <c r="A1316" s="176"/>
      <c r="B1316" s="20"/>
      <c r="C1316" s="20"/>
      <c r="D1316" s="20"/>
      <c r="E1316" s="20"/>
      <c r="F1316" s="20"/>
      <c r="G1316" s="20"/>
      <c r="H1316" s="20"/>
      <c r="I1316" s="20"/>
      <c r="J1316" s="302" t="s">
        <v>1668</v>
      </c>
      <c r="K1316" s="167">
        <v>3.2</v>
      </c>
      <c r="L1316" s="75" t="s">
        <v>86</v>
      </c>
      <c r="M1316" s="76">
        <v>80</v>
      </c>
      <c r="N1316" s="94" t="s">
        <v>1669</v>
      </c>
      <c r="O1316" s="231"/>
      <c r="P1316" s="303">
        <v>1.46</v>
      </c>
      <c r="Q1316" s="28">
        <f t="shared" ref="Q1316:Q1323" si="179">P1316*$F$10</f>
        <v>62.78</v>
      </c>
      <c r="R1316" s="28">
        <f t="shared" ref="R1316:R1323" si="180">Q1316-Q1316*0.2</f>
        <v>50.224000000000004</v>
      </c>
    </row>
    <row r="1317" spans="1:18" ht="10.5" customHeight="1" x14ac:dyDescent="0.3">
      <c r="A1317" s="304"/>
      <c r="B1317" s="20"/>
      <c r="C1317" s="20"/>
      <c r="D1317" s="20"/>
      <c r="E1317" s="20"/>
      <c r="F1317" s="20"/>
      <c r="G1317" s="20"/>
      <c r="H1317" s="20"/>
      <c r="I1317" s="20"/>
      <c r="J1317" s="302" t="s">
        <v>1670</v>
      </c>
      <c r="K1317" s="167">
        <v>3.5</v>
      </c>
      <c r="L1317" s="75" t="s">
        <v>86</v>
      </c>
      <c r="M1317" s="76">
        <v>90</v>
      </c>
      <c r="N1317" s="94" t="s">
        <v>1669</v>
      </c>
      <c r="O1317" s="231"/>
      <c r="P1317" s="303">
        <v>1.46</v>
      </c>
      <c r="Q1317" s="72">
        <f t="shared" si="179"/>
        <v>62.78</v>
      </c>
      <c r="R1317" s="72">
        <f t="shared" si="180"/>
        <v>50.224000000000004</v>
      </c>
    </row>
    <row r="1318" spans="1:18" ht="10.5" customHeight="1" x14ac:dyDescent="0.3">
      <c r="A1318" s="446" t="s">
        <v>78</v>
      </c>
      <c r="B1318" s="477" t="s">
        <v>79</v>
      </c>
      <c r="C1318" s="477"/>
      <c r="D1318" s="477"/>
      <c r="E1318" s="473" t="s">
        <v>80</v>
      </c>
      <c r="F1318" s="61"/>
      <c r="G1318" s="16" t="s">
        <v>81</v>
      </c>
      <c r="H1318" s="17" t="s">
        <v>82</v>
      </c>
      <c r="I1318" s="20"/>
      <c r="J1318" s="302" t="s">
        <v>1671</v>
      </c>
      <c r="K1318" s="167">
        <v>4</v>
      </c>
      <c r="L1318" s="75" t="s">
        <v>86</v>
      </c>
      <c r="M1318" s="76">
        <v>100</v>
      </c>
      <c r="N1318" s="87" t="s">
        <v>1669</v>
      </c>
      <c r="O1318" s="231"/>
      <c r="P1318" s="303">
        <v>1.46</v>
      </c>
      <c r="Q1318" s="28">
        <f t="shared" si="179"/>
        <v>62.78</v>
      </c>
      <c r="R1318" s="28">
        <f t="shared" si="180"/>
        <v>50.224000000000004</v>
      </c>
    </row>
    <row r="1319" spans="1:18" ht="10.5" customHeight="1" x14ac:dyDescent="0.3">
      <c r="A1319" s="446"/>
      <c r="B1319" s="477"/>
      <c r="C1319" s="477"/>
      <c r="D1319" s="477"/>
      <c r="E1319" s="473"/>
      <c r="F1319" s="68"/>
      <c r="G1319" s="69" t="s">
        <v>1667</v>
      </c>
      <c r="H1319" s="69" t="s">
        <v>1667</v>
      </c>
      <c r="I1319" s="20"/>
      <c r="J1319" s="302" t="s">
        <v>1672</v>
      </c>
      <c r="K1319" s="167">
        <v>4</v>
      </c>
      <c r="L1319" s="23" t="s">
        <v>86</v>
      </c>
      <c r="M1319" s="24">
        <v>120</v>
      </c>
      <c r="N1319" s="94" t="s">
        <v>1669</v>
      </c>
      <c r="O1319" s="231"/>
      <c r="P1319" s="303">
        <v>1.46</v>
      </c>
      <c r="Q1319" s="72">
        <f t="shared" si="179"/>
        <v>62.78</v>
      </c>
      <c r="R1319" s="72">
        <f t="shared" si="180"/>
        <v>50.224000000000004</v>
      </c>
    </row>
    <row r="1320" spans="1:18" ht="10.5" customHeight="1" x14ac:dyDescent="0.3">
      <c r="A1320" s="302" t="s">
        <v>1673</v>
      </c>
      <c r="B1320" s="167">
        <v>2</v>
      </c>
      <c r="C1320" s="75" t="s">
        <v>86</v>
      </c>
      <c r="D1320" s="76">
        <v>40</v>
      </c>
      <c r="E1320" s="94" t="s">
        <v>1669</v>
      </c>
      <c r="F1320" s="303">
        <v>1.57</v>
      </c>
      <c r="G1320" s="72">
        <f>F1320*$F$10</f>
        <v>67.510000000000005</v>
      </c>
      <c r="H1320" s="72">
        <f>G1320-G1320*0.2</f>
        <v>54.008000000000003</v>
      </c>
      <c r="I1320" s="20"/>
      <c r="J1320" s="302" t="s">
        <v>1674</v>
      </c>
      <c r="K1320" s="167">
        <v>5</v>
      </c>
      <c r="L1320" s="75" t="s">
        <v>86</v>
      </c>
      <c r="M1320" s="76">
        <v>150</v>
      </c>
      <c r="N1320" s="94" t="s">
        <v>1669</v>
      </c>
      <c r="O1320" s="231"/>
      <c r="P1320" s="303">
        <v>1.46</v>
      </c>
      <c r="Q1320" s="28">
        <f t="shared" si="179"/>
        <v>62.78</v>
      </c>
      <c r="R1320" s="28">
        <f t="shared" si="180"/>
        <v>50.224000000000004</v>
      </c>
    </row>
    <row r="1321" spans="1:18" ht="10.5" customHeight="1" x14ac:dyDescent="0.3">
      <c r="A1321" s="302">
        <v>230012550</v>
      </c>
      <c r="B1321" s="167">
        <v>2.5</v>
      </c>
      <c r="C1321" s="75" t="s">
        <v>86</v>
      </c>
      <c r="D1321" s="76">
        <v>50</v>
      </c>
      <c r="E1321" s="94" t="s">
        <v>1669</v>
      </c>
      <c r="F1321" s="303">
        <v>1.49</v>
      </c>
      <c r="G1321" s="28">
        <f>F1321*$F$10</f>
        <v>64.069999999999993</v>
      </c>
      <c r="H1321" s="28">
        <f>G1321-G1321*0.2</f>
        <v>51.255999999999993</v>
      </c>
      <c r="I1321" s="20"/>
      <c r="J1321" s="302" t="s">
        <v>1675</v>
      </c>
      <c r="K1321" s="167">
        <v>6</v>
      </c>
      <c r="L1321" s="75" t="s">
        <v>86</v>
      </c>
      <c r="M1321" s="76">
        <v>200</v>
      </c>
      <c r="N1321" s="87" t="s">
        <v>1669</v>
      </c>
      <c r="O1321" s="231"/>
      <c r="P1321" s="303">
        <v>1.46</v>
      </c>
      <c r="Q1321" s="72">
        <f t="shared" si="179"/>
        <v>62.78</v>
      </c>
      <c r="R1321" s="72">
        <f t="shared" si="180"/>
        <v>50.224000000000004</v>
      </c>
    </row>
    <row r="1322" spans="1:18" ht="10.5" customHeight="1" x14ac:dyDescent="0.3">
      <c r="A1322" s="302" t="s">
        <v>1676</v>
      </c>
      <c r="B1322" s="167">
        <v>2.5</v>
      </c>
      <c r="C1322" s="75" t="s">
        <v>86</v>
      </c>
      <c r="D1322" s="76">
        <v>60</v>
      </c>
      <c r="E1322" s="94" t="s">
        <v>1669</v>
      </c>
      <c r="F1322" s="303">
        <v>1.49</v>
      </c>
      <c r="G1322" s="28">
        <f>F1322*$F$10</f>
        <v>64.069999999999993</v>
      </c>
      <c r="H1322" s="28">
        <f>G1322-G1322*0.2</f>
        <v>51.255999999999993</v>
      </c>
      <c r="I1322" s="20"/>
      <c r="J1322" s="302" t="s">
        <v>1677</v>
      </c>
      <c r="K1322" s="167">
        <v>6</v>
      </c>
      <c r="L1322" s="75" t="s">
        <v>86</v>
      </c>
      <c r="M1322" s="76">
        <v>230</v>
      </c>
      <c r="N1322" s="87" t="s">
        <v>1669</v>
      </c>
      <c r="O1322" s="231"/>
      <c r="P1322" s="303">
        <v>1.46</v>
      </c>
      <c r="Q1322" s="28">
        <f t="shared" si="179"/>
        <v>62.78</v>
      </c>
      <c r="R1322" s="72">
        <f t="shared" si="180"/>
        <v>50.224000000000004</v>
      </c>
    </row>
    <row r="1323" spans="1:18" ht="10.5" customHeight="1" x14ac:dyDescent="0.3">
      <c r="A1323" s="302" t="s">
        <v>1678</v>
      </c>
      <c r="B1323" s="167">
        <v>3</v>
      </c>
      <c r="C1323" s="75" t="s">
        <v>86</v>
      </c>
      <c r="D1323" s="76">
        <v>70</v>
      </c>
      <c r="E1323" s="87" t="s">
        <v>1669</v>
      </c>
      <c r="F1323" s="303">
        <v>1.46</v>
      </c>
      <c r="G1323" s="72">
        <f>F1323*$F$10</f>
        <v>62.78</v>
      </c>
      <c r="H1323" s="72">
        <f>G1323-G1323*0.2</f>
        <v>50.224000000000004</v>
      </c>
      <c r="I1323" s="83"/>
      <c r="J1323" s="302" t="s">
        <v>1679</v>
      </c>
      <c r="K1323" s="167">
        <v>5</v>
      </c>
      <c r="L1323" s="75" t="s">
        <v>86</v>
      </c>
      <c r="M1323" s="76">
        <v>120</v>
      </c>
      <c r="N1323" s="87" t="s">
        <v>1669</v>
      </c>
      <c r="O1323" s="231"/>
      <c r="P1323" s="303">
        <v>1.95</v>
      </c>
      <c r="Q1323" s="72">
        <f t="shared" si="179"/>
        <v>83.85</v>
      </c>
      <c r="R1323" s="72">
        <f t="shared" si="180"/>
        <v>67.08</v>
      </c>
    </row>
    <row r="1324" spans="1:18" ht="10.5" customHeight="1" x14ac:dyDescent="0.3">
      <c r="A1324" s="20"/>
      <c r="B1324" s="20"/>
      <c r="C1324" s="20"/>
      <c r="D1324" s="20"/>
      <c r="E1324" s="20"/>
      <c r="F1324" s="20"/>
      <c r="G1324" s="20"/>
      <c r="H1324" s="20"/>
      <c r="I1324" s="20"/>
      <c r="J1324" s="20"/>
      <c r="K1324" s="20"/>
      <c r="L1324" s="20"/>
      <c r="M1324" s="20"/>
      <c r="N1324" s="20"/>
      <c r="O1324" s="20"/>
      <c r="P1324" s="20"/>
      <c r="Q1324" s="20"/>
      <c r="R1324" s="20"/>
    </row>
    <row r="1325" spans="1:18" ht="10.5" customHeight="1" x14ac:dyDescent="0.3">
      <c r="A1325" s="305" t="s">
        <v>1680</v>
      </c>
      <c r="B1325" s="49"/>
      <c r="C1325" s="49"/>
      <c r="D1325" s="49"/>
      <c r="E1325" s="49"/>
      <c r="F1325" s="49"/>
      <c r="G1325" s="49"/>
      <c r="H1325" s="49"/>
      <c r="I1325" s="49"/>
      <c r="J1325" s="446" t="s">
        <v>78</v>
      </c>
      <c r="K1325" s="477" t="s">
        <v>79</v>
      </c>
      <c r="L1325" s="477"/>
      <c r="M1325" s="477"/>
      <c r="N1325" s="473" t="s">
        <v>80</v>
      </c>
      <c r="O1325" s="434"/>
      <c r="P1325" s="61"/>
      <c r="Q1325" s="16" t="s">
        <v>81</v>
      </c>
      <c r="R1325" s="17" t="s">
        <v>82</v>
      </c>
    </row>
    <row r="1326" spans="1:18" ht="10.5" customHeight="1" x14ac:dyDescent="0.3">
      <c r="A1326" s="306" t="s">
        <v>457</v>
      </c>
      <c r="B1326" s="20"/>
      <c r="C1326" s="20"/>
      <c r="D1326" s="20"/>
      <c r="E1326" s="20"/>
      <c r="F1326" s="20"/>
      <c r="G1326" s="20"/>
      <c r="H1326" s="20"/>
      <c r="I1326" s="20"/>
      <c r="J1326" s="446"/>
      <c r="K1326" s="477"/>
      <c r="L1326" s="477"/>
      <c r="M1326" s="477"/>
      <c r="N1326" s="473"/>
      <c r="O1326" s="369"/>
      <c r="P1326" s="68"/>
      <c r="Q1326" s="69" t="s">
        <v>1667</v>
      </c>
      <c r="R1326" s="69" t="s">
        <v>1667</v>
      </c>
    </row>
    <row r="1327" spans="1:18" ht="10.5" customHeight="1" x14ac:dyDescent="0.3">
      <c r="A1327" s="306" t="s">
        <v>457</v>
      </c>
      <c r="B1327" s="20"/>
      <c r="C1327" s="20"/>
      <c r="D1327" s="20"/>
      <c r="E1327" s="20"/>
      <c r="F1327" s="20"/>
      <c r="G1327" s="20"/>
      <c r="H1327" s="20"/>
      <c r="I1327" s="20"/>
      <c r="J1327" s="307">
        <v>230030001</v>
      </c>
      <c r="K1327" s="167">
        <v>3.1</v>
      </c>
      <c r="L1327" s="75" t="s">
        <v>86</v>
      </c>
      <c r="M1327" s="76">
        <v>20</v>
      </c>
      <c r="N1327" s="94" t="s">
        <v>1669</v>
      </c>
      <c r="O1327" s="87"/>
      <c r="P1327" s="78">
        <v>3.5037804878048782</v>
      </c>
      <c r="Q1327" s="72">
        <f>P1327*$F$10</f>
        <v>150.66256097560975</v>
      </c>
      <c r="R1327" s="72">
        <f>Q1327-Q1327*0.2</f>
        <v>120.5300487804878</v>
      </c>
    </row>
    <row r="1328" spans="1:18" ht="10.5" customHeight="1" x14ac:dyDescent="0.3">
      <c r="A1328" s="306"/>
      <c r="B1328" s="20"/>
      <c r="C1328" s="20"/>
      <c r="D1328" s="20"/>
      <c r="E1328" s="20"/>
      <c r="F1328" s="20"/>
      <c r="G1328" s="20"/>
      <c r="H1328" s="20"/>
      <c r="I1328" s="20"/>
      <c r="J1328" s="307">
        <v>230030002</v>
      </c>
      <c r="K1328" s="167">
        <v>3.1</v>
      </c>
      <c r="L1328" s="75" t="s">
        <v>86</v>
      </c>
      <c r="M1328" s="76">
        <v>25</v>
      </c>
      <c r="N1328" s="87" t="s">
        <v>1669</v>
      </c>
      <c r="O1328" s="87"/>
      <c r="P1328" s="78">
        <v>3.5037804878048782</v>
      </c>
      <c r="Q1328" s="28">
        <f>P1328*$F$10</f>
        <v>150.66256097560975</v>
      </c>
      <c r="R1328" s="28">
        <f>Q1328-Q1328*0.2</f>
        <v>120.5300487804878</v>
      </c>
    </row>
    <row r="1329" spans="1:18" ht="10.5" customHeight="1" x14ac:dyDescent="0.3">
      <c r="A1329" s="55"/>
      <c r="B1329" s="83"/>
      <c r="C1329" s="83"/>
      <c r="D1329" s="83"/>
      <c r="E1329" s="83"/>
      <c r="F1329" s="83"/>
      <c r="G1329" s="83"/>
      <c r="H1329" s="83"/>
      <c r="I1329" s="83"/>
      <c r="J1329" s="307">
        <v>230030003</v>
      </c>
      <c r="K1329" s="167">
        <v>3.1</v>
      </c>
      <c r="L1329" s="23" t="s">
        <v>86</v>
      </c>
      <c r="M1329" s="24">
        <v>30</v>
      </c>
      <c r="N1329" s="94" t="s">
        <v>1669</v>
      </c>
      <c r="O1329" s="87"/>
      <c r="P1329" s="78">
        <v>3.5037804878048782</v>
      </c>
      <c r="Q1329" s="28">
        <f>P1329*$F$10</f>
        <v>150.66256097560975</v>
      </c>
      <c r="R1329" s="28">
        <f>Q1329-Q1329*0.2</f>
        <v>120.5300487804878</v>
      </c>
    </row>
    <row r="1330" spans="1:18" ht="10.5" customHeight="1" x14ac:dyDescent="0.3">
      <c r="A1330" s="20"/>
      <c r="B1330" s="20"/>
      <c r="C1330" s="20"/>
      <c r="D1330" s="20"/>
      <c r="E1330" s="20"/>
      <c r="F1330" s="20"/>
      <c r="G1330" s="20"/>
      <c r="H1330" s="20"/>
      <c r="I1330" s="20"/>
      <c r="J1330" s="20"/>
      <c r="K1330" s="20"/>
      <c r="L1330" s="20"/>
      <c r="M1330" s="20"/>
      <c r="N1330" s="20"/>
      <c r="O1330" s="20"/>
      <c r="P1330" s="20"/>
      <c r="Q1330" s="20"/>
      <c r="R1330" s="20"/>
    </row>
    <row r="1331" spans="1:18" ht="10.5" customHeight="1" x14ac:dyDescent="0.3">
      <c r="A1331" s="166" t="s">
        <v>1681</v>
      </c>
      <c r="B1331" s="308" t="s">
        <v>1682</v>
      </c>
      <c r="C1331" s="49"/>
      <c r="D1331" s="49"/>
      <c r="E1331" s="49"/>
      <c r="F1331" s="49"/>
      <c r="G1331" s="49"/>
      <c r="H1331" s="49"/>
      <c r="I1331" s="49"/>
      <c r="J1331" s="309" t="s">
        <v>1683</v>
      </c>
      <c r="K1331" s="308" t="s">
        <v>1684</v>
      </c>
      <c r="L1331" s="49"/>
      <c r="M1331" s="49"/>
      <c r="N1331" s="49"/>
      <c r="O1331" s="49"/>
      <c r="P1331" s="49"/>
      <c r="Q1331" s="49"/>
      <c r="R1331" s="50"/>
    </row>
    <row r="1332" spans="1:18" ht="10.5" customHeight="1" x14ac:dyDescent="0.3">
      <c r="A1332" s="18"/>
      <c r="B1332" s="20"/>
      <c r="C1332" s="20"/>
      <c r="D1332" s="20"/>
      <c r="E1332" s="20"/>
      <c r="F1332" s="20"/>
      <c r="G1332" s="20"/>
      <c r="H1332" s="20"/>
      <c r="I1332" s="20"/>
      <c r="J1332" s="20"/>
      <c r="K1332" s="20"/>
      <c r="L1332" s="20"/>
      <c r="M1332" s="20"/>
      <c r="N1332" s="20"/>
      <c r="O1332" s="20"/>
      <c r="P1332" s="20"/>
      <c r="Q1332" s="20"/>
      <c r="R1332" s="101"/>
    </row>
    <row r="1333" spans="1:18" ht="10.5" customHeight="1" x14ac:dyDescent="0.3">
      <c r="A1333" s="306" t="s">
        <v>457</v>
      </c>
      <c r="B1333" s="20"/>
      <c r="C1333" s="20"/>
      <c r="D1333" s="20"/>
      <c r="E1333" s="20"/>
      <c r="F1333" s="20"/>
      <c r="G1333" s="20"/>
      <c r="H1333" s="20"/>
      <c r="I1333" s="20"/>
      <c r="J1333" s="310" t="s">
        <v>457</v>
      </c>
      <c r="K1333" s="20"/>
      <c r="L1333" s="20"/>
      <c r="M1333" s="20"/>
      <c r="N1333" s="20"/>
      <c r="O1333" s="20"/>
      <c r="P1333" s="20"/>
      <c r="Q1333" s="20"/>
      <c r="R1333" s="101"/>
    </row>
    <row r="1334" spans="1:18" ht="10.5" customHeight="1" x14ac:dyDescent="0.3">
      <c r="A1334" s="18"/>
      <c r="B1334" s="20"/>
      <c r="C1334" s="20"/>
      <c r="D1334" s="20"/>
      <c r="E1334" s="20"/>
      <c r="F1334" s="20"/>
      <c r="G1334" s="20"/>
      <c r="H1334" s="20"/>
      <c r="I1334" s="20"/>
      <c r="J1334" s="20"/>
      <c r="K1334" s="20"/>
      <c r="L1334" s="20"/>
      <c r="M1334" s="20"/>
      <c r="N1334" s="20"/>
      <c r="O1334" s="20"/>
      <c r="P1334" s="20"/>
      <c r="Q1334" s="20"/>
      <c r="R1334" s="101"/>
    </row>
    <row r="1335" spans="1:18" ht="10.5" customHeight="1" x14ac:dyDescent="0.3">
      <c r="A1335" s="18"/>
      <c r="B1335" s="20"/>
      <c r="C1335" s="20"/>
      <c r="D1335" s="20"/>
      <c r="E1335" s="20"/>
      <c r="F1335" s="20"/>
      <c r="G1335" s="20"/>
      <c r="H1335" s="20"/>
      <c r="I1335" s="20"/>
      <c r="J1335" s="20"/>
      <c r="K1335" s="20"/>
      <c r="L1335" s="20"/>
      <c r="M1335" s="20"/>
      <c r="N1335" s="20"/>
      <c r="O1335" s="20"/>
      <c r="P1335" s="20"/>
      <c r="Q1335" s="20"/>
      <c r="R1335" s="101"/>
    </row>
    <row r="1336" spans="1:18" ht="10.5" customHeight="1" x14ac:dyDescent="0.3">
      <c r="A1336" s="446" t="s">
        <v>78</v>
      </c>
      <c r="B1336" s="477" t="s">
        <v>79</v>
      </c>
      <c r="C1336" s="477"/>
      <c r="D1336" s="477"/>
      <c r="E1336" s="473" t="s">
        <v>80</v>
      </c>
      <c r="F1336" s="61"/>
      <c r="G1336" s="16" t="s">
        <v>81</v>
      </c>
      <c r="H1336" s="17" t="s">
        <v>82</v>
      </c>
      <c r="I1336" s="20"/>
      <c r="J1336" s="446" t="s">
        <v>78</v>
      </c>
      <c r="K1336" s="477" t="s">
        <v>79</v>
      </c>
      <c r="L1336" s="477"/>
      <c r="M1336" s="477"/>
      <c r="N1336" s="473" t="s">
        <v>80</v>
      </c>
      <c r="O1336" s="434"/>
      <c r="P1336" s="61"/>
      <c r="Q1336" s="16" t="s">
        <v>81</v>
      </c>
      <c r="R1336" s="17" t="s">
        <v>82</v>
      </c>
    </row>
    <row r="1337" spans="1:18" ht="10.5" customHeight="1" x14ac:dyDescent="0.3">
      <c r="A1337" s="446"/>
      <c r="B1337" s="477"/>
      <c r="C1337" s="477"/>
      <c r="D1337" s="477"/>
      <c r="E1337" s="473"/>
      <c r="F1337" s="68"/>
      <c r="G1337" s="69" t="s">
        <v>84</v>
      </c>
      <c r="H1337" s="15" t="s">
        <v>84</v>
      </c>
      <c r="I1337" s="20"/>
      <c r="J1337" s="446"/>
      <c r="K1337" s="477"/>
      <c r="L1337" s="477"/>
      <c r="M1337" s="477"/>
      <c r="N1337" s="473"/>
      <c r="O1337" s="369"/>
      <c r="P1337" s="68"/>
      <c r="Q1337" s="69" t="s">
        <v>84</v>
      </c>
      <c r="R1337" s="15" t="s">
        <v>84</v>
      </c>
    </row>
    <row r="1338" spans="1:18" ht="10.5" customHeight="1" x14ac:dyDescent="0.3">
      <c r="A1338" s="307" t="s">
        <v>1685</v>
      </c>
      <c r="B1338" s="51">
        <v>3.2</v>
      </c>
      <c r="C1338" s="23" t="s">
        <v>86</v>
      </c>
      <c r="D1338" s="24">
        <v>70</v>
      </c>
      <c r="E1338" s="94">
        <v>100</v>
      </c>
      <c r="F1338" s="26">
        <v>3.79</v>
      </c>
      <c r="G1338" s="28">
        <f>F1338*$F$10</f>
        <v>162.97</v>
      </c>
      <c r="H1338" s="28">
        <f>G1338-G1338*0.2</f>
        <v>130.376</v>
      </c>
      <c r="I1338" s="20"/>
      <c r="J1338" s="307" t="s">
        <v>1685</v>
      </c>
      <c r="K1338" s="22">
        <v>3.2</v>
      </c>
      <c r="L1338" s="23" t="s">
        <v>86</v>
      </c>
      <c r="M1338" s="24">
        <v>70</v>
      </c>
      <c r="N1338" s="94">
        <v>100</v>
      </c>
      <c r="O1338" s="94"/>
      <c r="P1338" s="26">
        <v>3.6462292682926822</v>
      </c>
      <c r="Q1338" s="28">
        <f>P1338*$F$10</f>
        <v>156.78785853658533</v>
      </c>
      <c r="R1338" s="28">
        <f>Q1338-Q1338*0.2</f>
        <v>125.43028682926827</v>
      </c>
    </row>
    <row r="1339" spans="1:18" ht="10.5" customHeight="1" x14ac:dyDescent="0.3">
      <c r="A1339" s="307" t="s">
        <v>1686</v>
      </c>
      <c r="B1339" s="74">
        <v>3.2</v>
      </c>
      <c r="C1339" s="75" t="s">
        <v>86</v>
      </c>
      <c r="D1339" s="76">
        <v>70</v>
      </c>
      <c r="E1339" s="87">
        <v>100</v>
      </c>
      <c r="F1339" s="26">
        <v>3.79</v>
      </c>
      <c r="G1339" s="28">
        <f>F1339*$F$10</f>
        <v>162.97</v>
      </c>
      <c r="H1339" s="28">
        <f>G1339-G1339*0.2</f>
        <v>130.376</v>
      </c>
      <c r="I1339" s="20"/>
      <c r="J1339" s="307" t="s">
        <v>1686</v>
      </c>
      <c r="K1339" s="22">
        <v>3.2</v>
      </c>
      <c r="L1339" s="23" t="s">
        <v>86</v>
      </c>
      <c r="M1339" s="24">
        <v>70</v>
      </c>
      <c r="N1339" s="94">
        <v>100</v>
      </c>
      <c r="O1339" s="94"/>
      <c r="P1339" s="26">
        <v>3.6462292682926822</v>
      </c>
      <c r="Q1339" s="28">
        <f>P1339*$F$10</f>
        <v>156.78785853658533</v>
      </c>
      <c r="R1339" s="28">
        <f>Q1339-Q1339*0.2</f>
        <v>125.43028682926827</v>
      </c>
    </row>
    <row r="1340" spans="1:18" ht="10.5" customHeight="1" x14ac:dyDescent="0.3">
      <c r="A1340" s="307" t="s">
        <v>1687</v>
      </c>
      <c r="B1340" s="22">
        <v>3.2</v>
      </c>
      <c r="C1340" s="23" t="s">
        <v>86</v>
      </c>
      <c r="D1340" s="24">
        <v>70</v>
      </c>
      <c r="E1340" s="94">
        <v>100</v>
      </c>
      <c r="F1340" s="26">
        <v>3.79</v>
      </c>
      <c r="G1340" s="28">
        <f>F1340*$F$10</f>
        <v>162.97</v>
      </c>
      <c r="H1340" s="28">
        <f>G1340-G1340*0.2</f>
        <v>130.376</v>
      </c>
      <c r="I1340" s="83"/>
      <c r="J1340" s="307" t="s">
        <v>1687</v>
      </c>
      <c r="K1340" s="22">
        <v>3.2</v>
      </c>
      <c r="L1340" s="23" t="s">
        <v>86</v>
      </c>
      <c r="M1340" s="24">
        <v>70</v>
      </c>
      <c r="N1340" s="94">
        <v>100</v>
      </c>
      <c r="O1340" s="94"/>
      <c r="P1340" s="26">
        <v>3.6462292682926822</v>
      </c>
      <c r="Q1340" s="28">
        <f>P1340*$F$10</f>
        <v>156.78785853658533</v>
      </c>
      <c r="R1340" s="28">
        <f>Q1340-Q1340*0.2</f>
        <v>125.43028682926827</v>
      </c>
    </row>
    <row r="1341" spans="1:18" ht="10.5" customHeight="1" x14ac:dyDescent="0.3">
      <c r="A1341" s="275"/>
      <c r="B1341" s="40"/>
      <c r="C1341" s="41"/>
      <c r="D1341" s="42"/>
      <c r="E1341" s="97"/>
      <c r="F1341" s="44"/>
      <c r="G1341" s="46"/>
      <c r="H1341" s="46"/>
      <c r="I1341" s="20"/>
      <c r="J1341" s="275"/>
      <c r="K1341" s="40"/>
      <c r="L1341" s="41"/>
      <c r="M1341" s="42"/>
      <c r="N1341" s="97"/>
      <c r="O1341" s="97"/>
      <c r="P1341" s="44"/>
      <c r="Q1341" s="46"/>
      <c r="R1341" s="46"/>
    </row>
    <row r="1342" spans="1:18" ht="10.5" customHeight="1" x14ac:dyDescent="0.3">
      <c r="A1342" s="275"/>
      <c r="B1342" s="40"/>
      <c r="C1342" s="41"/>
      <c r="D1342" s="42"/>
      <c r="E1342" s="97"/>
      <c r="F1342" s="44"/>
      <c r="G1342" s="46"/>
      <c r="H1342" s="46"/>
      <c r="I1342" s="20"/>
      <c r="J1342" s="275"/>
      <c r="K1342" s="40"/>
      <c r="L1342" s="41"/>
      <c r="M1342" s="42"/>
      <c r="N1342" s="97"/>
      <c r="O1342" s="97"/>
      <c r="P1342" s="44"/>
      <c r="Q1342" s="46"/>
      <c r="R1342" s="46"/>
    </row>
    <row r="1343" spans="1:18" ht="10.5" customHeight="1" x14ac:dyDescent="0.3">
      <c r="A1343" s="275"/>
      <c r="B1343" s="40"/>
      <c r="C1343" s="41"/>
      <c r="D1343" s="42"/>
      <c r="E1343" s="97"/>
      <c r="F1343" s="44"/>
      <c r="G1343" s="46"/>
      <c r="H1343" s="46"/>
      <c r="I1343" s="20"/>
      <c r="J1343" s="275"/>
      <c r="K1343" s="40"/>
      <c r="L1343" s="41"/>
      <c r="M1343" s="42"/>
      <c r="N1343" s="97"/>
      <c r="O1343" s="97"/>
      <c r="P1343" s="44"/>
      <c r="Q1343" s="46"/>
      <c r="R1343" s="46"/>
    </row>
    <row r="1344" spans="1:18" ht="10.5" customHeight="1" x14ac:dyDescent="0.3">
      <c r="A1344" s="275"/>
      <c r="B1344" s="40"/>
      <c r="C1344" s="41"/>
      <c r="D1344" s="42"/>
      <c r="E1344" s="97"/>
      <c r="F1344" s="44"/>
      <c r="G1344" s="46"/>
      <c r="H1344" s="46"/>
      <c r="I1344" s="20"/>
      <c r="J1344" s="275"/>
      <c r="K1344" s="40"/>
      <c r="L1344" s="41"/>
      <c r="M1344" s="42"/>
      <c r="N1344" s="97"/>
      <c r="O1344" s="97"/>
      <c r="P1344" s="44"/>
      <c r="Q1344" s="46"/>
      <c r="R1344" s="46"/>
    </row>
    <row r="1345" spans="1:18" ht="10.5" customHeight="1" x14ac:dyDescent="0.3">
      <c r="A1345" s="275"/>
      <c r="B1345" s="40"/>
      <c r="C1345" s="41"/>
      <c r="D1345" s="42"/>
      <c r="E1345" s="97"/>
      <c r="F1345" s="44"/>
      <c r="G1345" s="46"/>
      <c r="H1345" s="46"/>
      <c r="I1345" s="20"/>
      <c r="J1345" s="275"/>
      <c r="K1345" s="40"/>
      <c r="L1345" s="41"/>
      <c r="M1345" s="42"/>
      <c r="N1345" s="97"/>
      <c r="O1345" s="97"/>
      <c r="P1345" s="44"/>
      <c r="Q1345" s="46"/>
      <c r="R1345" s="46"/>
    </row>
    <row r="1346" spans="1:18" ht="10.5" customHeight="1" x14ac:dyDescent="0.3">
      <c r="A1346" s="275"/>
      <c r="B1346" s="40"/>
      <c r="C1346" s="41"/>
      <c r="D1346" s="42"/>
      <c r="E1346" s="97"/>
      <c r="F1346" s="44"/>
      <c r="G1346" s="46"/>
      <c r="H1346" s="46"/>
      <c r="I1346" s="20"/>
      <c r="J1346" s="275"/>
      <c r="K1346" s="40"/>
      <c r="L1346" s="41"/>
      <c r="M1346" s="42"/>
      <c r="N1346" s="97"/>
      <c r="O1346" s="97"/>
      <c r="P1346" s="44"/>
      <c r="Q1346" s="46"/>
      <c r="R1346" s="46"/>
    </row>
    <row r="1347" spans="1:18" ht="10.5" customHeight="1" x14ac:dyDescent="0.3">
      <c r="A1347" s="20"/>
      <c r="B1347" s="20"/>
      <c r="C1347" s="20"/>
      <c r="D1347" s="20"/>
      <c r="E1347" s="20"/>
      <c r="F1347" s="20"/>
      <c r="G1347" s="20"/>
      <c r="H1347" s="20"/>
      <c r="I1347" s="20"/>
      <c r="J1347" s="20"/>
      <c r="K1347" s="20"/>
      <c r="L1347" s="20"/>
      <c r="M1347" s="20"/>
      <c r="N1347" s="20"/>
      <c r="O1347" s="20"/>
      <c r="P1347" s="20"/>
      <c r="Q1347" s="20"/>
      <c r="R1347" s="20"/>
    </row>
    <row r="1348" spans="1:18" ht="15" customHeight="1" x14ac:dyDescent="0.3">
      <c r="A1348" s="448" t="s">
        <v>1688</v>
      </c>
      <c r="B1348" s="448"/>
      <c r="C1348" s="448"/>
      <c r="D1348" s="448"/>
      <c r="E1348" s="448"/>
      <c r="F1348" s="448"/>
      <c r="G1348" s="448"/>
      <c r="H1348" s="448"/>
      <c r="I1348" s="448"/>
      <c r="J1348" s="448"/>
      <c r="K1348" s="448"/>
      <c r="L1348" s="448"/>
      <c r="M1348" s="448"/>
      <c r="N1348" s="448"/>
      <c r="O1348" s="448"/>
      <c r="P1348" s="448"/>
      <c r="Q1348" s="448"/>
      <c r="R1348" s="448"/>
    </row>
    <row r="1349" spans="1:18" ht="10.5" customHeight="1" x14ac:dyDescent="0.3">
      <c r="A1349" s="20"/>
      <c r="B1349" s="20"/>
      <c r="C1349" s="20"/>
      <c r="D1349" s="20"/>
      <c r="E1349" s="20"/>
      <c r="F1349" s="20"/>
      <c r="G1349" s="20"/>
      <c r="H1349" s="20"/>
      <c r="I1349" s="20"/>
      <c r="J1349" s="20"/>
      <c r="K1349" s="20"/>
      <c r="L1349" s="20"/>
      <c r="M1349" s="20"/>
      <c r="N1349" s="20"/>
      <c r="O1349" s="20"/>
      <c r="P1349" s="20"/>
      <c r="Q1349" s="20"/>
      <c r="R1349" s="20"/>
    </row>
    <row r="1350" spans="1:18" ht="10.5" customHeight="1" x14ac:dyDescent="0.3">
      <c r="A1350" s="166" t="s">
        <v>1689</v>
      </c>
      <c r="B1350" s="49"/>
      <c r="C1350" s="49"/>
      <c r="D1350" s="49"/>
      <c r="E1350" s="49"/>
      <c r="F1350" s="49"/>
      <c r="G1350" s="49"/>
      <c r="H1350" s="49"/>
      <c r="I1350" s="49"/>
      <c r="J1350" s="49"/>
      <c r="K1350" s="49"/>
      <c r="L1350" s="49"/>
      <c r="M1350" s="49"/>
      <c r="N1350" s="49"/>
      <c r="O1350" s="49"/>
      <c r="P1350" s="49"/>
      <c r="Q1350" s="49"/>
      <c r="R1350" s="50"/>
    </row>
    <row r="1351" spans="1:18" ht="10.5" customHeight="1" x14ac:dyDescent="0.3">
      <c r="A1351" s="99" t="s">
        <v>1690</v>
      </c>
      <c r="B1351" s="20"/>
      <c r="C1351" s="20"/>
      <c r="D1351" s="20"/>
      <c r="E1351" s="20"/>
      <c r="F1351" s="20"/>
      <c r="G1351" s="20"/>
      <c r="H1351" s="20"/>
      <c r="I1351" s="20"/>
      <c r="J1351" s="20"/>
      <c r="K1351" s="20"/>
      <c r="L1351" s="20"/>
      <c r="M1351" s="20"/>
      <c r="N1351" s="20"/>
      <c r="O1351" s="20"/>
      <c r="P1351" s="20"/>
      <c r="Q1351" s="20"/>
      <c r="R1351" s="101"/>
    </row>
    <row r="1352" spans="1:18" ht="10.5" customHeight="1" x14ac:dyDescent="0.3">
      <c r="A1352" s="311"/>
      <c r="B1352" s="20"/>
      <c r="C1352" s="20"/>
      <c r="D1352" s="20"/>
      <c r="E1352" s="20"/>
      <c r="F1352" s="20"/>
      <c r="G1352" s="20"/>
      <c r="H1352" s="20"/>
      <c r="I1352" s="20"/>
      <c r="J1352" s="20"/>
      <c r="K1352" s="20"/>
      <c r="L1352" s="20"/>
      <c r="M1352" s="20"/>
      <c r="N1352" s="20"/>
      <c r="O1352" s="20"/>
      <c r="P1352" s="20"/>
      <c r="Q1352" s="20"/>
      <c r="R1352" s="101"/>
    </row>
    <row r="1353" spans="1:18" ht="10.5" customHeight="1" x14ac:dyDescent="0.3">
      <c r="A1353" s="18"/>
      <c r="B1353" s="20"/>
      <c r="C1353" s="20"/>
      <c r="D1353" s="20"/>
      <c r="E1353" s="20"/>
      <c r="F1353" s="20"/>
      <c r="G1353" s="20"/>
      <c r="H1353" s="20"/>
      <c r="I1353" s="20"/>
      <c r="J1353" s="20"/>
      <c r="K1353" s="20"/>
      <c r="L1353" s="20"/>
      <c r="M1353" s="20"/>
      <c r="N1353" s="20"/>
      <c r="O1353" s="20"/>
      <c r="P1353" s="20"/>
      <c r="Q1353" s="20"/>
      <c r="R1353" s="101"/>
    </row>
    <row r="1354" spans="1:18" ht="10.5" customHeight="1" x14ac:dyDescent="0.3">
      <c r="A1354" s="18"/>
      <c r="B1354" s="20"/>
      <c r="C1354" s="20"/>
      <c r="D1354" s="20"/>
      <c r="E1354" s="20"/>
      <c r="F1354" s="20"/>
      <c r="G1354" s="20"/>
      <c r="H1354" s="20"/>
      <c r="I1354" s="20"/>
      <c r="J1354" s="20"/>
      <c r="K1354" s="20"/>
      <c r="L1354" s="20"/>
      <c r="M1354" s="20"/>
      <c r="N1354" s="20"/>
      <c r="O1354" s="20"/>
      <c r="P1354" s="20"/>
      <c r="Q1354" s="20"/>
      <c r="R1354" s="101"/>
    </row>
    <row r="1355" spans="1:18" ht="10.5" customHeight="1" x14ac:dyDescent="0.3">
      <c r="A1355" s="18"/>
      <c r="B1355" s="20"/>
      <c r="C1355" s="20"/>
      <c r="D1355" s="20"/>
      <c r="E1355" s="20"/>
      <c r="F1355" s="20"/>
      <c r="G1355" s="20"/>
      <c r="H1355" s="20"/>
      <c r="I1355" s="20"/>
      <c r="J1355" s="20"/>
      <c r="K1355" s="20"/>
      <c r="L1355" s="20"/>
      <c r="M1355" s="20"/>
      <c r="N1355" s="20"/>
      <c r="O1355" s="20"/>
      <c r="P1355" s="20"/>
      <c r="Q1355" s="20"/>
      <c r="R1355" s="101"/>
    </row>
    <row r="1356" spans="1:18" ht="10.5" customHeight="1" x14ac:dyDescent="0.3">
      <c r="A1356" s="306" t="s">
        <v>1691</v>
      </c>
      <c r="B1356" s="20"/>
      <c r="C1356" s="20"/>
      <c r="D1356" s="20"/>
      <c r="E1356" s="20"/>
      <c r="F1356" s="20"/>
      <c r="G1356" s="20"/>
      <c r="H1356" s="20"/>
      <c r="I1356" s="20"/>
      <c r="J1356" s="20"/>
      <c r="K1356" s="20"/>
      <c r="L1356" s="20"/>
      <c r="M1356" s="20"/>
      <c r="N1356" s="20"/>
      <c r="O1356" s="20"/>
      <c r="P1356" s="20"/>
      <c r="Q1356" s="20"/>
      <c r="R1356" s="101"/>
    </row>
    <row r="1357" spans="1:18" ht="10.5" customHeight="1" x14ac:dyDescent="0.3">
      <c r="A1357" s="446" t="s">
        <v>78</v>
      </c>
      <c r="B1357" s="446" t="s">
        <v>79</v>
      </c>
      <c r="C1357" s="446"/>
      <c r="D1357" s="446"/>
      <c r="E1357" s="447" t="s">
        <v>80</v>
      </c>
      <c r="F1357" s="15"/>
      <c r="G1357" s="16" t="s">
        <v>81</v>
      </c>
      <c r="H1357" s="17" t="s">
        <v>82</v>
      </c>
      <c r="I1357" s="20"/>
      <c r="J1357" s="446" t="s">
        <v>78</v>
      </c>
      <c r="K1357" s="446" t="s">
        <v>79</v>
      </c>
      <c r="L1357" s="446"/>
      <c r="M1357" s="446"/>
      <c r="N1357" s="447" t="s">
        <v>80</v>
      </c>
      <c r="O1357" s="434"/>
      <c r="P1357" s="61"/>
      <c r="Q1357" s="16" t="s">
        <v>81</v>
      </c>
      <c r="R1357" s="17" t="s">
        <v>82</v>
      </c>
    </row>
    <row r="1358" spans="1:18" ht="10.5" customHeight="1" thickTop="1" x14ac:dyDescent="0.3">
      <c r="A1358" s="446"/>
      <c r="B1358" s="446"/>
      <c r="C1358" s="446"/>
      <c r="D1358" s="446"/>
      <c r="E1358" s="447"/>
      <c r="F1358" s="19"/>
      <c r="G1358" s="15" t="s">
        <v>84</v>
      </c>
      <c r="H1358" s="15" t="s">
        <v>84</v>
      </c>
      <c r="I1358" s="20"/>
      <c r="J1358" s="446"/>
      <c r="K1358" s="446"/>
      <c r="L1358" s="446"/>
      <c r="M1358" s="446"/>
      <c r="N1358" s="447"/>
      <c r="O1358" s="369"/>
      <c r="P1358" s="68"/>
      <c r="Q1358" s="15" t="s">
        <v>1372</v>
      </c>
      <c r="R1358" s="15" t="s">
        <v>1372</v>
      </c>
    </row>
    <row r="1359" spans="1:18" ht="10.5" customHeight="1" x14ac:dyDescent="0.3">
      <c r="A1359" s="266" t="s">
        <v>1692</v>
      </c>
      <c r="B1359" s="167"/>
      <c r="C1359" s="167" t="s">
        <v>1693</v>
      </c>
      <c r="D1359" s="272">
        <v>3</v>
      </c>
      <c r="E1359" s="77">
        <v>1000</v>
      </c>
      <c r="F1359" s="78">
        <v>0.27</v>
      </c>
      <c r="G1359" s="72">
        <f t="shared" ref="G1359:G1372" si="181">F1359*$F$10</f>
        <v>11.610000000000001</v>
      </c>
      <c r="H1359" s="72">
        <f t="shared" ref="H1359:H1372" si="182">G1359-G1359*0.2</f>
        <v>9.2880000000000003</v>
      </c>
      <c r="I1359" s="20"/>
      <c r="J1359" s="266" t="s">
        <v>1694</v>
      </c>
      <c r="K1359" s="167"/>
      <c r="L1359" s="167" t="s">
        <v>1693</v>
      </c>
      <c r="M1359" s="272">
        <v>5</v>
      </c>
      <c r="N1359" s="77" t="s">
        <v>1373</v>
      </c>
      <c r="O1359" s="77"/>
      <c r="P1359" s="78">
        <v>4.3899999999999997</v>
      </c>
      <c r="Q1359" s="72">
        <f t="shared" ref="Q1359:Q1369" si="183">P1359*$F$10</f>
        <v>188.76999999999998</v>
      </c>
      <c r="R1359" s="72">
        <f t="shared" ref="R1359:R1369" si="184">Q1359-Q1359*0.2</f>
        <v>151.01599999999999</v>
      </c>
    </row>
    <row r="1360" spans="1:18" ht="10.5" customHeight="1" x14ac:dyDescent="0.3">
      <c r="A1360" s="260" t="s">
        <v>1695</v>
      </c>
      <c r="B1360" s="51"/>
      <c r="C1360" s="51" t="s">
        <v>1693</v>
      </c>
      <c r="D1360" s="312">
        <v>4</v>
      </c>
      <c r="E1360" s="25">
        <v>1000</v>
      </c>
      <c r="F1360" s="26">
        <v>0.4</v>
      </c>
      <c r="G1360" s="28">
        <f t="shared" si="181"/>
        <v>17.2</v>
      </c>
      <c r="H1360" s="28">
        <f t="shared" si="182"/>
        <v>13.76</v>
      </c>
      <c r="I1360" s="20"/>
      <c r="J1360" s="266" t="s">
        <v>1696</v>
      </c>
      <c r="K1360" s="167"/>
      <c r="L1360" s="167" t="s">
        <v>1693</v>
      </c>
      <c r="M1360" s="272">
        <v>6</v>
      </c>
      <c r="N1360" s="77" t="s">
        <v>1373</v>
      </c>
      <c r="O1360" s="77"/>
      <c r="P1360" s="26">
        <v>3.3</v>
      </c>
      <c r="Q1360" s="28">
        <f t="shared" si="183"/>
        <v>141.9</v>
      </c>
      <c r="R1360" s="28">
        <f t="shared" si="184"/>
        <v>113.52000000000001</v>
      </c>
    </row>
    <row r="1361" spans="1:18" ht="10.5" customHeight="1" x14ac:dyDescent="0.3">
      <c r="A1361" s="260" t="s">
        <v>1694</v>
      </c>
      <c r="B1361" s="167"/>
      <c r="C1361" s="167" t="s">
        <v>1693</v>
      </c>
      <c r="D1361" s="272">
        <v>5</v>
      </c>
      <c r="E1361" s="77">
        <v>1000</v>
      </c>
      <c r="F1361" s="26">
        <v>0.47</v>
      </c>
      <c r="G1361" s="28">
        <f t="shared" si="181"/>
        <v>20.209999999999997</v>
      </c>
      <c r="H1361" s="28">
        <f t="shared" si="182"/>
        <v>16.167999999999999</v>
      </c>
      <c r="I1361" s="20"/>
      <c r="J1361" s="266" t="s">
        <v>1697</v>
      </c>
      <c r="K1361" s="167"/>
      <c r="L1361" s="167" t="s">
        <v>1693</v>
      </c>
      <c r="M1361" s="272">
        <v>8</v>
      </c>
      <c r="N1361" s="77" t="s">
        <v>1373</v>
      </c>
      <c r="O1361" s="77"/>
      <c r="P1361" s="26">
        <v>3.22</v>
      </c>
      <c r="Q1361" s="28">
        <f t="shared" si="183"/>
        <v>138.46</v>
      </c>
      <c r="R1361" s="28">
        <f t="shared" si="184"/>
        <v>110.768</v>
      </c>
    </row>
    <row r="1362" spans="1:18" ht="10.5" customHeight="1" x14ac:dyDescent="0.3">
      <c r="A1362" s="260" t="s">
        <v>1696</v>
      </c>
      <c r="B1362" s="167"/>
      <c r="C1362" s="167" t="s">
        <v>1693</v>
      </c>
      <c r="D1362" s="272">
        <v>6</v>
      </c>
      <c r="E1362" s="77">
        <v>1000</v>
      </c>
      <c r="F1362" s="26">
        <v>0.84</v>
      </c>
      <c r="G1362" s="28">
        <f t="shared" si="181"/>
        <v>36.119999999999997</v>
      </c>
      <c r="H1362" s="28">
        <f t="shared" si="182"/>
        <v>28.895999999999997</v>
      </c>
      <c r="I1362" s="20"/>
      <c r="J1362" s="266" t="s">
        <v>1698</v>
      </c>
      <c r="K1362" s="51"/>
      <c r="L1362" s="51" t="s">
        <v>1693</v>
      </c>
      <c r="M1362" s="312">
        <v>10</v>
      </c>
      <c r="N1362" s="25" t="s">
        <v>1373</v>
      </c>
      <c r="O1362" s="25"/>
      <c r="P1362" s="26">
        <v>3.22</v>
      </c>
      <c r="Q1362" s="28">
        <f t="shared" si="183"/>
        <v>138.46</v>
      </c>
      <c r="R1362" s="28">
        <f t="shared" si="184"/>
        <v>110.768</v>
      </c>
    </row>
    <row r="1363" spans="1:18" ht="10.5" customHeight="1" x14ac:dyDescent="0.3">
      <c r="A1363" s="260" t="s">
        <v>1697</v>
      </c>
      <c r="B1363" s="167"/>
      <c r="C1363" s="167" t="s">
        <v>1693</v>
      </c>
      <c r="D1363" s="272">
        <v>8</v>
      </c>
      <c r="E1363" s="77">
        <v>500</v>
      </c>
      <c r="F1363" s="26">
        <v>1.67</v>
      </c>
      <c r="G1363" s="28">
        <f t="shared" si="181"/>
        <v>71.81</v>
      </c>
      <c r="H1363" s="28">
        <f t="shared" si="182"/>
        <v>57.448</v>
      </c>
      <c r="I1363" s="20"/>
      <c r="J1363" s="266" t="s">
        <v>1699</v>
      </c>
      <c r="K1363" s="167"/>
      <c r="L1363" s="167" t="s">
        <v>1693</v>
      </c>
      <c r="M1363" s="272">
        <v>12</v>
      </c>
      <c r="N1363" s="77" t="s">
        <v>1373</v>
      </c>
      <c r="O1363" s="77"/>
      <c r="P1363" s="26">
        <v>3.22</v>
      </c>
      <c r="Q1363" s="28">
        <f t="shared" si="183"/>
        <v>138.46</v>
      </c>
      <c r="R1363" s="28">
        <f t="shared" si="184"/>
        <v>110.768</v>
      </c>
    </row>
    <row r="1364" spans="1:18" ht="10.5" customHeight="1" x14ac:dyDescent="0.3">
      <c r="A1364" s="260" t="s">
        <v>1698</v>
      </c>
      <c r="B1364" s="51"/>
      <c r="C1364" s="51" t="s">
        <v>1693</v>
      </c>
      <c r="D1364" s="312">
        <v>10</v>
      </c>
      <c r="E1364" s="25" t="s">
        <v>94</v>
      </c>
      <c r="F1364" s="26">
        <v>3.79</v>
      </c>
      <c r="G1364" s="28">
        <f t="shared" si="181"/>
        <v>162.97</v>
      </c>
      <c r="H1364" s="28">
        <f t="shared" si="182"/>
        <v>130.376</v>
      </c>
      <c r="I1364" s="20"/>
      <c r="J1364" s="266" t="s">
        <v>1700</v>
      </c>
      <c r="K1364" s="167"/>
      <c r="L1364" s="167" t="s">
        <v>1693</v>
      </c>
      <c r="M1364" s="272">
        <v>14</v>
      </c>
      <c r="N1364" s="77" t="s">
        <v>1373</v>
      </c>
      <c r="O1364" s="77"/>
      <c r="P1364" s="26">
        <v>3.22</v>
      </c>
      <c r="Q1364" s="28">
        <f t="shared" si="183"/>
        <v>138.46</v>
      </c>
      <c r="R1364" s="28">
        <f t="shared" si="184"/>
        <v>110.768</v>
      </c>
    </row>
    <row r="1365" spans="1:18" ht="10.5" customHeight="1" x14ac:dyDescent="0.3">
      <c r="A1365" s="260" t="s">
        <v>1699</v>
      </c>
      <c r="B1365" s="167"/>
      <c r="C1365" s="167" t="s">
        <v>1693</v>
      </c>
      <c r="D1365" s="272">
        <v>12</v>
      </c>
      <c r="E1365" s="77" t="s">
        <v>101</v>
      </c>
      <c r="F1365" s="26">
        <v>5.51</v>
      </c>
      <c r="G1365" s="28">
        <f t="shared" si="181"/>
        <v>236.92999999999998</v>
      </c>
      <c r="H1365" s="28">
        <f t="shared" si="182"/>
        <v>189.54399999999998</v>
      </c>
      <c r="I1365" s="20"/>
      <c r="J1365" s="266" t="s">
        <v>1701</v>
      </c>
      <c r="K1365" s="167"/>
      <c r="L1365" s="167" t="s">
        <v>1693</v>
      </c>
      <c r="M1365" s="272">
        <v>16</v>
      </c>
      <c r="N1365" s="77" t="s">
        <v>1373</v>
      </c>
      <c r="O1365" s="77"/>
      <c r="P1365" s="26">
        <v>3.22</v>
      </c>
      <c r="Q1365" s="28">
        <f t="shared" si="183"/>
        <v>138.46</v>
      </c>
      <c r="R1365" s="28">
        <f t="shared" si="184"/>
        <v>110.768</v>
      </c>
    </row>
    <row r="1366" spans="1:18" ht="10.5" customHeight="1" x14ac:dyDescent="0.3">
      <c r="A1366" s="260" t="s">
        <v>1700</v>
      </c>
      <c r="B1366" s="167"/>
      <c r="C1366" s="167" t="s">
        <v>1693</v>
      </c>
      <c r="D1366" s="272">
        <v>14</v>
      </c>
      <c r="E1366" s="77" t="s">
        <v>126</v>
      </c>
      <c r="F1366" s="26">
        <v>8.15</v>
      </c>
      <c r="G1366" s="28">
        <f t="shared" si="181"/>
        <v>350.45</v>
      </c>
      <c r="H1366" s="28">
        <f t="shared" si="182"/>
        <v>280.36</v>
      </c>
      <c r="I1366" s="20"/>
      <c r="J1366" s="266" t="s">
        <v>1702</v>
      </c>
      <c r="K1366" s="167"/>
      <c r="L1366" s="167" t="s">
        <v>1693</v>
      </c>
      <c r="M1366" s="272">
        <v>18</v>
      </c>
      <c r="N1366" s="77" t="s">
        <v>1373</v>
      </c>
      <c r="O1366" s="77"/>
      <c r="P1366" s="26">
        <v>3.22</v>
      </c>
      <c r="Q1366" s="28">
        <f t="shared" si="183"/>
        <v>138.46</v>
      </c>
      <c r="R1366" s="28">
        <f t="shared" si="184"/>
        <v>110.768</v>
      </c>
    </row>
    <row r="1367" spans="1:18" ht="10.5" customHeight="1" x14ac:dyDescent="0.3">
      <c r="A1367" s="260" t="s">
        <v>1701</v>
      </c>
      <c r="B1367" s="167"/>
      <c r="C1367" s="167" t="s">
        <v>1693</v>
      </c>
      <c r="D1367" s="272">
        <v>16</v>
      </c>
      <c r="E1367" s="77" t="s">
        <v>157</v>
      </c>
      <c r="F1367" s="26">
        <v>10.75</v>
      </c>
      <c r="G1367" s="28">
        <f t="shared" si="181"/>
        <v>462.25</v>
      </c>
      <c r="H1367" s="28">
        <f t="shared" si="182"/>
        <v>369.8</v>
      </c>
      <c r="I1367" s="20"/>
      <c r="J1367" s="266" t="s">
        <v>1703</v>
      </c>
      <c r="K1367" s="167"/>
      <c r="L1367" s="167" t="s">
        <v>1693</v>
      </c>
      <c r="M1367" s="272">
        <v>20</v>
      </c>
      <c r="N1367" s="77" t="s">
        <v>1373</v>
      </c>
      <c r="O1367" s="77"/>
      <c r="P1367" s="26">
        <v>3.36</v>
      </c>
      <c r="Q1367" s="28">
        <f t="shared" si="183"/>
        <v>144.47999999999999</v>
      </c>
      <c r="R1367" s="28">
        <f t="shared" si="184"/>
        <v>115.58399999999999</v>
      </c>
    </row>
    <row r="1368" spans="1:18" ht="10.5" customHeight="1" x14ac:dyDescent="0.3">
      <c r="A1368" s="260" t="s">
        <v>1702</v>
      </c>
      <c r="B1368" s="167"/>
      <c r="C1368" s="167" t="s">
        <v>1693</v>
      </c>
      <c r="D1368" s="272">
        <v>18</v>
      </c>
      <c r="E1368" s="77" t="s">
        <v>157</v>
      </c>
      <c r="F1368" s="26">
        <v>18.690000000000001</v>
      </c>
      <c r="G1368" s="28">
        <f t="shared" si="181"/>
        <v>803.67000000000007</v>
      </c>
      <c r="H1368" s="28">
        <f t="shared" si="182"/>
        <v>642.93600000000004</v>
      </c>
      <c r="I1368" s="20"/>
      <c r="J1368" s="266" t="s">
        <v>1704</v>
      </c>
      <c r="K1368" s="22"/>
      <c r="L1368" s="51" t="s">
        <v>1693</v>
      </c>
      <c r="M1368" s="312">
        <v>24</v>
      </c>
      <c r="N1368" s="25" t="s">
        <v>1373</v>
      </c>
      <c r="O1368" s="25"/>
      <c r="P1368" s="26">
        <v>3.87</v>
      </c>
      <c r="Q1368" s="28">
        <f t="shared" si="183"/>
        <v>166.41</v>
      </c>
      <c r="R1368" s="28">
        <f t="shared" si="184"/>
        <v>133.12799999999999</v>
      </c>
    </row>
    <row r="1369" spans="1:18" ht="10.5" customHeight="1" x14ac:dyDescent="0.3">
      <c r="A1369" s="260" t="s">
        <v>1703</v>
      </c>
      <c r="B1369" s="167"/>
      <c r="C1369" s="167" t="s">
        <v>1693</v>
      </c>
      <c r="D1369" s="272">
        <v>20</v>
      </c>
      <c r="E1369" s="77" t="s">
        <v>157</v>
      </c>
      <c r="F1369" s="26">
        <v>23.26</v>
      </c>
      <c r="G1369" s="28">
        <f t="shared" si="181"/>
        <v>1000.1800000000001</v>
      </c>
      <c r="H1369" s="28">
        <f t="shared" si="182"/>
        <v>800.14400000000001</v>
      </c>
      <c r="I1369" s="20"/>
      <c r="J1369" s="266">
        <v>120010027</v>
      </c>
      <c r="K1369" s="167"/>
      <c r="L1369" s="167" t="s">
        <v>1693</v>
      </c>
      <c r="M1369" s="272">
        <v>27</v>
      </c>
      <c r="N1369" s="77" t="s">
        <v>1373</v>
      </c>
      <c r="O1369" s="77"/>
      <c r="P1369" s="78">
        <v>3.22</v>
      </c>
      <c r="Q1369" s="28">
        <f t="shared" si="183"/>
        <v>138.46</v>
      </c>
      <c r="R1369" s="72">
        <f t="shared" si="184"/>
        <v>110.768</v>
      </c>
    </row>
    <row r="1370" spans="1:18" ht="10.5" customHeight="1" x14ac:dyDescent="0.3">
      <c r="A1370" s="267" t="s">
        <v>1704</v>
      </c>
      <c r="B1370" s="90"/>
      <c r="C1370" s="90" t="s">
        <v>1693</v>
      </c>
      <c r="D1370" s="313">
        <v>24</v>
      </c>
      <c r="E1370" s="35" t="s">
        <v>50</v>
      </c>
      <c r="F1370" s="36">
        <v>41.97</v>
      </c>
      <c r="G1370" s="28">
        <f t="shared" si="181"/>
        <v>1804.71</v>
      </c>
      <c r="H1370" s="38">
        <f t="shared" si="182"/>
        <v>1443.768</v>
      </c>
      <c r="I1370" s="20"/>
      <c r="J1370" s="266" t="s">
        <v>1705</v>
      </c>
      <c r="K1370" s="167"/>
      <c r="L1370" s="167" t="s">
        <v>1693</v>
      </c>
      <c r="M1370" s="272">
        <v>30</v>
      </c>
      <c r="N1370" s="441" t="s">
        <v>1373</v>
      </c>
      <c r="O1370" s="441"/>
      <c r="P1370" s="78">
        <v>3.96</v>
      </c>
      <c r="Q1370" s="28">
        <f t="shared" ref="Q1370" si="185">P1370*$F$10</f>
        <v>170.28</v>
      </c>
      <c r="R1370" s="72">
        <f t="shared" ref="R1370" si="186">Q1370-Q1370*0.2</f>
        <v>136.22399999999999</v>
      </c>
    </row>
    <row r="1371" spans="1:18" ht="10.5" customHeight="1" x14ac:dyDescent="0.3">
      <c r="A1371" s="267">
        <v>1200100227</v>
      </c>
      <c r="B1371" s="90"/>
      <c r="C1371" s="90" t="s">
        <v>1693</v>
      </c>
      <c r="D1371" s="313">
        <v>27</v>
      </c>
      <c r="E1371" s="442" t="s">
        <v>43</v>
      </c>
      <c r="F1371" s="36">
        <v>67.239999999999995</v>
      </c>
      <c r="G1371" s="28">
        <f t="shared" si="181"/>
        <v>2891.3199999999997</v>
      </c>
      <c r="H1371" s="38">
        <f t="shared" si="182"/>
        <v>2313.0559999999996</v>
      </c>
      <c r="I1371" s="20"/>
      <c r="J1371" s="20"/>
      <c r="K1371" s="20"/>
      <c r="L1371" s="20"/>
      <c r="M1371" s="20"/>
      <c r="N1371" s="20"/>
      <c r="O1371" s="20"/>
      <c r="P1371" s="20"/>
      <c r="Q1371" s="20"/>
      <c r="R1371" s="101"/>
    </row>
    <row r="1372" spans="1:18" ht="10.5" customHeight="1" x14ac:dyDescent="0.3">
      <c r="A1372" s="260" t="s">
        <v>1705</v>
      </c>
      <c r="B1372" s="51"/>
      <c r="C1372" s="51" t="s">
        <v>1693</v>
      </c>
      <c r="D1372" s="312">
        <v>30</v>
      </c>
      <c r="E1372" s="25" t="s">
        <v>43</v>
      </c>
      <c r="F1372" s="26">
        <v>88.17</v>
      </c>
      <c r="G1372" s="28">
        <f t="shared" si="181"/>
        <v>3791.31</v>
      </c>
      <c r="H1372" s="28">
        <f t="shared" si="182"/>
        <v>3033.0479999999998</v>
      </c>
      <c r="I1372" s="83"/>
      <c r="J1372" s="83"/>
      <c r="K1372" s="83"/>
      <c r="L1372" s="83"/>
      <c r="M1372" s="83"/>
      <c r="N1372" s="83"/>
      <c r="O1372" s="83"/>
      <c r="P1372" s="83"/>
      <c r="Q1372" s="83"/>
      <c r="R1372" s="116"/>
    </row>
    <row r="1373" spans="1:18" ht="10.5" customHeight="1" x14ac:dyDescent="0.3">
      <c r="A1373" s="20"/>
      <c r="B1373" s="20"/>
      <c r="C1373" s="20"/>
      <c r="D1373" s="20"/>
      <c r="E1373" s="20"/>
      <c r="F1373" s="20"/>
      <c r="G1373" s="20"/>
      <c r="H1373" s="20"/>
      <c r="I1373" s="20"/>
      <c r="J1373" s="20"/>
      <c r="K1373" s="20"/>
      <c r="L1373" s="20"/>
      <c r="M1373" s="20"/>
      <c r="N1373" s="20"/>
      <c r="O1373" s="20"/>
      <c r="P1373" s="20"/>
      <c r="Q1373" s="20"/>
      <c r="R1373" s="20"/>
    </row>
    <row r="1374" spans="1:18" ht="10.5" customHeight="1" x14ac:dyDescent="0.3">
      <c r="A1374" s="166" t="s">
        <v>1706</v>
      </c>
      <c r="B1374" s="49"/>
      <c r="C1374" s="49"/>
      <c r="D1374" s="49"/>
      <c r="E1374" s="49"/>
      <c r="F1374" s="49"/>
      <c r="G1374" s="49"/>
      <c r="H1374" s="49"/>
      <c r="I1374" s="49"/>
      <c r="J1374" s="446" t="s">
        <v>78</v>
      </c>
      <c r="K1374" s="446" t="s">
        <v>79</v>
      </c>
      <c r="L1374" s="446"/>
      <c r="M1374" s="446"/>
      <c r="N1374" s="447" t="s">
        <v>80</v>
      </c>
      <c r="O1374" s="14"/>
      <c r="P1374" s="15"/>
      <c r="Q1374" s="16" t="s">
        <v>81</v>
      </c>
      <c r="R1374" s="17" t="s">
        <v>82</v>
      </c>
    </row>
    <row r="1375" spans="1:18" ht="10.5" customHeight="1" x14ac:dyDescent="0.3">
      <c r="A1375" s="99"/>
      <c r="B1375" s="20"/>
      <c r="C1375" s="20"/>
      <c r="D1375" s="20"/>
      <c r="E1375" s="20"/>
      <c r="F1375" s="20"/>
      <c r="G1375" s="20"/>
      <c r="H1375" s="20"/>
      <c r="I1375" s="20"/>
      <c r="J1375" s="446"/>
      <c r="K1375" s="446"/>
      <c r="L1375" s="446"/>
      <c r="M1375" s="446"/>
      <c r="N1375" s="447"/>
      <c r="O1375" s="14"/>
      <c r="P1375" s="19"/>
      <c r="Q1375" s="15" t="s">
        <v>84</v>
      </c>
      <c r="R1375" s="15" t="s">
        <v>84</v>
      </c>
    </row>
    <row r="1376" spans="1:18" ht="10.5" customHeight="1" x14ac:dyDescent="0.3">
      <c r="A1376" s="99"/>
      <c r="B1376" s="20"/>
      <c r="C1376" s="20"/>
      <c r="D1376" s="20"/>
      <c r="E1376" s="20"/>
      <c r="F1376" s="20"/>
      <c r="G1376" s="20"/>
      <c r="H1376" s="20"/>
      <c r="I1376" s="20"/>
      <c r="J1376" s="266">
        <v>120110002</v>
      </c>
      <c r="K1376" s="167"/>
      <c r="L1376" s="167" t="s">
        <v>1693</v>
      </c>
      <c r="M1376" s="272">
        <v>4</v>
      </c>
      <c r="N1376" s="428" t="s">
        <v>170</v>
      </c>
      <c r="O1376" s="428"/>
      <c r="P1376" s="429">
        <v>1.2403439024390244</v>
      </c>
      <c r="Q1376" s="72">
        <f>P1376*$F$10</f>
        <v>53.334787804878047</v>
      </c>
      <c r="R1376" s="72">
        <f>Q1376-Q1376*0.2</f>
        <v>42.667830243902436</v>
      </c>
    </row>
    <row r="1377" spans="1:18" ht="10.5" customHeight="1" x14ac:dyDescent="0.3">
      <c r="A1377" s="99"/>
      <c r="B1377" s="20"/>
      <c r="C1377" s="20"/>
      <c r="D1377" s="20"/>
      <c r="E1377" s="20"/>
      <c r="F1377" s="20"/>
      <c r="G1377" s="20"/>
      <c r="H1377" s="20"/>
      <c r="I1377" s="20"/>
      <c r="J1377" s="266">
        <v>120110003</v>
      </c>
      <c r="K1377" s="167"/>
      <c r="L1377" s="167" t="s">
        <v>1693</v>
      </c>
      <c r="M1377" s="272">
        <v>5</v>
      </c>
      <c r="N1377" s="428" t="s">
        <v>170</v>
      </c>
      <c r="O1377" s="428"/>
      <c r="P1377" s="429">
        <v>1.5298365853658535</v>
      </c>
      <c r="Q1377" s="72">
        <f>P1377*$F$10</f>
        <v>65.782973170731708</v>
      </c>
      <c r="R1377" s="72">
        <f>Q1377-Q1377*0.2</f>
        <v>52.626378536585364</v>
      </c>
    </row>
    <row r="1378" spans="1:18" ht="10.5" customHeight="1" x14ac:dyDescent="0.3">
      <c r="A1378" s="311"/>
      <c r="B1378" s="20"/>
      <c r="C1378" s="20"/>
      <c r="D1378" s="20"/>
      <c r="E1378" s="20"/>
      <c r="F1378" s="20"/>
      <c r="G1378" s="20"/>
      <c r="H1378" s="20"/>
      <c r="I1378" s="20"/>
      <c r="J1378" s="266">
        <v>120110004</v>
      </c>
      <c r="K1378" s="167"/>
      <c r="L1378" s="167" t="s">
        <v>1693</v>
      </c>
      <c r="M1378" s="272">
        <v>6</v>
      </c>
      <c r="N1378" s="77" t="s">
        <v>88</v>
      </c>
      <c r="O1378" s="77"/>
      <c r="P1378" s="78">
        <v>2.263568292682927</v>
      </c>
      <c r="Q1378" s="72">
        <f t="shared" ref="Q1378:Q1384" si="187">P1378*$F$10</f>
        <v>97.33343658536586</v>
      </c>
      <c r="R1378" s="72">
        <f t="shared" ref="R1378:R1384" si="188">Q1378-Q1378*0.2</f>
        <v>77.866749268292693</v>
      </c>
    </row>
    <row r="1379" spans="1:18" ht="10.5" customHeight="1" x14ac:dyDescent="0.3">
      <c r="A1379" s="18"/>
      <c r="B1379" s="20"/>
      <c r="C1379" s="20"/>
      <c r="D1379" s="20"/>
      <c r="E1379" s="20"/>
      <c r="F1379" s="20"/>
      <c r="G1379" s="20"/>
      <c r="H1379" s="20"/>
      <c r="I1379" s="20"/>
      <c r="J1379" s="266">
        <v>120110005</v>
      </c>
      <c r="K1379" s="167"/>
      <c r="L1379" s="167" t="s">
        <v>1693</v>
      </c>
      <c r="M1379" s="272">
        <v>8</v>
      </c>
      <c r="N1379" s="77" t="s">
        <v>88</v>
      </c>
      <c r="O1379" s="77"/>
      <c r="P1379" s="26">
        <v>4.5071365853658536</v>
      </c>
      <c r="Q1379" s="28">
        <f t="shared" si="187"/>
        <v>193.80687317073171</v>
      </c>
      <c r="R1379" s="28">
        <f t="shared" si="188"/>
        <v>155.04549853658537</v>
      </c>
    </row>
    <row r="1380" spans="1:18" ht="10.5" customHeight="1" x14ac:dyDescent="0.3">
      <c r="A1380" s="18"/>
      <c r="B1380" s="20"/>
      <c r="C1380" s="20"/>
      <c r="D1380" s="20"/>
      <c r="E1380" s="20"/>
      <c r="F1380" s="20"/>
      <c r="G1380" s="20"/>
      <c r="H1380" s="20"/>
      <c r="I1380" s="20"/>
      <c r="J1380" s="266">
        <v>120110006</v>
      </c>
      <c r="K1380" s="51"/>
      <c r="L1380" s="51" t="s">
        <v>1693</v>
      </c>
      <c r="M1380" s="312">
        <v>10</v>
      </c>
      <c r="N1380" s="25" t="s">
        <v>101</v>
      </c>
      <c r="O1380" s="25"/>
      <c r="P1380" s="26">
        <v>9.7480048780487802</v>
      </c>
      <c r="Q1380" s="28">
        <f t="shared" si="187"/>
        <v>419.16420975609753</v>
      </c>
      <c r="R1380" s="28">
        <f t="shared" si="188"/>
        <v>335.33136780487803</v>
      </c>
    </row>
    <row r="1381" spans="1:18" ht="10.5" customHeight="1" x14ac:dyDescent="0.3">
      <c r="A1381" s="18"/>
      <c r="B1381" s="20"/>
      <c r="C1381" s="20"/>
      <c r="D1381" s="20"/>
      <c r="E1381" s="20"/>
      <c r="F1381" s="20"/>
      <c r="G1381" s="20"/>
      <c r="H1381" s="20"/>
      <c r="I1381" s="20"/>
      <c r="J1381" s="266">
        <v>120110007</v>
      </c>
      <c r="K1381" s="167"/>
      <c r="L1381" s="167" t="s">
        <v>1693</v>
      </c>
      <c r="M1381" s="272">
        <v>12</v>
      </c>
      <c r="N1381" s="77" t="s">
        <v>101</v>
      </c>
      <c r="O1381" s="77"/>
      <c r="P1381" s="26">
        <v>15.031246341463415</v>
      </c>
      <c r="Q1381" s="28">
        <f t="shared" si="187"/>
        <v>646.3435926829269</v>
      </c>
      <c r="R1381" s="28">
        <f t="shared" si="188"/>
        <v>517.07487414634147</v>
      </c>
    </row>
    <row r="1382" spans="1:18" ht="10.5" customHeight="1" x14ac:dyDescent="0.3">
      <c r="A1382" s="306" t="s">
        <v>1382</v>
      </c>
      <c r="B1382" s="20"/>
      <c r="C1382" s="20"/>
      <c r="D1382" s="20"/>
      <c r="E1382" s="20"/>
      <c r="F1382" s="20"/>
      <c r="G1382" s="20"/>
      <c r="H1382" s="20"/>
      <c r="I1382" s="20"/>
      <c r="J1382" s="266">
        <v>120110008</v>
      </c>
      <c r="K1382" s="167"/>
      <c r="L1382" s="167" t="s">
        <v>1693</v>
      </c>
      <c r="M1382" s="272">
        <v>14</v>
      </c>
      <c r="N1382" s="77" t="s">
        <v>157</v>
      </c>
      <c r="O1382" s="77"/>
      <c r="P1382" s="26">
        <v>22.780429268292679</v>
      </c>
      <c r="Q1382" s="28">
        <f t="shared" si="187"/>
        <v>979.55845853658514</v>
      </c>
      <c r="R1382" s="28">
        <f t="shared" si="188"/>
        <v>783.64676682926813</v>
      </c>
    </row>
    <row r="1383" spans="1:18" ht="10.5" customHeight="1" x14ac:dyDescent="0.3">
      <c r="A1383" s="306"/>
      <c r="B1383" s="20"/>
      <c r="C1383" s="20"/>
      <c r="D1383" s="20"/>
      <c r="E1383" s="20"/>
      <c r="F1383" s="20"/>
      <c r="G1383" s="20"/>
      <c r="H1383" s="20"/>
      <c r="I1383" s="101"/>
      <c r="J1383" s="266">
        <v>120110009</v>
      </c>
      <c r="K1383" s="167"/>
      <c r="L1383" s="167" t="s">
        <v>1693</v>
      </c>
      <c r="M1383" s="272">
        <v>16</v>
      </c>
      <c r="N1383" s="77" t="s">
        <v>157</v>
      </c>
      <c r="O1383" s="77"/>
      <c r="P1383" s="26">
        <v>27.846551219512193</v>
      </c>
      <c r="Q1383" s="28">
        <f t="shared" si="187"/>
        <v>1197.4017024390243</v>
      </c>
      <c r="R1383" s="28">
        <f t="shared" si="188"/>
        <v>957.92136195121952</v>
      </c>
    </row>
    <row r="1384" spans="1:18" ht="10.5" customHeight="1" x14ac:dyDescent="0.3">
      <c r="A1384" s="314"/>
      <c r="B1384" s="83"/>
      <c r="C1384" s="83"/>
      <c r="D1384" s="83"/>
      <c r="E1384" s="83"/>
      <c r="F1384" s="83"/>
      <c r="G1384" s="83"/>
      <c r="H1384" s="83"/>
      <c r="I1384" s="83"/>
      <c r="J1384" s="266">
        <v>120110010</v>
      </c>
      <c r="K1384" s="167"/>
      <c r="L1384" s="167" t="s">
        <v>1693</v>
      </c>
      <c r="M1384" s="272">
        <v>20</v>
      </c>
      <c r="N1384" s="77" t="s">
        <v>50</v>
      </c>
      <c r="O1384" s="77"/>
      <c r="P1384" s="26">
        <v>53.435365853658531</v>
      </c>
      <c r="Q1384" s="28">
        <f t="shared" si="187"/>
        <v>2297.7207317073166</v>
      </c>
      <c r="R1384" s="28">
        <f t="shared" si="188"/>
        <v>1838.1765853658533</v>
      </c>
    </row>
    <row r="1385" spans="1:18" ht="10.5" customHeight="1" x14ac:dyDescent="0.3">
      <c r="A1385" s="20"/>
      <c r="B1385" s="20"/>
      <c r="C1385" s="20"/>
      <c r="D1385" s="20"/>
      <c r="E1385" s="20"/>
      <c r="F1385" s="20"/>
      <c r="G1385" s="20"/>
      <c r="H1385" s="20"/>
      <c r="I1385" s="20"/>
      <c r="J1385" s="20"/>
      <c r="K1385" s="20"/>
      <c r="L1385" s="20"/>
      <c r="M1385" s="20"/>
      <c r="N1385" s="20"/>
      <c r="O1385" s="20"/>
      <c r="P1385" s="20"/>
      <c r="Q1385" s="20"/>
      <c r="R1385" s="20"/>
    </row>
    <row r="1386" spans="1:18" ht="10.5" customHeight="1" x14ac:dyDescent="0.3">
      <c r="A1386" s="166" t="s">
        <v>1707</v>
      </c>
      <c r="B1386" s="315" t="s">
        <v>1708</v>
      </c>
      <c r="C1386" s="49"/>
      <c r="D1386" s="49"/>
      <c r="E1386" s="49"/>
      <c r="F1386" s="49"/>
      <c r="G1386" s="49"/>
      <c r="H1386" s="49"/>
      <c r="I1386" s="49"/>
      <c r="J1386" s="446" t="s">
        <v>78</v>
      </c>
      <c r="K1386" s="446" t="s">
        <v>79</v>
      </c>
      <c r="L1386" s="446"/>
      <c r="M1386" s="446"/>
      <c r="N1386" s="447" t="s">
        <v>80</v>
      </c>
      <c r="O1386" s="14"/>
      <c r="P1386" s="15"/>
      <c r="Q1386" s="16" t="s">
        <v>81</v>
      </c>
      <c r="R1386" s="17" t="s">
        <v>82</v>
      </c>
    </row>
    <row r="1387" spans="1:18" ht="10.5" customHeight="1" x14ac:dyDescent="0.3">
      <c r="A1387" s="18"/>
      <c r="B1387" s="20"/>
      <c r="C1387" s="20"/>
      <c r="D1387" s="20"/>
      <c r="E1387" s="20"/>
      <c r="F1387" s="20"/>
      <c r="G1387" s="20"/>
      <c r="H1387" s="20"/>
      <c r="I1387" s="20"/>
      <c r="J1387" s="446"/>
      <c r="K1387" s="446"/>
      <c r="L1387" s="446"/>
      <c r="M1387" s="446"/>
      <c r="N1387" s="447"/>
      <c r="O1387" s="14"/>
      <c r="P1387" s="19"/>
      <c r="Q1387" s="15" t="s">
        <v>84</v>
      </c>
      <c r="R1387" s="15" t="s">
        <v>84</v>
      </c>
    </row>
    <row r="1388" spans="1:18" ht="10.5" customHeight="1" x14ac:dyDescent="0.3">
      <c r="A1388" s="99"/>
      <c r="B1388" s="20"/>
      <c r="C1388" s="20"/>
      <c r="D1388" s="20"/>
      <c r="E1388" s="20"/>
      <c r="F1388" s="20"/>
      <c r="G1388" s="20"/>
      <c r="H1388" s="20"/>
      <c r="I1388" s="20"/>
      <c r="J1388" s="266">
        <v>120040002</v>
      </c>
      <c r="K1388" s="74" t="s">
        <v>769</v>
      </c>
      <c r="L1388" s="75" t="s">
        <v>86</v>
      </c>
      <c r="M1388" s="76">
        <v>18</v>
      </c>
      <c r="N1388" s="77">
        <v>500</v>
      </c>
      <c r="O1388" s="77"/>
      <c r="P1388" s="78">
        <v>6.21</v>
      </c>
      <c r="Q1388" s="72">
        <f>P1388*$F$10</f>
        <v>267.02999999999997</v>
      </c>
      <c r="R1388" s="72">
        <f t="shared" ref="R1388:R1393" si="189">Q1388-Q1388*0.2</f>
        <v>213.62399999999997</v>
      </c>
    </row>
    <row r="1389" spans="1:18" ht="10.5" customHeight="1" x14ac:dyDescent="0.3">
      <c r="A1389" s="18"/>
      <c r="B1389" s="20"/>
      <c r="C1389" s="20"/>
      <c r="D1389" s="20"/>
      <c r="E1389" s="20"/>
      <c r="F1389" s="20"/>
      <c r="G1389" s="20"/>
      <c r="H1389" s="20"/>
      <c r="I1389" s="20"/>
      <c r="J1389" s="266">
        <v>120040003</v>
      </c>
      <c r="K1389" s="74" t="s">
        <v>772</v>
      </c>
      <c r="L1389" s="75" t="s">
        <v>86</v>
      </c>
      <c r="M1389" s="76">
        <v>24</v>
      </c>
      <c r="N1389" s="77" t="s">
        <v>126</v>
      </c>
      <c r="O1389" s="77"/>
      <c r="P1389" s="26">
        <v>12.19</v>
      </c>
      <c r="Q1389" s="28">
        <f t="shared" ref="Q1389:Q1393" si="190">P1389*$F$10</f>
        <v>524.16999999999996</v>
      </c>
      <c r="R1389" s="28">
        <f t="shared" si="189"/>
        <v>419.33599999999996</v>
      </c>
    </row>
    <row r="1390" spans="1:18" ht="10.5" customHeight="1" x14ac:dyDescent="0.3">
      <c r="A1390" s="18"/>
      <c r="B1390" s="20"/>
      <c r="C1390" s="20"/>
      <c r="D1390" s="20"/>
      <c r="E1390" s="20"/>
      <c r="F1390" s="20"/>
      <c r="G1390" s="20"/>
      <c r="H1390" s="20"/>
      <c r="I1390" s="20"/>
      <c r="J1390" s="266">
        <v>120040004</v>
      </c>
      <c r="K1390" s="22" t="s">
        <v>775</v>
      </c>
      <c r="L1390" s="23" t="s">
        <v>86</v>
      </c>
      <c r="M1390" s="24">
        <v>30</v>
      </c>
      <c r="N1390" s="25">
        <v>100</v>
      </c>
      <c r="O1390" s="25"/>
      <c r="P1390" s="26">
        <v>26.59</v>
      </c>
      <c r="Q1390" s="28">
        <f t="shared" si="190"/>
        <v>1143.3699999999999</v>
      </c>
      <c r="R1390" s="28">
        <f t="shared" si="189"/>
        <v>914.69599999999991</v>
      </c>
    </row>
    <row r="1391" spans="1:18" ht="10.5" customHeight="1" x14ac:dyDescent="0.3">
      <c r="A1391" s="18"/>
      <c r="B1391" s="20"/>
      <c r="C1391" s="20"/>
      <c r="D1391" s="20"/>
      <c r="E1391" s="20"/>
      <c r="F1391" s="20"/>
      <c r="G1391" s="20"/>
      <c r="H1391" s="20"/>
      <c r="I1391" s="20"/>
      <c r="J1391" s="260">
        <v>120040005</v>
      </c>
      <c r="K1391" s="74" t="s">
        <v>778</v>
      </c>
      <c r="L1391" s="75" t="s">
        <v>86</v>
      </c>
      <c r="M1391" s="76">
        <v>36</v>
      </c>
      <c r="N1391" s="77">
        <v>100</v>
      </c>
      <c r="O1391" s="77"/>
      <c r="P1391" s="26">
        <v>35.85</v>
      </c>
      <c r="Q1391" s="28">
        <f t="shared" si="190"/>
        <v>1541.55</v>
      </c>
      <c r="R1391" s="28">
        <f t="shared" si="189"/>
        <v>1233.24</v>
      </c>
    </row>
    <row r="1392" spans="1:18" ht="10.5" customHeight="1" x14ac:dyDescent="0.3">
      <c r="A1392" s="18"/>
      <c r="B1392" s="20"/>
      <c r="C1392" s="20"/>
      <c r="D1392" s="20"/>
      <c r="E1392" s="20"/>
      <c r="F1392" s="20"/>
      <c r="G1392" s="20"/>
      <c r="H1392" s="20"/>
      <c r="I1392" s="20"/>
      <c r="J1392" s="260">
        <v>120040006</v>
      </c>
      <c r="K1392" s="74" t="s">
        <v>1327</v>
      </c>
      <c r="L1392" s="75" t="s">
        <v>86</v>
      </c>
      <c r="M1392" s="76">
        <v>42</v>
      </c>
      <c r="N1392" s="77" t="s">
        <v>50</v>
      </c>
      <c r="O1392" s="77"/>
      <c r="P1392" s="26">
        <v>63.804146341463415</v>
      </c>
      <c r="Q1392" s="28">
        <f t="shared" si="190"/>
        <v>2743.578292682927</v>
      </c>
      <c r="R1392" s="28">
        <f t="shared" si="189"/>
        <v>2194.8626341463414</v>
      </c>
    </row>
    <row r="1393" spans="1:18" ht="10.5" customHeight="1" x14ac:dyDescent="0.3">
      <c r="A1393" s="55"/>
      <c r="B1393" s="83"/>
      <c r="C1393" s="83"/>
      <c r="D1393" s="83"/>
      <c r="E1393" s="83"/>
      <c r="F1393" s="83"/>
      <c r="G1393" s="83"/>
      <c r="H1393" s="83"/>
      <c r="I1393" s="83"/>
      <c r="J1393" s="266">
        <v>120040007</v>
      </c>
      <c r="K1393" s="22" t="s">
        <v>1095</v>
      </c>
      <c r="L1393" s="23" t="s">
        <v>86</v>
      </c>
      <c r="M1393" s="24">
        <v>48</v>
      </c>
      <c r="N1393" s="77" t="s">
        <v>50</v>
      </c>
      <c r="O1393" s="77"/>
      <c r="P1393" s="26">
        <v>86.8180487804878</v>
      </c>
      <c r="Q1393" s="28">
        <f t="shared" si="190"/>
        <v>3733.1760975609754</v>
      </c>
      <c r="R1393" s="28">
        <f t="shared" si="189"/>
        <v>2986.5408780487805</v>
      </c>
    </row>
    <row r="1394" spans="1:18" ht="10.5" customHeight="1" x14ac:dyDescent="0.3">
      <c r="A1394" s="20"/>
      <c r="B1394" s="20"/>
      <c r="C1394" s="20"/>
      <c r="D1394" s="20"/>
      <c r="E1394" s="20"/>
      <c r="F1394" s="20"/>
      <c r="G1394" s="20"/>
      <c r="H1394" s="20"/>
      <c r="I1394" s="20"/>
      <c r="J1394" s="20"/>
      <c r="K1394" s="20"/>
      <c r="L1394" s="20"/>
      <c r="M1394" s="20"/>
      <c r="N1394" s="20"/>
      <c r="O1394" s="20"/>
      <c r="P1394" s="20"/>
      <c r="Q1394" s="20"/>
      <c r="R1394" s="20"/>
    </row>
    <row r="1395" spans="1:18" ht="10.5" customHeight="1" x14ac:dyDescent="0.3">
      <c r="A1395" s="166" t="s">
        <v>1709</v>
      </c>
      <c r="B1395" s="316" t="s">
        <v>1710</v>
      </c>
      <c r="C1395" s="49"/>
      <c r="D1395" s="49"/>
      <c r="E1395" s="49"/>
      <c r="F1395" s="49"/>
      <c r="G1395" s="49"/>
      <c r="H1395" s="50"/>
      <c r="I1395" s="49"/>
      <c r="J1395" s="317">
        <v>12006</v>
      </c>
      <c r="K1395" s="316" t="s">
        <v>1710</v>
      </c>
      <c r="L1395" s="49"/>
      <c r="M1395" s="49"/>
      <c r="N1395" s="49"/>
      <c r="O1395" s="49"/>
      <c r="P1395" s="49"/>
      <c r="Q1395" s="49"/>
      <c r="R1395" s="50"/>
    </row>
    <row r="1396" spans="1:18" ht="10.5" customHeight="1" x14ac:dyDescent="0.3">
      <c r="A1396" s="294"/>
      <c r="B1396" s="20"/>
      <c r="C1396" s="20"/>
      <c r="D1396" s="20"/>
      <c r="E1396" s="20"/>
      <c r="F1396" s="20"/>
      <c r="G1396" s="20"/>
      <c r="H1396" s="101"/>
      <c r="I1396" s="20"/>
      <c r="J1396" s="18"/>
      <c r="K1396" s="20"/>
      <c r="L1396" s="20"/>
      <c r="M1396" s="20"/>
      <c r="N1396" s="20"/>
      <c r="O1396" s="20"/>
      <c r="P1396" s="20"/>
      <c r="Q1396" s="20"/>
      <c r="R1396" s="101"/>
    </row>
    <row r="1397" spans="1:18" ht="10.5" customHeight="1" x14ac:dyDescent="0.3">
      <c r="A1397" s="294"/>
      <c r="B1397" s="20"/>
      <c r="C1397" s="20"/>
      <c r="D1397" s="20"/>
      <c r="E1397" s="20"/>
      <c r="F1397" s="20"/>
      <c r="G1397" s="20"/>
      <c r="H1397" s="101"/>
      <c r="I1397" s="20"/>
      <c r="J1397" s="18"/>
      <c r="K1397" s="20"/>
      <c r="L1397" s="20"/>
      <c r="M1397" s="20"/>
      <c r="N1397" s="20"/>
      <c r="O1397" s="20"/>
      <c r="P1397" s="20"/>
      <c r="Q1397" s="20"/>
      <c r="R1397" s="101"/>
    </row>
    <row r="1398" spans="1:18" ht="10.5" customHeight="1" x14ac:dyDescent="0.3">
      <c r="A1398" s="18"/>
      <c r="B1398" s="20"/>
      <c r="C1398" s="20"/>
      <c r="D1398" s="20"/>
      <c r="E1398" s="20"/>
      <c r="F1398" s="20"/>
      <c r="G1398" s="20"/>
      <c r="H1398" s="101"/>
      <c r="I1398" s="20"/>
      <c r="J1398" s="18"/>
      <c r="K1398" s="20"/>
      <c r="L1398" s="20"/>
      <c r="M1398" s="20"/>
      <c r="N1398" s="20"/>
      <c r="O1398" s="20"/>
      <c r="P1398" s="20"/>
      <c r="Q1398" s="20"/>
      <c r="R1398" s="101"/>
    </row>
    <row r="1399" spans="1:18" ht="10.5" customHeight="1" x14ac:dyDescent="0.3">
      <c r="A1399" s="141"/>
      <c r="B1399" s="20" t="s">
        <v>1711</v>
      </c>
      <c r="C1399" s="20"/>
      <c r="D1399" s="20"/>
      <c r="E1399" s="20"/>
      <c r="F1399" s="20"/>
      <c r="G1399" s="20"/>
      <c r="H1399" s="101"/>
      <c r="I1399" s="20"/>
      <c r="J1399" s="18"/>
      <c r="K1399" s="275" t="s">
        <v>1382</v>
      </c>
      <c r="L1399" s="20"/>
      <c r="M1399" s="20"/>
      <c r="N1399" s="20"/>
      <c r="O1399" s="20"/>
      <c r="P1399" s="20"/>
      <c r="Q1399" s="20"/>
      <c r="R1399" s="101"/>
    </row>
    <row r="1400" spans="1:18" ht="10.5" customHeight="1" x14ac:dyDescent="0.3">
      <c r="A1400" s="99"/>
      <c r="B1400" s="20"/>
      <c r="C1400" s="20"/>
      <c r="D1400" s="20"/>
      <c r="E1400" s="20"/>
      <c r="F1400" s="20"/>
      <c r="G1400" s="20"/>
      <c r="H1400" s="101"/>
      <c r="I1400" s="20"/>
      <c r="J1400" s="18"/>
      <c r="K1400" s="20"/>
      <c r="L1400" s="20"/>
      <c r="M1400" s="20"/>
      <c r="N1400" s="20"/>
      <c r="O1400" s="20"/>
      <c r="P1400" s="20"/>
      <c r="Q1400" s="20"/>
      <c r="R1400" s="101"/>
    </row>
    <row r="1401" spans="1:18" ht="10.5" customHeight="1" x14ac:dyDescent="0.3">
      <c r="A1401" s="446" t="s">
        <v>78</v>
      </c>
      <c r="B1401" s="446" t="s">
        <v>79</v>
      </c>
      <c r="C1401" s="446"/>
      <c r="D1401" s="446"/>
      <c r="E1401" s="447" t="s">
        <v>80</v>
      </c>
      <c r="F1401" s="15"/>
      <c r="G1401" s="16" t="s">
        <v>81</v>
      </c>
      <c r="H1401" s="17" t="s">
        <v>82</v>
      </c>
      <c r="I1401" s="20"/>
      <c r="J1401" s="446" t="s">
        <v>78</v>
      </c>
      <c r="K1401" s="446" t="s">
        <v>79</v>
      </c>
      <c r="L1401" s="446"/>
      <c r="M1401" s="446"/>
      <c r="N1401" s="447" t="s">
        <v>80</v>
      </c>
      <c r="O1401" s="14"/>
      <c r="P1401" s="15"/>
      <c r="Q1401" s="16" t="s">
        <v>81</v>
      </c>
      <c r="R1401" s="17" t="s">
        <v>82</v>
      </c>
    </row>
    <row r="1402" spans="1:18" ht="10.5" customHeight="1" x14ac:dyDescent="0.3">
      <c r="A1402" s="446"/>
      <c r="B1402" s="446"/>
      <c r="C1402" s="446"/>
      <c r="D1402" s="446"/>
      <c r="E1402" s="447"/>
      <c r="F1402" s="19"/>
      <c r="G1402" s="15" t="s">
        <v>84</v>
      </c>
      <c r="H1402" s="15" t="s">
        <v>84</v>
      </c>
      <c r="I1402" s="20"/>
      <c r="J1402" s="446"/>
      <c r="K1402" s="446"/>
      <c r="L1402" s="446"/>
      <c r="M1402" s="446"/>
      <c r="N1402" s="447"/>
      <c r="O1402" s="14"/>
      <c r="P1402" s="19"/>
      <c r="Q1402" s="15" t="s">
        <v>84</v>
      </c>
      <c r="R1402" s="15" t="s">
        <v>84</v>
      </c>
    </row>
    <row r="1403" spans="1:18" ht="10.5" customHeight="1" x14ac:dyDescent="0.3">
      <c r="A1403" s="318" t="s">
        <v>1712</v>
      </c>
      <c r="B1403" s="40"/>
      <c r="C1403" s="274" t="s">
        <v>1693</v>
      </c>
      <c r="D1403" s="275">
        <v>3</v>
      </c>
      <c r="E1403" s="276">
        <v>1000</v>
      </c>
      <c r="F1403" s="155">
        <v>0.77427804878048767</v>
      </c>
      <c r="G1403" s="319">
        <f t="shared" ref="G1403:G1414" si="191">F1403*$F$10</f>
        <v>33.293956097560972</v>
      </c>
      <c r="H1403" s="72">
        <f t="shared" ref="H1403:H1414" si="192">G1403-G1403*0.2</f>
        <v>26.635164878048776</v>
      </c>
      <c r="I1403" s="20"/>
      <c r="J1403" s="318">
        <v>120060001</v>
      </c>
      <c r="K1403" s="167"/>
      <c r="L1403" s="271" t="s">
        <v>1693</v>
      </c>
      <c r="M1403" s="272">
        <v>5</v>
      </c>
      <c r="N1403" s="77">
        <v>1000</v>
      </c>
      <c r="O1403" s="77"/>
      <c r="P1403" s="78">
        <v>2.0988219512195121</v>
      </c>
      <c r="Q1403" s="72">
        <f t="shared" ref="Q1403:Q1409" si="193">P1403*$F$10</f>
        <v>90.249343902439023</v>
      </c>
      <c r="R1403" s="72">
        <f t="shared" ref="R1403:R1409" si="194">Q1403-Q1403*0.2</f>
        <v>72.199475121951224</v>
      </c>
    </row>
    <row r="1404" spans="1:18" ht="10.5" customHeight="1" x14ac:dyDescent="0.3">
      <c r="A1404" s="318" t="s">
        <v>1713</v>
      </c>
      <c r="B1404" s="51"/>
      <c r="C1404" s="277" t="s">
        <v>1693</v>
      </c>
      <c r="D1404" s="312">
        <v>4</v>
      </c>
      <c r="E1404" s="25">
        <v>1000</v>
      </c>
      <c r="F1404" s="26">
        <v>0.94085121951219519</v>
      </c>
      <c r="G1404" s="28">
        <f t="shared" si="191"/>
        <v>40.456602439024394</v>
      </c>
      <c r="H1404" s="28">
        <f t="shared" si="192"/>
        <v>32.365281951219515</v>
      </c>
      <c r="I1404" s="20"/>
      <c r="J1404" s="318">
        <v>120060002</v>
      </c>
      <c r="K1404" s="167"/>
      <c r="L1404" s="271" t="s">
        <v>1693</v>
      </c>
      <c r="M1404" s="272">
        <v>6</v>
      </c>
      <c r="N1404" s="25">
        <v>1000</v>
      </c>
      <c r="O1404" s="25"/>
      <c r="P1404" s="26">
        <v>2.8225536585365849</v>
      </c>
      <c r="Q1404" s="28">
        <f t="shared" si="193"/>
        <v>121.36980731707315</v>
      </c>
      <c r="R1404" s="28">
        <f t="shared" si="194"/>
        <v>97.095845853658517</v>
      </c>
    </row>
    <row r="1405" spans="1:18" ht="10.5" customHeight="1" x14ac:dyDescent="0.3">
      <c r="A1405" s="320" t="s">
        <v>1714</v>
      </c>
      <c r="B1405" s="51"/>
      <c r="C1405" s="277" t="s">
        <v>1693</v>
      </c>
      <c r="D1405" s="312">
        <v>5</v>
      </c>
      <c r="E1405" s="25">
        <v>1000</v>
      </c>
      <c r="F1405" s="26">
        <v>1.0132243902439024</v>
      </c>
      <c r="G1405" s="28">
        <f t="shared" si="191"/>
        <v>43.568648780487806</v>
      </c>
      <c r="H1405" s="28">
        <f t="shared" si="192"/>
        <v>34.854919024390242</v>
      </c>
      <c r="I1405" s="20"/>
      <c r="J1405" s="318">
        <v>120060003</v>
      </c>
      <c r="K1405" s="167"/>
      <c r="L1405" s="271" t="s">
        <v>1693</v>
      </c>
      <c r="M1405" s="272">
        <v>8</v>
      </c>
      <c r="N1405" s="25" t="s">
        <v>170</v>
      </c>
      <c r="O1405" s="25"/>
      <c r="P1405" s="26">
        <v>5.7174804878048775</v>
      </c>
      <c r="Q1405" s="28">
        <f t="shared" si="193"/>
        <v>245.85166097560972</v>
      </c>
      <c r="R1405" s="28">
        <f t="shared" si="194"/>
        <v>196.68132878048777</v>
      </c>
    </row>
    <row r="1406" spans="1:18" ht="10.5" customHeight="1" x14ac:dyDescent="0.3">
      <c r="A1406" s="318" t="s">
        <v>1715</v>
      </c>
      <c r="B1406" s="51"/>
      <c r="C1406" s="277" t="s">
        <v>1693</v>
      </c>
      <c r="D1406" s="312">
        <v>6</v>
      </c>
      <c r="E1406" s="25">
        <v>1000</v>
      </c>
      <c r="F1406" s="26">
        <v>1.0855975609756097</v>
      </c>
      <c r="G1406" s="28">
        <f t="shared" si="191"/>
        <v>46.680695121951217</v>
      </c>
      <c r="H1406" s="28">
        <f t="shared" si="192"/>
        <v>37.344556097560975</v>
      </c>
      <c r="I1406" s="20"/>
      <c r="J1406" s="318">
        <v>120060004</v>
      </c>
      <c r="K1406" s="167"/>
      <c r="L1406" s="271" t="s">
        <v>1693</v>
      </c>
      <c r="M1406" s="272">
        <v>10</v>
      </c>
      <c r="N1406" s="25">
        <v>500</v>
      </c>
      <c r="O1406" s="25"/>
      <c r="P1406" s="26">
        <v>12.086319512195121</v>
      </c>
      <c r="Q1406" s="28">
        <f t="shared" si="193"/>
        <v>519.71173902439023</v>
      </c>
      <c r="R1406" s="28">
        <f t="shared" si="194"/>
        <v>415.76939121951216</v>
      </c>
    </row>
    <row r="1407" spans="1:18" ht="10.5" customHeight="1" x14ac:dyDescent="0.3">
      <c r="A1407" s="318" t="s">
        <v>1716</v>
      </c>
      <c r="B1407" s="51"/>
      <c r="C1407" s="277" t="s">
        <v>1693</v>
      </c>
      <c r="D1407" s="312">
        <v>8</v>
      </c>
      <c r="E1407" s="25" t="s">
        <v>170</v>
      </c>
      <c r="F1407" s="26">
        <v>2.2435682926829266</v>
      </c>
      <c r="G1407" s="28">
        <f t="shared" si="191"/>
        <v>96.473436585365846</v>
      </c>
      <c r="H1407" s="28">
        <f t="shared" si="192"/>
        <v>77.178749268292677</v>
      </c>
      <c r="I1407" s="20"/>
      <c r="J1407" s="321">
        <v>120060005</v>
      </c>
      <c r="K1407" s="90"/>
      <c r="L1407" s="322" t="s">
        <v>1693</v>
      </c>
      <c r="M1407" s="313">
        <v>12</v>
      </c>
      <c r="N1407" s="35">
        <v>250</v>
      </c>
      <c r="O1407" s="35"/>
      <c r="P1407" s="36">
        <v>18.23803902439024</v>
      </c>
      <c r="Q1407" s="28">
        <f t="shared" si="193"/>
        <v>784.2356780487803</v>
      </c>
      <c r="R1407" s="38">
        <f t="shared" si="194"/>
        <v>627.38854243902426</v>
      </c>
    </row>
    <row r="1408" spans="1:18" ht="10.5" customHeight="1" x14ac:dyDescent="0.3">
      <c r="A1408" s="320" t="s">
        <v>1717</v>
      </c>
      <c r="B1408" s="51"/>
      <c r="C1408" s="277" t="s">
        <v>1693</v>
      </c>
      <c r="D1408" s="312">
        <v>10</v>
      </c>
      <c r="E1408" s="25">
        <v>500</v>
      </c>
      <c r="F1408" s="26">
        <v>4.7766292682926821</v>
      </c>
      <c r="G1408" s="28">
        <f t="shared" si="191"/>
        <v>205.39505853658534</v>
      </c>
      <c r="H1408" s="28">
        <f t="shared" si="192"/>
        <v>164.31604682926826</v>
      </c>
      <c r="I1408" s="20"/>
      <c r="J1408" s="320">
        <v>120060006</v>
      </c>
      <c r="K1408" s="22"/>
      <c r="L1408" s="277" t="s">
        <v>1693</v>
      </c>
      <c r="M1408" s="312">
        <v>16</v>
      </c>
      <c r="N1408" s="25" t="s">
        <v>126</v>
      </c>
      <c r="O1408" s="25"/>
      <c r="P1408" s="26">
        <v>40.513658536585361</v>
      </c>
      <c r="Q1408" s="28">
        <f t="shared" si="193"/>
        <v>1742.0873170731704</v>
      </c>
      <c r="R1408" s="28">
        <f t="shared" si="194"/>
        <v>1393.6698536585363</v>
      </c>
    </row>
    <row r="1409" spans="1:18" ht="10.5" customHeight="1" x14ac:dyDescent="0.3">
      <c r="A1409" s="318" t="s">
        <v>1718</v>
      </c>
      <c r="B1409" s="167"/>
      <c r="C1409" s="271" t="s">
        <v>1693</v>
      </c>
      <c r="D1409" s="272">
        <v>12</v>
      </c>
      <c r="E1409" s="77">
        <v>250</v>
      </c>
      <c r="F1409" s="26">
        <v>7.1649439024390231</v>
      </c>
      <c r="G1409" s="28">
        <f t="shared" si="191"/>
        <v>308.09258780487801</v>
      </c>
      <c r="H1409" s="28">
        <f t="shared" si="192"/>
        <v>246.47407024390242</v>
      </c>
      <c r="I1409" s="20"/>
      <c r="J1409" s="260" t="s">
        <v>1719</v>
      </c>
      <c r="K1409" s="22"/>
      <c r="L1409" s="277" t="s">
        <v>1693</v>
      </c>
      <c r="M1409" s="312">
        <v>20</v>
      </c>
      <c r="N1409" s="25" t="s">
        <v>126</v>
      </c>
      <c r="O1409" s="25"/>
      <c r="P1409" s="26">
        <v>86.35</v>
      </c>
      <c r="Q1409" s="28">
        <f t="shared" si="193"/>
        <v>3713.0499999999997</v>
      </c>
      <c r="R1409" s="28">
        <f t="shared" si="194"/>
        <v>2970.4399999999996</v>
      </c>
    </row>
    <row r="1410" spans="1:18" ht="10.5" customHeight="1" x14ac:dyDescent="0.3">
      <c r="A1410" s="318" t="s">
        <v>1720</v>
      </c>
      <c r="B1410" s="167"/>
      <c r="C1410" s="271" t="s">
        <v>1693</v>
      </c>
      <c r="D1410" s="272">
        <v>14</v>
      </c>
      <c r="E1410" s="77">
        <v>100</v>
      </c>
      <c r="F1410" s="26">
        <v>14.257514634146341</v>
      </c>
      <c r="G1410" s="28">
        <f t="shared" si="191"/>
        <v>613.07312926829263</v>
      </c>
      <c r="H1410" s="28">
        <f t="shared" si="192"/>
        <v>490.45850341463409</v>
      </c>
      <c r="I1410" s="20"/>
      <c r="J1410" s="20"/>
      <c r="K1410" s="20"/>
      <c r="L1410" s="20"/>
      <c r="M1410" s="20"/>
      <c r="N1410" s="20"/>
      <c r="O1410" s="20"/>
      <c r="P1410" s="20"/>
      <c r="Q1410" s="20"/>
      <c r="R1410" s="101"/>
    </row>
    <row r="1411" spans="1:18" ht="10.5" customHeight="1" x14ac:dyDescent="0.3">
      <c r="A1411" s="320" t="s">
        <v>1721</v>
      </c>
      <c r="B1411" s="167"/>
      <c r="C1411" s="271" t="s">
        <v>1693</v>
      </c>
      <c r="D1411" s="272">
        <v>16</v>
      </c>
      <c r="E1411" s="77">
        <v>100</v>
      </c>
      <c r="F1411" s="26">
        <v>16.356336585365852</v>
      </c>
      <c r="G1411" s="28">
        <f t="shared" si="191"/>
        <v>703.32247317073166</v>
      </c>
      <c r="H1411" s="28">
        <f t="shared" si="192"/>
        <v>562.65797853658535</v>
      </c>
      <c r="I1411" s="20"/>
      <c r="J1411" s="20"/>
      <c r="K1411" s="20"/>
      <c r="L1411" s="20"/>
      <c r="M1411" s="20"/>
      <c r="N1411" s="20"/>
      <c r="O1411" s="20"/>
      <c r="P1411" s="20"/>
      <c r="Q1411" s="20"/>
      <c r="R1411" s="101"/>
    </row>
    <row r="1412" spans="1:18" ht="10.5" customHeight="1" x14ac:dyDescent="0.3">
      <c r="A1412" s="318" t="s">
        <v>1722</v>
      </c>
      <c r="B1412" s="167"/>
      <c r="C1412" s="271" t="s">
        <v>1693</v>
      </c>
      <c r="D1412" s="272">
        <v>18</v>
      </c>
      <c r="E1412" s="77">
        <v>100</v>
      </c>
      <c r="F1412" s="26">
        <v>24.534504878048775</v>
      </c>
      <c r="G1412" s="28">
        <f t="shared" si="191"/>
        <v>1054.9837097560974</v>
      </c>
      <c r="H1412" s="28">
        <f t="shared" si="192"/>
        <v>843.98696780487785</v>
      </c>
      <c r="I1412" s="20"/>
      <c r="J1412" s="20"/>
      <c r="K1412" s="20"/>
      <c r="L1412" s="20"/>
      <c r="M1412" s="20"/>
      <c r="N1412" s="20"/>
      <c r="O1412" s="20"/>
      <c r="P1412" s="20"/>
      <c r="Q1412" s="20"/>
      <c r="R1412" s="101"/>
    </row>
    <row r="1413" spans="1:18" ht="10.5" customHeight="1" x14ac:dyDescent="0.3">
      <c r="A1413" s="318" t="s">
        <v>1723</v>
      </c>
      <c r="B1413" s="167"/>
      <c r="C1413" s="271" t="s">
        <v>1693</v>
      </c>
      <c r="D1413" s="272">
        <v>20</v>
      </c>
      <c r="E1413" s="77" t="s">
        <v>126</v>
      </c>
      <c r="F1413" s="26">
        <v>33.508778048780485</v>
      </c>
      <c r="G1413" s="28">
        <f t="shared" si="191"/>
        <v>1440.8774560975608</v>
      </c>
      <c r="H1413" s="28">
        <f t="shared" si="192"/>
        <v>1152.7019648780486</v>
      </c>
      <c r="I1413" s="20"/>
      <c r="J1413" s="20"/>
      <c r="K1413" s="20"/>
      <c r="L1413" s="20"/>
      <c r="M1413" s="20"/>
      <c r="N1413" s="20"/>
      <c r="O1413" s="20"/>
      <c r="P1413" s="20"/>
      <c r="Q1413" s="20"/>
      <c r="R1413" s="101"/>
    </row>
    <row r="1414" spans="1:18" ht="10.5" customHeight="1" x14ac:dyDescent="0.3">
      <c r="A1414" s="320" t="s">
        <v>1724</v>
      </c>
      <c r="B1414" s="51"/>
      <c r="C1414" s="277" t="s">
        <v>1693</v>
      </c>
      <c r="D1414" s="312">
        <v>22</v>
      </c>
      <c r="E1414" s="25">
        <v>50</v>
      </c>
      <c r="F1414" s="26">
        <v>36.186585365853652</v>
      </c>
      <c r="G1414" s="28">
        <f t="shared" si="191"/>
        <v>1556.0231707317071</v>
      </c>
      <c r="H1414" s="28">
        <f t="shared" si="192"/>
        <v>1244.8185365853656</v>
      </c>
      <c r="I1414" s="83"/>
      <c r="J1414" s="83"/>
      <c r="K1414" s="83"/>
      <c r="L1414" s="83"/>
      <c r="M1414" s="83"/>
      <c r="N1414" s="83"/>
      <c r="O1414" s="83"/>
      <c r="P1414" s="83"/>
      <c r="Q1414" s="83"/>
      <c r="R1414" s="116"/>
    </row>
    <row r="1415" spans="1:18" ht="10.5" customHeight="1" x14ac:dyDescent="0.3">
      <c r="A1415" s="323"/>
      <c r="B1415" s="40"/>
      <c r="C1415" s="274"/>
      <c r="D1415" s="275"/>
      <c r="E1415" s="43"/>
      <c r="F1415" s="44"/>
      <c r="G1415" s="46"/>
      <c r="H1415" s="46"/>
      <c r="I1415" s="20"/>
      <c r="J1415" s="20"/>
      <c r="K1415" s="20"/>
      <c r="L1415" s="20"/>
      <c r="M1415" s="20"/>
      <c r="N1415" s="20"/>
      <c r="O1415" s="20"/>
      <c r="P1415" s="20"/>
      <c r="Q1415" s="20"/>
      <c r="R1415" s="20"/>
    </row>
    <row r="1416" spans="1:18" ht="10.5" customHeight="1" x14ac:dyDescent="0.3">
      <c r="A1416" s="323"/>
      <c r="B1416" s="40"/>
      <c r="C1416" s="274"/>
      <c r="D1416" s="275"/>
      <c r="E1416" s="43"/>
      <c r="F1416" s="44"/>
      <c r="G1416" s="46"/>
      <c r="H1416" s="46"/>
      <c r="I1416" s="20"/>
      <c r="J1416" s="20"/>
      <c r="K1416" s="20"/>
      <c r="L1416" s="20"/>
      <c r="M1416" s="20"/>
      <c r="N1416" s="20"/>
      <c r="O1416" s="20"/>
      <c r="P1416" s="20"/>
      <c r="Q1416" s="20"/>
      <c r="R1416" s="20"/>
    </row>
    <row r="1417" spans="1:18" ht="10.5" customHeight="1" x14ac:dyDescent="0.3">
      <c r="A1417" s="323"/>
      <c r="B1417" s="40"/>
      <c r="C1417" s="274"/>
      <c r="D1417" s="275"/>
      <c r="E1417" s="43"/>
      <c r="F1417" s="44"/>
      <c r="G1417" s="46"/>
      <c r="H1417" s="46"/>
      <c r="I1417" s="20"/>
      <c r="J1417" s="20"/>
      <c r="K1417" s="20"/>
      <c r="L1417" s="20"/>
      <c r="M1417" s="20"/>
      <c r="N1417" s="20"/>
      <c r="O1417" s="20"/>
      <c r="P1417" s="20"/>
      <c r="Q1417" s="20"/>
      <c r="R1417" s="20"/>
    </row>
    <row r="1418" spans="1:18" ht="10.5" customHeight="1" x14ac:dyDescent="0.3">
      <c r="A1418" s="323"/>
      <c r="B1418" s="40"/>
      <c r="C1418" s="274"/>
      <c r="D1418" s="275"/>
      <c r="E1418" s="43"/>
      <c r="F1418" s="44"/>
      <c r="G1418" s="46"/>
      <c r="H1418" s="46"/>
      <c r="I1418" s="20"/>
      <c r="J1418" s="20"/>
      <c r="K1418" s="20"/>
      <c r="L1418" s="20"/>
      <c r="M1418" s="20"/>
      <c r="N1418" s="20"/>
      <c r="O1418" s="20"/>
      <c r="P1418" s="20"/>
      <c r="Q1418" s="20"/>
      <c r="R1418" s="20"/>
    </row>
    <row r="1419" spans="1:18" ht="10.5" customHeight="1" x14ac:dyDescent="0.3">
      <c r="A1419" s="323"/>
      <c r="B1419" s="40"/>
      <c r="C1419" s="274"/>
      <c r="D1419" s="275"/>
      <c r="E1419" s="43"/>
      <c r="F1419" s="44"/>
      <c r="G1419" s="46"/>
      <c r="H1419" s="46"/>
      <c r="I1419" s="20"/>
      <c r="J1419" s="20"/>
      <c r="K1419" s="20"/>
      <c r="L1419" s="20"/>
      <c r="M1419" s="20"/>
      <c r="N1419" s="20"/>
      <c r="O1419" s="20"/>
      <c r="P1419" s="20"/>
      <c r="Q1419" s="20"/>
      <c r="R1419" s="20"/>
    </row>
    <row r="1420" spans="1:18" ht="10.5" customHeight="1" x14ac:dyDescent="0.3">
      <c r="A1420" s="323"/>
      <c r="B1420" s="40"/>
      <c r="C1420" s="274"/>
      <c r="D1420" s="275"/>
      <c r="E1420" s="43"/>
      <c r="F1420" s="44"/>
      <c r="G1420" s="46"/>
      <c r="H1420" s="46"/>
      <c r="I1420" s="20"/>
      <c r="J1420" s="20"/>
      <c r="K1420" s="20"/>
      <c r="L1420" s="20"/>
      <c r="M1420" s="20"/>
      <c r="N1420" s="20"/>
      <c r="O1420" s="20"/>
      <c r="P1420" s="20"/>
      <c r="Q1420" s="20"/>
      <c r="R1420" s="20"/>
    </row>
    <row r="1421" spans="1:18" ht="10.5" customHeight="1" x14ac:dyDescent="0.3">
      <c r="A1421" s="323"/>
      <c r="B1421" s="40"/>
      <c r="C1421" s="274"/>
      <c r="D1421" s="275"/>
      <c r="E1421" s="43"/>
      <c r="F1421" s="44"/>
      <c r="G1421" s="46"/>
      <c r="H1421" s="46"/>
      <c r="I1421" s="20"/>
      <c r="J1421" s="20"/>
      <c r="K1421" s="20"/>
      <c r="L1421" s="20"/>
      <c r="M1421" s="20"/>
      <c r="N1421" s="20"/>
      <c r="O1421" s="20"/>
      <c r="P1421" s="20"/>
      <c r="Q1421" s="20"/>
      <c r="R1421" s="20"/>
    </row>
    <row r="1422" spans="1:18" ht="10.5" customHeight="1" x14ac:dyDescent="0.3">
      <c r="A1422" s="20"/>
      <c r="B1422" s="20"/>
      <c r="C1422" s="20"/>
      <c r="D1422" s="20"/>
      <c r="E1422" s="20"/>
      <c r="F1422" s="20"/>
      <c r="G1422" s="20"/>
      <c r="H1422" s="20"/>
      <c r="I1422" s="20"/>
      <c r="J1422" s="20"/>
      <c r="K1422" s="20"/>
      <c r="L1422" s="20"/>
      <c r="M1422" s="20"/>
      <c r="N1422" s="20"/>
      <c r="O1422" s="20"/>
      <c r="P1422" s="20"/>
      <c r="Q1422" s="20"/>
      <c r="R1422" s="20"/>
    </row>
    <row r="1423" spans="1:18" ht="10.5" customHeight="1" x14ac:dyDescent="0.3">
      <c r="A1423" s="166" t="s">
        <v>1725</v>
      </c>
      <c r="B1423" s="48" t="s">
        <v>1726</v>
      </c>
      <c r="C1423" s="49"/>
      <c r="D1423" s="49"/>
      <c r="E1423" s="49"/>
      <c r="F1423" s="49"/>
      <c r="G1423" s="49"/>
      <c r="H1423" s="50"/>
      <c r="I1423" s="49"/>
      <c r="J1423" s="209"/>
      <c r="K1423" s="49"/>
      <c r="L1423" s="324" t="s">
        <v>1727</v>
      </c>
      <c r="M1423" s="325"/>
      <c r="N1423" s="49"/>
      <c r="O1423" s="49"/>
      <c r="P1423" s="49"/>
      <c r="Q1423" s="49"/>
      <c r="R1423" s="50"/>
    </row>
    <row r="1424" spans="1:18" ht="10.5" customHeight="1" x14ac:dyDescent="0.3">
      <c r="A1424" s="18"/>
      <c r="B1424" s="20"/>
      <c r="C1424" s="20"/>
      <c r="D1424" s="20"/>
      <c r="E1424" s="20"/>
      <c r="F1424" s="20"/>
      <c r="G1424" s="20"/>
      <c r="H1424" s="101"/>
      <c r="I1424" s="20"/>
      <c r="J1424" s="18"/>
      <c r="K1424" s="20"/>
      <c r="L1424" s="20"/>
      <c r="M1424" s="20"/>
      <c r="N1424" s="20"/>
      <c r="O1424" s="20"/>
      <c r="P1424" s="20"/>
      <c r="Q1424" s="20"/>
      <c r="R1424" s="101"/>
    </row>
    <row r="1425" spans="1:18" ht="10.5" customHeight="1" x14ac:dyDescent="0.3">
      <c r="A1425" s="18"/>
      <c r="B1425" s="20"/>
      <c r="C1425" s="20"/>
      <c r="D1425" s="20"/>
      <c r="E1425" s="20"/>
      <c r="F1425" s="20"/>
      <c r="G1425" s="20"/>
      <c r="H1425" s="101"/>
      <c r="I1425" s="20"/>
      <c r="J1425" s="18"/>
      <c r="K1425" s="20"/>
      <c r="L1425" s="20"/>
      <c r="M1425" s="20"/>
      <c r="N1425" s="20"/>
      <c r="O1425" s="20"/>
      <c r="P1425" s="20"/>
      <c r="Q1425" s="20"/>
      <c r="R1425" s="101"/>
    </row>
    <row r="1426" spans="1:18" ht="10.5" customHeight="1" x14ac:dyDescent="0.3">
      <c r="A1426" s="18"/>
      <c r="B1426" s="20"/>
      <c r="C1426" s="20"/>
      <c r="D1426" s="20"/>
      <c r="E1426" s="20"/>
      <c r="F1426" s="20"/>
      <c r="G1426" s="20"/>
      <c r="H1426" s="101"/>
      <c r="I1426" s="20"/>
      <c r="J1426" s="18"/>
      <c r="K1426" s="20"/>
      <c r="L1426" s="20"/>
      <c r="M1426" s="20"/>
      <c r="N1426" s="20"/>
      <c r="O1426" s="20"/>
      <c r="P1426" s="20"/>
      <c r="Q1426" s="20"/>
      <c r="R1426" s="101"/>
    </row>
    <row r="1427" spans="1:18" ht="10.5" customHeight="1" x14ac:dyDescent="0.3">
      <c r="A1427" s="18"/>
      <c r="B1427" s="20"/>
      <c r="C1427" s="20"/>
      <c r="D1427" s="20"/>
      <c r="E1427" s="20"/>
      <c r="F1427" s="20"/>
      <c r="G1427" s="20"/>
      <c r="H1427" s="101"/>
      <c r="I1427" s="20"/>
      <c r="J1427" s="55"/>
      <c r="K1427" s="83"/>
      <c r="L1427" s="83"/>
      <c r="M1427" s="20"/>
      <c r="N1427" s="20"/>
      <c r="O1427" s="20"/>
      <c r="P1427" s="20"/>
      <c r="Q1427" s="20"/>
      <c r="R1427" s="101"/>
    </row>
    <row r="1428" spans="1:18" ht="10.5" customHeight="1" x14ac:dyDescent="0.3">
      <c r="A1428" s="446" t="s">
        <v>78</v>
      </c>
      <c r="B1428" s="446" t="s">
        <v>79</v>
      </c>
      <c r="C1428" s="446"/>
      <c r="D1428" s="446"/>
      <c r="E1428" s="447" t="s">
        <v>80</v>
      </c>
      <c r="F1428" s="15"/>
      <c r="G1428" s="16" t="s">
        <v>81</v>
      </c>
      <c r="H1428" s="17" t="s">
        <v>82</v>
      </c>
      <c r="I1428" s="20"/>
      <c r="J1428" s="446" t="s">
        <v>78</v>
      </c>
      <c r="K1428" s="446" t="s">
        <v>79</v>
      </c>
      <c r="L1428" s="446"/>
      <c r="M1428" s="446"/>
      <c r="N1428" s="447" t="s">
        <v>80</v>
      </c>
      <c r="O1428" s="14"/>
      <c r="P1428" s="15"/>
      <c r="Q1428" s="16" t="s">
        <v>81</v>
      </c>
      <c r="R1428" s="17" t="s">
        <v>82</v>
      </c>
    </row>
    <row r="1429" spans="1:18" ht="10.5" customHeight="1" x14ac:dyDescent="0.3">
      <c r="A1429" s="446"/>
      <c r="B1429" s="446"/>
      <c r="C1429" s="446"/>
      <c r="D1429" s="446"/>
      <c r="E1429" s="447"/>
      <c r="F1429" s="19"/>
      <c r="G1429" s="15" t="s">
        <v>84</v>
      </c>
      <c r="H1429" s="15" t="s">
        <v>84</v>
      </c>
      <c r="I1429" s="20"/>
      <c r="J1429" s="446"/>
      <c r="K1429" s="446"/>
      <c r="L1429" s="446"/>
      <c r="M1429" s="446"/>
      <c r="N1429" s="447"/>
      <c r="O1429" s="14"/>
      <c r="P1429" s="19"/>
      <c r="Q1429" s="15" t="s">
        <v>84</v>
      </c>
      <c r="R1429" s="15" t="s">
        <v>84</v>
      </c>
    </row>
    <row r="1430" spans="1:18" ht="10.5" customHeight="1" x14ac:dyDescent="0.3">
      <c r="A1430" s="266" t="s">
        <v>1728</v>
      </c>
      <c r="B1430" s="167"/>
      <c r="C1430" s="271" t="s">
        <v>1693</v>
      </c>
      <c r="D1430" s="272">
        <v>4</v>
      </c>
      <c r="E1430" s="77">
        <v>1000</v>
      </c>
      <c r="F1430" s="78">
        <v>1.8193292682926827</v>
      </c>
      <c r="G1430" s="72">
        <f t="shared" ref="G1430:G1436" si="195">F1430*$F$10</f>
        <v>78.231158536585355</v>
      </c>
      <c r="H1430" s="28">
        <f t="shared" ref="H1430:H1436" si="196">G1430-G1430*0.2</f>
        <v>62.584926829268284</v>
      </c>
      <c r="I1430" s="20"/>
      <c r="J1430" s="266">
        <v>120030001</v>
      </c>
      <c r="K1430" s="167"/>
      <c r="L1430" s="271" t="s">
        <v>1693</v>
      </c>
      <c r="M1430" s="272">
        <v>4</v>
      </c>
      <c r="N1430" s="77">
        <v>1000</v>
      </c>
      <c r="O1430" s="77"/>
      <c r="P1430" s="78">
        <v>2.760180487804877</v>
      </c>
      <c r="Q1430" s="72">
        <f t="shared" ref="Q1430:Q1435" si="197">P1430*$F$10</f>
        <v>118.68776097560971</v>
      </c>
      <c r="R1430" s="72">
        <f t="shared" ref="R1430:R1435" si="198">Q1430-Q1430*0.2</f>
        <v>94.95020878048777</v>
      </c>
    </row>
    <row r="1431" spans="1:18" ht="10.5" customHeight="1" x14ac:dyDescent="0.3">
      <c r="A1431" s="266" t="s">
        <v>1729</v>
      </c>
      <c r="B1431" s="167"/>
      <c r="C1431" s="271" t="s">
        <v>1693</v>
      </c>
      <c r="D1431" s="272">
        <v>5</v>
      </c>
      <c r="E1431" s="77">
        <v>1000</v>
      </c>
      <c r="F1431" s="78">
        <v>2.2535682926829264</v>
      </c>
      <c r="G1431" s="28">
        <f t="shared" si="195"/>
        <v>96.903436585365839</v>
      </c>
      <c r="H1431" s="28">
        <f t="shared" si="196"/>
        <v>77.522749268292671</v>
      </c>
      <c r="I1431" s="20"/>
      <c r="J1431" s="266">
        <v>120030002</v>
      </c>
      <c r="K1431" s="167"/>
      <c r="L1431" s="271" t="s">
        <v>1693</v>
      </c>
      <c r="M1431" s="272">
        <v>5</v>
      </c>
      <c r="N1431" s="77">
        <v>1000</v>
      </c>
      <c r="O1431" s="77"/>
      <c r="P1431" s="26">
        <v>2.760180487804877</v>
      </c>
      <c r="Q1431" s="28">
        <f t="shared" si="197"/>
        <v>118.68776097560971</v>
      </c>
      <c r="R1431" s="28">
        <f t="shared" si="198"/>
        <v>94.95020878048777</v>
      </c>
    </row>
    <row r="1432" spans="1:18" ht="10.5" customHeight="1" x14ac:dyDescent="0.3">
      <c r="A1432" s="266" t="s">
        <v>1730</v>
      </c>
      <c r="B1432" s="22"/>
      <c r="C1432" s="277" t="s">
        <v>1693</v>
      </c>
      <c r="D1432" s="272">
        <v>6</v>
      </c>
      <c r="E1432" s="77">
        <v>1000</v>
      </c>
      <c r="F1432" s="78">
        <v>3.411539024390243</v>
      </c>
      <c r="G1432" s="28">
        <f t="shared" si="195"/>
        <v>146.69617804878044</v>
      </c>
      <c r="H1432" s="28">
        <f t="shared" si="196"/>
        <v>117.35694243902435</v>
      </c>
      <c r="I1432" s="20"/>
      <c r="J1432" s="266">
        <v>120030003</v>
      </c>
      <c r="K1432" s="167"/>
      <c r="L1432" s="271" t="s">
        <v>1693</v>
      </c>
      <c r="M1432" s="272">
        <v>6</v>
      </c>
      <c r="N1432" s="77" t="s">
        <v>88</v>
      </c>
      <c r="O1432" s="77"/>
      <c r="P1432" s="26">
        <v>3.4939121951219514</v>
      </c>
      <c r="Q1432" s="28">
        <f t="shared" si="197"/>
        <v>150.23822439024391</v>
      </c>
      <c r="R1432" s="28">
        <f t="shared" si="198"/>
        <v>120.19057951219513</v>
      </c>
    </row>
    <row r="1433" spans="1:18" ht="10.5" customHeight="1" x14ac:dyDescent="0.3">
      <c r="A1433" s="266" t="s">
        <v>1730</v>
      </c>
      <c r="B1433" s="167"/>
      <c r="C1433" s="271" t="s">
        <v>1693</v>
      </c>
      <c r="D1433" s="272">
        <v>8</v>
      </c>
      <c r="E1433" s="77">
        <v>500</v>
      </c>
      <c r="F1433" s="78">
        <v>6.026973170731706</v>
      </c>
      <c r="G1433" s="28">
        <f t="shared" si="195"/>
        <v>259.15984634146338</v>
      </c>
      <c r="H1433" s="28">
        <f t="shared" si="196"/>
        <v>207.3278770731707</v>
      </c>
      <c r="I1433" s="20"/>
      <c r="J1433" s="266">
        <v>120030004</v>
      </c>
      <c r="K1433" s="51"/>
      <c r="L1433" s="277" t="s">
        <v>1693</v>
      </c>
      <c r="M1433" s="312">
        <v>8</v>
      </c>
      <c r="N1433" s="25" t="s">
        <v>94</v>
      </c>
      <c r="O1433" s="25"/>
      <c r="P1433" s="26">
        <v>4.6718829268292676</v>
      </c>
      <c r="Q1433" s="28">
        <f t="shared" si="197"/>
        <v>200.89096585365851</v>
      </c>
      <c r="R1433" s="28">
        <f t="shared" si="198"/>
        <v>160.71277268292681</v>
      </c>
    </row>
    <row r="1434" spans="1:18" ht="10.5" customHeight="1" x14ac:dyDescent="0.3">
      <c r="A1434" s="260" t="s">
        <v>1731</v>
      </c>
      <c r="B1434" s="51"/>
      <c r="C1434" s="277" t="s">
        <v>1693</v>
      </c>
      <c r="D1434" s="312">
        <v>10</v>
      </c>
      <c r="E1434" s="25">
        <v>500</v>
      </c>
      <c r="F1434" s="26">
        <v>13.409036585365854</v>
      </c>
      <c r="G1434" s="28">
        <f t="shared" si="195"/>
        <v>576.58857317073171</v>
      </c>
      <c r="H1434" s="28">
        <f t="shared" si="196"/>
        <v>461.27085853658537</v>
      </c>
      <c r="I1434" s="20"/>
      <c r="J1434" s="266">
        <v>120030005</v>
      </c>
      <c r="K1434" s="167"/>
      <c r="L1434" s="271" t="s">
        <v>1693</v>
      </c>
      <c r="M1434" s="272">
        <v>10</v>
      </c>
      <c r="N1434" s="77">
        <v>500</v>
      </c>
      <c r="O1434" s="77"/>
      <c r="P1434" s="26">
        <v>8.07342195121951</v>
      </c>
      <c r="Q1434" s="28">
        <f t="shared" si="197"/>
        <v>347.15714390243892</v>
      </c>
      <c r="R1434" s="28">
        <f t="shared" si="198"/>
        <v>277.72571512195111</v>
      </c>
    </row>
    <row r="1435" spans="1:18" ht="10.5" customHeight="1" x14ac:dyDescent="0.3">
      <c r="A1435" s="266" t="s">
        <v>1732</v>
      </c>
      <c r="B1435" s="167"/>
      <c r="C1435" s="271" t="s">
        <v>1693</v>
      </c>
      <c r="D1435" s="272">
        <v>12</v>
      </c>
      <c r="E1435" s="77" t="s">
        <v>126</v>
      </c>
      <c r="F1435" s="78">
        <v>21.462458536585366</v>
      </c>
      <c r="G1435" s="28">
        <f t="shared" si="195"/>
        <v>922.88571707317078</v>
      </c>
      <c r="H1435" s="28">
        <f t="shared" si="196"/>
        <v>738.3085736585366</v>
      </c>
      <c r="I1435" s="20"/>
      <c r="J1435" s="266">
        <v>120030006</v>
      </c>
      <c r="K1435" s="167"/>
      <c r="L1435" s="271" t="s">
        <v>1693</v>
      </c>
      <c r="M1435" s="272">
        <v>12</v>
      </c>
      <c r="N1435" s="77" t="s">
        <v>126</v>
      </c>
      <c r="O1435" s="77"/>
      <c r="P1435" s="26">
        <v>15.660231707317072</v>
      </c>
      <c r="Q1435" s="28">
        <f t="shared" si="197"/>
        <v>673.38996341463405</v>
      </c>
      <c r="R1435" s="28">
        <f t="shared" si="198"/>
        <v>538.7119707317072</v>
      </c>
    </row>
    <row r="1436" spans="1:18" ht="10.5" customHeight="1" x14ac:dyDescent="0.3">
      <c r="A1436" s="266" t="s">
        <v>1733</v>
      </c>
      <c r="B1436" s="167"/>
      <c r="C1436" s="271" t="s">
        <v>1693</v>
      </c>
      <c r="D1436" s="272">
        <v>16</v>
      </c>
      <c r="E1436" s="77" t="s">
        <v>126</v>
      </c>
      <c r="F1436" s="78">
        <v>39.404878048780482</v>
      </c>
      <c r="G1436" s="28">
        <f t="shared" si="195"/>
        <v>1694.4097560975608</v>
      </c>
      <c r="H1436" s="28">
        <f t="shared" si="196"/>
        <v>1355.5278048780488</v>
      </c>
      <c r="I1436" s="83"/>
      <c r="J1436" s="83"/>
      <c r="K1436" s="83"/>
      <c r="L1436" s="83"/>
      <c r="M1436" s="83"/>
      <c r="N1436" s="83"/>
      <c r="O1436" s="83"/>
      <c r="P1436" s="83"/>
      <c r="Q1436" s="83"/>
      <c r="R1436" s="116"/>
    </row>
    <row r="1437" spans="1:18" ht="10.5" customHeight="1" x14ac:dyDescent="0.3">
      <c r="A1437" s="326"/>
      <c r="B1437" s="40"/>
      <c r="C1437" s="274"/>
      <c r="D1437" s="275"/>
      <c r="E1437" s="43"/>
      <c r="F1437" s="44"/>
      <c r="G1437" s="140"/>
      <c r="H1437" s="140"/>
      <c r="I1437" s="20"/>
      <c r="J1437" s="83"/>
      <c r="K1437" s="83"/>
      <c r="L1437" s="83"/>
      <c r="M1437" s="83"/>
      <c r="N1437" s="83"/>
      <c r="O1437" s="83"/>
      <c r="P1437" s="83"/>
      <c r="Q1437" s="83"/>
      <c r="R1437" s="116"/>
    </row>
    <row r="1438" spans="1:18" ht="10.5" customHeight="1" x14ac:dyDescent="0.3">
      <c r="A1438" s="166" t="s">
        <v>1734</v>
      </c>
      <c r="B1438" s="48" t="s">
        <v>1726</v>
      </c>
      <c r="C1438" s="49"/>
      <c r="D1438" s="49"/>
      <c r="E1438" s="49"/>
      <c r="F1438" s="49"/>
      <c r="G1438" s="49"/>
      <c r="H1438" s="49"/>
      <c r="I1438" s="49"/>
      <c r="J1438" s="446" t="s">
        <v>78</v>
      </c>
      <c r="K1438" s="446" t="s">
        <v>79</v>
      </c>
      <c r="L1438" s="446"/>
      <c r="M1438" s="446"/>
      <c r="N1438" s="447" t="s">
        <v>80</v>
      </c>
      <c r="O1438" s="14"/>
      <c r="P1438" s="15"/>
      <c r="Q1438" s="16" t="s">
        <v>81</v>
      </c>
      <c r="R1438" s="17" t="s">
        <v>82</v>
      </c>
    </row>
    <row r="1439" spans="1:18" ht="10.5" customHeight="1" x14ac:dyDescent="0.3">
      <c r="A1439" s="18"/>
      <c r="B1439" s="20"/>
      <c r="C1439" s="20"/>
      <c r="D1439" s="20"/>
      <c r="E1439" s="20"/>
      <c r="F1439" s="20"/>
      <c r="G1439" s="20"/>
      <c r="H1439" s="20"/>
      <c r="I1439" s="20"/>
      <c r="J1439" s="446"/>
      <c r="K1439" s="446"/>
      <c r="L1439" s="446"/>
      <c r="M1439" s="446"/>
      <c r="N1439" s="447"/>
      <c r="O1439" s="14"/>
      <c r="P1439" s="19"/>
      <c r="Q1439" s="15" t="s">
        <v>84</v>
      </c>
      <c r="R1439" s="15" t="s">
        <v>84</v>
      </c>
    </row>
    <row r="1440" spans="1:18" ht="10.5" customHeight="1" x14ac:dyDescent="0.3">
      <c r="A1440" s="99"/>
      <c r="B1440" s="20"/>
      <c r="C1440" s="20"/>
      <c r="D1440" s="20"/>
      <c r="E1440" s="20"/>
      <c r="F1440" s="20"/>
      <c r="G1440" s="20"/>
      <c r="H1440" s="20"/>
      <c r="I1440" s="20"/>
      <c r="J1440" s="318" t="s">
        <v>1735</v>
      </c>
      <c r="K1440" s="167"/>
      <c r="L1440" s="271" t="s">
        <v>1693</v>
      </c>
      <c r="M1440" s="272">
        <v>4</v>
      </c>
      <c r="N1440" s="77">
        <v>1000</v>
      </c>
      <c r="O1440" s="77"/>
      <c r="P1440" s="78">
        <v>3.4839121951219512</v>
      </c>
      <c r="Q1440" s="72">
        <f t="shared" ref="Q1440:Q1445" si="199">P1440*$F$10</f>
        <v>149.80822439024391</v>
      </c>
      <c r="R1440" s="72">
        <f t="shared" ref="R1440:R1445" si="200">Q1440-Q1440*0.2</f>
        <v>119.84657951219512</v>
      </c>
    </row>
    <row r="1441" spans="1:18" ht="10.5" customHeight="1" x14ac:dyDescent="0.3">
      <c r="A1441" s="18"/>
      <c r="B1441" s="20"/>
      <c r="C1441" s="20"/>
      <c r="D1441" s="20"/>
      <c r="E1441" s="20"/>
      <c r="F1441" s="20"/>
      <c r="G1441" s="20"/>
      <c r="H1441" s="20"/>
      <c r="I1441" s="20"/>
      <c r="J1441" s="318" t="s">
        <v>1736</v>
      </c>
      <c r="K1441" s="167"/>
      <c r="L1441" s="271" t="s">
        <v>1693</v>
      </c>
      <c r="M1441" s="272">
        <v>5</v>
      </c>
      <c r="N1441" s="77">
        <v>1000</v>
      </c>
      <c r="O1441" s="77"/>
      <c r="P1441" s="26">
        <v>3.556285365853658</v>
      </c>
      <c r="Q1441" s="28">
        <f t="shared" si="199"/>
        <v>152.92027073170729</v>
      </c>
      <c r="R1441" s="28">
        <f t="shared" si="200"/>
        <v>122.33621658536583</v>
      </c>
    </row>
    <row r="1442" spans="1:18" ht="10.5" customHeight="1" x14ac:dyDescent="0.3">
      <c r="A1442" s="18"/>
      <c r="B1442" s="20"/>
      <c r="C1442" s="20"/>
      <c r="D1442" s="20"/>
      <c r="E1442" s="20"/>
      <c r="F1442" s="20"/>
      <c r="G1442" s="20"/>
      <c r="H1442" s="20"/>
      <c r="I1442" s="20"/>
      <c r="J1442" s="318" t="s">
        <v>1737</v>
      </c>
      <c r="K1442" s="22"/>
      <c r="L1442" s="277" t="s">
        <v>1693</v>
      </c>
      <c r="M1442" s="272">
        <v>6</v>
      </c>
      <c r="N1442" s="25">
        <v>1000</v>
      </c>
      <c r="O1442" s="25"/>
      <c r="P1442" s="26">
        <v>5.6551073170731696</v>
      </c>
      <c r="Q1442" s="28">
        <f t="shared" si="199"/>
        <v>243.16961463414628</v>
      </c>
      <c r="R1442" s="28">
        <f t="shared" si="200"/>
        <v>194.53569170731703</v>
      </c>
    </row>
    <row r="1443" spans="1:18" ht="10.5" customHeight="1" x14ac:dyDescent="0.3">
      <c r="A1443" s="18"/>
      <c r="B1443" s="275" t="s">
        <v>1382</v>
      </c>
      <c r="C1443" s="20"/>
      <c r="D1443" s="20"/>
      <c r="E1443" s="20"/>
      <c r="F1443" s="20"/>
      <c r="G1443" s="20"/>
      <c r="H1443" s="20"/>
      <c r="I1443" s="20"/>
      <c r="J1443" s="320" t="s">
        <v>1738</v>
      </c>
      <c r="K1443" s="167"/>
      <c r="L1443" s="271" t="s">
        <v>1693</v>
      </c>
      <c r="M1443" s="272">
        <v>8</v>
      </c>
      <c r="N1443" s="77">
        <v>500</v>
      </c>
      <c r="O1443" s="77"/>
      <c r="P1443" s="26">
        <v>11.237841463414632</v>
      </c>
      <c r="Q1443" s="28">
        <f t="shared" si="199"/>
        <v>483.22718292682919</v>
      </c>
      <c r="R1443" s="28">
        <f t="shared" si="200"/>
        <v>386.58174634146337</v>
      </c>
    </row>
    <row r="1444" spans="1:18" ht="10.5" customHeight="1" x14ac:dyDescent="0.3">
      <c r="A1444" s="18"/>
      <c r="B1444" s="20"/>
      <c r="C1444" s="20"/>
      <c r="D1444" s="20"/>
      <c r="E1444" s="20"/>
      <c r="F1444" s="20"/>
      <c r="G1444" s="20"/>
      <c r="H1444" s="20"/>
      <c r="I1444" s="20"/>
      <c r="J1444" s="320" t="s">
        <v>1739</v>
      </c>
      <c r="K1444" s="51"/>
      <c r="L1444" s="277" t="s">
        <v>1693</v>
      </c>
      <c r="M1444" s="312">
        <v>10</v>
      </c>
      <c r="N1444" s="77">
        <v>500</v>
      </c>
      <c r="O1444" s="77"/>
      <c r="P1444" s="26">
        <v>21.804324390243899</v>
      </c>
      <c r="Q1444" s="28">
        <f t="shared" si="199"/>
        <v>937.58594878048768</v>
      </c>
      <c r="R1444" s="28">
        <f t="shared" si="200"/>
        <v>750.06875902439015</v>
      </c>
    </row>
    <row r="1445" spans="1:18" ht="10.5" customHeight="1" x14ac:dyDescent="0.3">
      <c r="A1445" s="55"/>
      <c r="B1445" s="83"/>
      <c r="C1445" s="83"/>
      <c r="D1445" s="83"/>
      <c r="E1445" s="83"/>
      <c r="F1445" s="83"/>
      <c r="G1445" s="83"/>
      <c r="H1445" s="83"/>
      <c r="I1445" s="83"/>
      <c r="J1445" s="318" t="s">
        <v>1740</v>
      </c>
      <c r="K1445" s="167"/>
      <c r="L1445" s="271" t="s">
        <v>1693</v>
      </c>
      <c r="M1445" s="272">
        <v>12</v>
      </c>
      <c r="N1445" s="77" t="s">
        <v>126</v>
      </c>
      <c r="O1445" s="77"/>
      <c r="P1445" s="26">
        <v>35.213360975609753</v>
      </c>
      <c r="Q1445" s="28">
        <f t="shared" si="199"/>
        <v>1514.1745219512193</v>
      </c>
      <c r="R1445" s="28">
        <f t="shared" si="200"/>
        <v>1211.3396175609755</v>
      </c>
    </row>
    <row r="1446" spans="1:18" ht="10.5" customHeight="1" x14ac:dyDescent="0.3">
      <c r="A1446" s="20"/>
      <c r="B1446" s="20"/>
      <c r="C1446" s="20"/>
      <c r="D1446" s="20"/>
      <c r="E1446" s="20"/>
      <c r="F1446" s="20"/>
      <c r="G1446" s="20"/>
      <c r="H1446" s="20"/>
      <c r="I1446" s="20"/>
      <c r="J1446" s="20"/>
      <c r="K1446" s="20"/>
      <c r="L1446" s="20"/>
      <c r="M1446" s="20"/>
      <c r="N1446" s="20"/>
      <c r="O1446" s="20"/>
      <c r="P1446" s="20"/>
      <c r="Q1446" s="20"/>
      <c r="R1446" s="20"/>
    </row>
    <row r="1447" spans="1:18" ht="15" customHeight="1" x14ac:dyDescent="0.3">
      <c r="A1447" s="448" t="s">
        <v>1741</v>
      </c>
      <c r="B1447" s="448"/>
      <c r="C1447" s="448"/>
      <c r="D1447" s="448"/>
      <c r="E1447" s="448"/>
      <c r="F1447" s="448"/>
      <c r="G1447" s="448"/>
      <c r="H1447" s="448"/>
      <c r="I1447" s="448"/>
      <c r="J1447" s="448"/>
      <c r="K1447" s="448"/>
      <c r="L1447" s="448"/>
      <c r="M1447" s="448"/>
      <c r="N1447" s="448"/>
      <c r="O1447" s="448"/>
      <c r="P1447" s="448"/>
      <c r="Q1447" s="448"/>
      <c r="R1447" s="448"/>
    </row>
    <row r="1448" spans="1:18" ht="10.5" customHeight="1" x14ac:dyDescent="0.3">
      <c r="A1448" s="20"/>
      <c r="B1448" s="20"/>
      <c r="C1448" s="20"/>
      <c r="D1448" s="20"/>
      <c r="E1448" s="20"/>
      <c r="F1448" s="20"/>
      <c r="G1448" s="20"/>
      <c r="H1448" s="20"/>
      <c r="I1448" s="20"/>
      <c r="J1448" s="20"/>
      <c r="K1448" s="20"/>
      <c r="L1448" s="20"/>
      <c r="M1448" s="20"/>
      <c r="N1448" s="20"/>
      <c r="O1448" s="20"/>
      <c r="P1448" s="20"/>
      <c r="Q1448" s="20"/>
      <c r="R1448" s="20"/>
    </row>
    <row r="1449" spans="1:18" ht="10.5" customHeight="1" x14ac:dyDescent="0.3">
      <c r="A1449" s="166" t="s">
        <v>1742</v>
      </c>
      <c r="B1449" s="301" t="s">
        <v>1743</v>
      </c>
      <c r="C1449" s="49"/>
      <c r="D1449" s="49"/>
      <c r="E1449" s="49"/>
      <c r="F1449" s="49"/>
      <c r="G1449" s="49"/>
      <c r="H1449" s="50"/>
      <c r="I1449" s="49"/>
      <c r="J1449" s="166" t="s">
        <v>1744</v>
      </c>
      <c r="K1449" s="301" t="s">
        <v>1743</v>
      </c>
      <c r="L1449" s="49"/>
      <c r="M1449" s="49"/>
      <c r="N1449" s="49"/>
      <c r="O1449" s="49"/>
      <c r="P1449" s="49"/>
      <c r="Q1449" s="49"/>
      <c r="R1449" s="50"/>
    </row>
    <row r="1450" spans="1:18" ht="10.5" customHeight="1" x14ac:dyDescent="0.3">
      <c r="A1450" s="18"/>
      <c r="B1450" s="20"/>
      <c r="C1450" s="20"/>
      <c r="D1450" s="20"/>
      <c r="E1450" s="20"/>
      <c r="F1450" s="20"/>
      <c r="G1450" s="20"/>
      <c r="H1450" s="101"/>
      <c r="I1450" s="20"/>
      <c r="J1450" s="18"/>
      <c r="K1450" s="20"/>
      <c r="L1450" s="20"/>
      <c r="M1450" s="20"/>
      <c r="N1450" s="20"/>
      <c r="O1450" s="20"/>
      <c r="P1450" s="20"/>
      <c r="Q1450" s="20"/>
      <c r="R1450" s="101"/>
    </row>
    <row r="1451" spans="1:18" ht="10.5" customHeight="1" x14ac:dyDescent="0.3">
      <c r="A1451" s="306"/>
      <c r="B1451" s="20"/>
      <c r="C1451" s="20"/>
      <c r="D1451" s="20"/>
      <c r="E1451" s="20"/>
      <c r="F1451" s="20"/>
      <c r="G1451" s="20"/>
      <c r="H1451" s="101"/>
      <c r="I1451" s="20"/>
      <c r="J1451" s="18"/>
      <c r="K1451" s="20"/>
      <c r="L1451" s="20"/>
      <c r="M1451" s="20"/>
      <c r="N1451" s="20"/>
      <c r="O1451" s="20"/>
      <c r="P1451" s="20"/>
      <c r="Q1451" s="20"/>
      <c r="R1451" s="101"/>
    </row>
    <row r="1452" spans="1:18" ht="10.5" customHeight="1" x14ac:dyDescent="0.3">
      <c r="A1452" s="306"/>
      <c r="B1452" s="20"/>
      <c r="C1452" s="20"/>
      <c r="D1452" s="20"/>
      <c r="E1452" s="20"/>
      <c r="F1452" s="20"/>
      <c r="G1452" s="20"/>
      <c r="H1452" s="101"/>
      <c r="I1452" s="20"/>
      <c r="J1452" s="18"/>
      <c r="K1452" s="20"/>
      <c r="L1452" s="20"/>
      <c r="M1452" s="20"/>
      <c r="N1452" s="20"/>
      <c r="O1452" s="20"/>
      <c r="P1452" s="20"/>
      <c r="Q1452" s="20"/>
      <c r="R1452" s="101"/>
    </row>
    <row r="1453" spans="1:18" ht="10.5" customHeight="1" x14ac:dyDescent="0.3">
      <c r="A1453" s="306"/>
      <c r="B1453" s="20"/>
      <c r="C1453" s="20"/>
      <c r="D1453" s="20"/>
      <c r="E1453" s="20"/>
      <c r="F1453" s="20"/>
      <c r="G1453" s="20"/>
      <c r="H1453" s="101"/>
      <c r="I1453" s="20"/>
      <c r="J1453" s="18"/>
      <c r="K1453" s="20"/>
      <c r="L1453" s="20"/>
      <c r="M1453" s="20"/>
      <c r="N1453" s="20"/>
      <c r="O1453" s="20"/>
      <c r="P1453" s="20"/>
      <c r="Q1453" s="20"/>
      <c r="R1453" s="101"/>
    </row>
    <row r="1454" spans="1:18" ht="10.5" customHeight="1" x14ac:dyDescent="0.3">
      <c r="A1454" s="262" t="s">
        <v>1745</v>
      </c>
      <c r="B1454" s="83"/>
      <c r="C1454" s="20"/>
      <c r="D1454" s="20"/>
      <c r="E1454" s="20"/>
      <c r="F1454" s="20"/>
      <c r="G1454" s="20"/>
      <c r="H1454" s="116"/>
      <c r="I1454" s="20"/>
      <c r="J1454" s="263" t="s">
        <v>1382</v>
      </c>
      <c r="K1454" s="83"/>
      <c r="L1454" s="83"/>
      <c r="M1454" s="83"/>
      <c r="N1454" s="83"/>
      <c r="O1454" s="20"/>
      <c r="P1454" s="20"/>
      <c r="Q1454" s="20"/>
      <c r="R1454" s="101"/>
    </row>
    <row r="1455" spans="1:18" ht="10.5" customHeight="1" x14ac:dyDescent="0.3">
      <c r="A1455" s="446" t="s">
        <v>78</v>
      </c>
      <c r="B1455" s="446" t="s">
        <v>79</v>
      </c>
      <c r="C1455" s="446"/>
      <c r="D1455" s="446"/>
      <c r="E1455" s="447" t="s">
        <v>80</v>
      </c>
      <c r="F1455" s="15"/>
      <c r="G1455" s="16" t="s">
        <v>81</v>
      </c>
      <c r="H1455" s="17" t="s">
        <v>82</v>
      </c>
      <c r="I1455" s="20"/>
      <c r="J1455" s="446" t="s">
        <v>78</v>
      </c>
      <c r="K1455" s="446" t="s">
        <v>79</v>
      </c>
      <c r="L1455" s="446"/>
      <c r="M1455" s="446"/>
      <c r="N1455" s="447" t="s">
        <v>80</v>
      </c>
      <c r="O1455" s="14"/>
      <c r="P1455" s="15"/>
      <c r="Q1455" s="16" t="s">
        <v>81</v>
      </c>
      <c r="R1455" s="17" t="s">
        <v>82</v>
      </c>
    </row>
    <row r="1456" spans="1:18" ht="10.5" customHeight="1" x14ac:dyDescent="0.3">
      <c r="A1456" s="446"/>
      <c r="B1456" s="446"/>
      <c r="C1456" s="446"/>
      <c r="D1456" s="446"/>
      <c r="E1456" s="447"/>
      <c r="F1456" s="19"/>
      <c r="G1456" s="15" t="s">
        <v>84</v>
      </c>
      <c r="H1456" s="15" t="s">
        <v>84</v>
      </c>
      <c r="I1456" s="20"/>
      <c r="J1456" s="446"/>
      <c r="K1456" s="446"/>
      <c r="L1456" s="446"/>
      <c r="M1456" s="446"/>
      <c r="N1456" s="447"/>
      <c r="O1456" s="14"/>
      <c r="P1456" s="19"/>
      <c r="Q1456" s="15" t="s">
        <v>84</v>
      </c>
      <c r="R1456" s="15" t="s">
        <v>84</v>
      </c>
    </row>
    <row r="1457" spans="1:18" ht="10.5" customHeight="1" x14ac:dyDescent="0.3">
      <c r="A1457" s="266" t="s">
        <v>1746</v>
      </c>
      <c r="B1457" s="167"/>
      <c r="C1457" s="271" t="s">
        <v>1693</v>
      </c>
      <c r="D1457" s="272">
        <v>4</v>
      </c>
      <c r="E1457" s="87">
        <v>1000</v>
      </c>
      <c r="F1457" s="78">
        <v>0.23608000000000001</v>
      </c>
      <c r="G1457" s="113">
        <f t="shared" ref="G1457:G1467" si="201">F1457*$F$10</f>
        <v>10.151440000000001</v>
      </c>
      <c r="H1457" s="28">
        <f t="shared" ref="H1457:H1467" si="202">G1457-G1457*0.2</f>
        <v>8.1211520000000004</v>
      </c>
      <c r="I1457" s="20"/>
      <c r="J1457" s="266">
        <v>131010004</v>
      </c>
      <c r="K1457" s="167"/>
      <c r="L1457" s="271" t="s">
        <v>1693</v>
      </c>
      <c r="M1457" s="272">
        <v>4</v>
      </c>
      <c r="N1457" s="87" t="s">
        <v>170</v>
      </c>
      <c r="O1457" s="87"/>
      <c r="P1457" s="78">
        <v>0.57999999999999996</v>
      </c>
      <c r="Q1457" s="113">
        <f t="shared" ref="Q1457:Q1466" si="203">P1457*$F$10</f>
        <v>24.939999999999998</v>
      </c>
      <c r="R1457" s="72">
        <f t="shared" ref="R1457:R1466" si="204">Q1457-Q1457*0.2</f>
        <v>19.951999999999998</v>
      </c>
    </row>
    <row r="1458" spans="1:18" ht="10.5" customHeight="1" x14ac:dyDescent="0.3">
      <c r="A1458" s="260" t="s">
        <v>1747</v>
      </c>
      <c r="B1458" s="51"/>
      <c r="C1458" s="277" t="s">
        <v>1693</v>
      </c>
      <c r="D1458" s="312">
        <v>5</v>
      </c>
      <c r="E1458" s="94">
        <v>1000</v>
      </c>
      <c r="F1458" s="26">
        <v>0.27847</v>
      </c>
      <c r="G1458" s="111">
        <f t="shared" si="201"/>
        <v>11.974209999999999</v>
      </c>
      <c r="H1458" s="28">
        <f t="shared" si="202"/>
        <v>9.5793679999999988</v>
      </c>
      <c r="I1458" s="20"/>
      <c r="J1458" s="266">
        <v>131010005</v>
      </c>
      <c r="K1458" s="167"/>
      <c r="L1458" s="271" t="s">
        <v>1693</v>
      </c>
      <c r="M1458" s="272">
        <v>5</v>
      </c>
      <c r="N1458" s="87" t="s">
        <v>170</v>
      </c>
      <c r="O1458" s="87"/>
      <c r="P1458" s="78">
        <v>0.7</v>
      </c>
      <c r="Q1458" s="113">
        <f t="shared" si="203"/>
        <v>30.099999999999998</v>
      </c>
      <c r="R1458" s="72">
        <f t="shared" si="204"/>
        <v>24.08</v>
      </c>
    </row>
    <row r="1459" spans="1:18" ht="10.5" customHeight="1" x14ac:dyDescent="0.3">
      <c r="A1459" s="260" t="s">
        <v>1748</v>
      </c>
      <c r="B1459" s="167"/>
      <c r="C1459" s="271" t="s">
        <v>1693</v>
      </c>
      <c r="D1459" s="272">
        <v>6</v>
      </c>
      <c r="E1459" s="94">
        <v>1000</v>
      </c>
      <c r="F1459" s="26">
        <v>0.52810000000000001</v>
      </c>
      <c r="G1459" s="111">
        <f t="shared" si="201"/>
        <v>22.708300000000001</v>
      </c>
      <c r="H1459" s="28">
        <f t="shared" si="202"/>
        <v>18.166640000000001</v>
      </c>
      <c r="I1459" s="20"/>
      <c r="J1459" s="266">
        <v>131010006</v>
      </c>
      <c r="K1459" s="167"/>
      <c r="L1459" s="271" t="s">
        <v>1693</v>
      </c>
      <c r="M1459" s="272">
        <v>6</v>
      </c>
      <c r="N1459" s="87" t="s">
        <v>170</v>
      </c>
      <c r="O1459" s="87"/>
      <c r="P1459" s="78">
        <v>1.36</v>
      </c>
      <c r="Q1459" s="113">
        <f t="shared" si="203"/>
        <v>58.480000000000004</v>
      </c>
      <c r="R1459" s="72">
        <f t="shared" si="204"/>
        <v>46.784000000000006</v>
      </c>
    </row>
    <row r="1460" spans="1:18" ht="10.5" customHeight="1" x14ac:dyDescent="0.3">
      <c r="A1460" s="260" t="s">
        <v>1749</v>
      </c>
      <c r="B1460" s="51"/>
      <c r="C1460" s="277" t="s">
        <v>1693</v>
      </c>
      <c r="D1460" s="312">
        <v>8</v>
      </c>
      <c r="E1460" s="94" t="s">
        <v>88</v>
      </c>
      <c r="F1460" s="26">
        <v>0.87349999999999994</v>
      </c>
      <c r="G1460" s="111">
        <f t="shared" si="201"/>
        <v>37.560499999999998</v>
      </c>
      <c r="H1460" s="28">
        <f t="shared" si="202"/>
        <v>30.048399999999997</v>
      </c>
      <c r="I1460" s="20"/>
      <c r="J1460" s="260">
        <v>131010008</v>
      </c>
      <c r="K1460" s="51"/>
      <c r="L1460" s="277" t="s">
        <v>1693</v>
      </c>
      <c r="M1460" s="312">
        <v>8</v>
      </c>
      <c r="N1460" s="94">
        <v>500</v>
      </c>
      <c r="O1460" s="94"/>
      <c r="P1460" s="26">
        <v>2.11</v>
      </c>
      <c r="Q1460" s="111">
        <f t="shared" si="203"/>
        <v>90.72999999999999</v>
      </c>
      <c r="R1460" s="28">
        <f t="shared" si="204"/>
        <v>72.583999999999989</v>
      </c>
    </row>
    <row r="1461" spans="1:18" ht="10.5" customHeight="1" x14ac:dyDescent="0.3">
      <c r="A1461" s="260" t="s">
        <v>1750</v>
      </c>
      <c r="B1461" s="167"/>
      <c r="C1461" s="271" t="s">
        <v>1693</v>
      </c>
      <c r="D1461" s="272">
        <v>10</v>
      </c>
      <c r="E1461" s="94">
        <v>500</v>
      </c>
      <c r="F1461" s="26">
        <v>1.6371</v>
      </c>
      <c r="G1461" s="111">
        <f t="shared" si="201"/>
        <v>70.395300000000006</v>
      </c>
      <c r="H1461" s="28">
        <f t="shared" si="202"/>
        <v>56.316240000000008</v>
      </c>
      <c r="I1461" s="20"/>
      <c r="J1461" s="260">
        <v>131010010</v>
      </c>
      <c r="K1461" s="167"/>
      <c r="L1461" s="271" t="s">
        <v>1693</v>
      </c>
      <c r="M1461" s="272">
        <v>10</v>
      </c>
      <c r="N1461" s="94">
        <v>500</v>
      </c>
      <c r="O1461" s="94"/>
      <c r="P1461" s="26">
        <v>4.0999999999999996</v>
      </c>
      <c r="Q1461" s="111">
        <f t="shared" si="203"/>
        <v>176.29999999999998</v>
      </c>
      <c r="R1461" s="28">
        <f t="shared" si="204"/>
        <v>141.04</v>
      </c>
    </row>
    <row r="1462" spans="1:18" ht="10.5" customHeight="1" x14ac:dyDescent="0.3">
      <c r="A1462" s="260" t="s">
        <v>1751</v>
      </c>
      <c r="B1462" s="167"/>
      <c r="C1462" s="271" t="s">
        <v>1693</v>
      </c>
      <c r="D1462" s="272">
        <v>12</v>
      </c>
      <c r="E1462" s="94" t="s">
        <v>101</v>
      </c>
      <c r="F1462" s="26">
        <v>2.3533165</v>
      </c>
      <c r="G1462" s="111">
        <f t="shared" si="201"/>
        <v>101.1926095</v>
      </c>
      <c r="H1462" s="28">
        <f t="shared" si="202"/>
        <v>80.954087600000008</v>
      </c>
      <c r="I1462" s="20"/>
      <c r="J1462" s="260">
        <v>131010012</v>
      </c>
      <c r="K1462" s="167"/>
      <c r="L1462" s="271" t="s">
        <v>1693</v>
      </c>
      <c r="M1462" s="272">
        <v>12</v>
      </c>
      <c r="N1462" s="94" t="s">
        <v>101</v>
      </c>
      <c r="O1462" s="94"/>
      <c r="P1462" s="26">
        <v>7.49</v>
      </c>
      <c r="Q1462" s="111">
        <f t="shared" si="203"/>
        <v>322.07</v>
      </c>
      <c r="R1462" s="28">
        <f t="shared" si="204"/>
        <v>257.65600000000001</v>
      </c>
    </row>
    <row r="1463" spans="1:18" ht="10.5" customHeight="1" x14ac:dyDescent="0.3">
      <c r="A1463" s="260" t="s">
        <v>1752</v>
      </c>
      <c r="B1463" s="167"/>
      <c r="C1463" s="271" t="s">
        <v>1693</v>
      </c>
      <c r="D1463" s="272">
        <v>14</v>
      </c>
      <c r="E1463" s="94" t="s">
        <v>101</v>
      </c>
      <c r="F1463" s="26">
        <v>3.8079999999999994</v>
      </c>
      <c r="G1463" s="111">
        <f t="shared" si="201"/>
        <v>163.74399999999997</v>
      </c>
      <c r="H1463" s="28">
        <f t="shared" si="202"/>
        <v>130.99519999999998</v>
      </c>
      <c r="I1463" s="20"/>
      <c r="J1463" s="260">
        <v>131010014</v>
      </c>
      <c r="K1463" s="167"/>
      <c r="L1463" s="271" t="s">
        <v>1693</v>
      </c>
      <c r="M1463" s="272">
        <v>14</v>
      </c>
      <c r="N1463" s="94" t="s">
        <v>101</v>
      </c>
      <c r="O1463" s="94"/>
      <c r="P1463" s="26">
        <v>11.04</v>
      </c>
      <c r="Q1463" s="111">
        <f t="shared" si="203"/>
        <v>474.71999999999997</v>
      </c>
      <c r="R1463" s="28">
        <f t="shared" si="204"/>
        <v>379.77599999999995</v>
      </c>
    </row>
    <row r="1464" spans="1:18" ht="10.5" customHeight="1" x14ac:dyDescent="0.3">
      <c r="A1464" s="260" t="s">
        <v>1753</v>
      </c>
      <c r="B1464" s="167"/>
      <c r="C1464" s="271" t="s">
        <v>1693</v>
      </c>
      <c r="D1464" s="272">
        <v>16</v>
      </c>
      <c r="E1464" s="94" t="s">
        <v>126</v>
      </c>
      <c r="F1464" s="26">
        <v>4.9336666666666664</v>
      </c>
      <c r="G1464" s="111">
        <f t="shared" si="201"/>
        <v>212.14766666666665</v>
      </c>
      <c r="H1464" s="28">
        <f t="shared" si="202"/>
        <v>169.71813333333333</v>
      </c>
      <c r="I1464" s="20"/>
      <c r="J1464" s="260">
        <v>131010016</v>
      </c>
      <c r="K1464" s="167"/>
      <c r="L1464" s="271" t="s">
        <v>1693</v>
      </c>
      <c r="M1464" s="272">
        <v>16</v>
      </c>
      <c r="N1464" s="94" t="s">
        <v>101</v>
      </c>
      <c r="O1464" s="94"/>
      <c r="P1464" s="26">
        <v>14.18</v>
      </c>
      <c r="Q1464" s="111">
        <f t="shared" si="203"/>
        <v>609.74</v>
      </c>
      <c r="R1464" s="28">
        <f t="shared" si="204"/>
        <v>487.79200000000003</v>
      </c>
    </row>
    <row r="1465" spans="1:18" ht="10.5" customHeight="1" x14ac:dyDescent="0.3">
      <c r="A1465" s="260" t="s">
        <v>1754</v>
      </c>
      <c r="B1465" s="167"/>
      <c r="C1465" s="271" t="s">
        <v>1693</v>
      </c>
      <c r="D1465" s="272">
        <v>18</v>
      </c>
      <c r="E1465" s="94" t="s">
        <v>126</v>
      </c>
      <c r="F1465" s="26">
        <v>6.035470238095237</v>
      </c>
      <c r="G1465" s="111">
        <f t="shared" si="201"/>
        <v>259.52522023809519</v>
      </c>
      <c r="H1465" s="28">
        <f t="shared" si="202"/>
        <v>207.62017619047614</v>
      </c>
      <c r="I1465" s="20"/>
      <c r="J1465" s="260">
        <v>131010018</v>
      </c>
      <c r="K1465" s="167"/>
      <c r="L1465" s="271" t="s">
        <v>1693</v>
      </c>
      <c r="M1465" s="272">
        <v>18</v>
      </c>
      <c r="N1465" s="94" t="s">
        <v>101</v>
      </c>
      <c r="O1465" s="94"/>
      <c r="P1465" s="26">
        <v>16.54</v>
      </c>
      <c r="Q1465" s="111">
        <f t="shared" si="203"/>
        <v>711.21999999999991</v>
      </c>
      <c r="R1465" s="28">
        <f t="shared" si="204"/>
        <v>568.97599999999989</v>
      </c>
    </row>
    <row r="1466" spans="1:18" ht="10.5" customHeight="1" x14ac:dyDescent="0.3">
      <c r="A1466" s="260" t="s">
        <v>1755</v>
      </c>
      <c r="B1466" s="51"/>
      <c r="C1466" s="277" t="s">
        <v>1693</v>
      </c>
      <c r="D1466" s="312">
        <v>20</v>
      </c>
      <c r="E1466" s="94">
        <v>100</v>
      </c>
      <c r="F1466" s="26">
        <v>7.3219999999999983</v>
      </c>
      <c r="G1466" s="111">
        <f t="shared" si="201"/>
        <v>314.84599999999995</v>
      </c>
      <c r="H1466" s="28">
        <f t="shared" si="202"/>
        <v>251.87679999999995</v>
      </c>
      <c r="I1466" s="20"/>
      <c r="J1466" s="260">
        <v>131010020</v>
      </c>
      <c r="K1466" s="167"/>
      <c r="L1466" s="271" t="s">
        <v>1693</v>
      </c>
      <c r="M1466" s="272">
        <v>20</v>
      </c>
      <c r="N1466" s="94" t="s">
        <v>101</v>
      </c>
      <c r="O1466" s="94"/>
      <c r="P1466" s="26">
        <v>18.89</v>
      </c>
      <c r="Q1466" s="111">
        <f t="shared" si="203"/>
        <v>812.27</v>
      </c>
      <c r="R1466" s="28">
        <f t="shared" si="204"/>
        <v>649.81600000000003</v>
      </c>
    </row>
    <row r="1467" spans="1:18" ht="10.5" customHeight="1" x14ac:dyDescent="0.3">
      <c r="A1467" s="266" t="s">
        <v>1756</v>
      </c>
      <c r="B1467" s="167"/>
      <c r="C1467" s="271" t="s">
        <v>1693</v>
      </c>
      <c r="D1467" s="272">
        <v>24</v>
      </c>
      <c r="E1467" s="87">
        <v>100</v>
      </c>
      <c r="F1467" s="78">
        <v>13.287999999999998</v>
      </c>
      <c r="G1467" s="113">
        <f t="shared" si="201"/>
        <v>571.3839999999999</v>
      </c>
      <c r="H1467" s="72">
        <f t="shared" si="202"/>
        <v>457.10719999999992</v>
      </c>
      <c r="I1467" s="55"/>
      <c r="J1467" s="83"/>
      <c r="K1467" s="83"/>
      <c r="L1467" s="83"/>
      <c r="M1467" s="83"/>
      <c r="N1467" s="83"/>
      <c r="O1467" s="83"/>
      <c r="P1467" s="83"/>
      <c r="Q1467" s="83"/>
      <c r="R1467" s="116"/>
    </row>
    <row r="1468" spans="1:18" ht="10.5" customHeight="1" x14ac:dyDescent="0.3">
      <c r="A1468" s="327"/>
      <c r="B1468" s="40"/>
      <c r="C1468" s="274"/>
      <c r="D1468" s="275"/>
      <c r="E1468" s="97"/>
      <c r="F1468" s="44"/>
      <c r="G1468" s="46"/>
      <c r="H1468" s="46"/>
      <c r="I1468" s="20"/>
      <c r="J1468" s="20"/>
      <c r="K1468" s="20"/>
      <c r="L1468" s="20"/>
      <c r="M1468" s="20"/>
      <c r="N1468" s="20"/>
      <c r="O1468" s="20"/>
      <c r="P1468" s="20"/>
      <c r="Q1468" s="20"/>
      <c r="R1468" s="20"/>
    </row>
    <row r="1469" spans="1:18" ht="10.5" customHeight="1" x14ac:dyDescent="0.3">
      <c r="A1469" s="166" t="s">
        <v>1757</v>
      </c>
      <c r="B1469" s="301" t="s">
        <v>1758</v>
      </c>
      <c r="C1469" s="49"/>
      <c r="D1469" s="49"/>
      <c r="E1469" s="49"/>
      <c r="F1469" s="49"/>
      <c r="G1469" s="49"/>
      <c r="H1469" s="50"/>
      <c r="I1469" s="49"/>
      <c r="J1469" s="166" t="s">
        <v>1759</v>
      </c>
      <c r="K1469" s="301" t="s">
        <v>1758</v>
      </c>
      <c r="L1469" s="49"/>
      <c r="M1469" s="49"/>
      <c r="N1469" s="49"/>
      <c r="O1469" s="49"/>
      <c r="P1469" s="49"/>
      <c r="Q1469" s="49"/>
      <c r="R1469" s="50"/>
    </row>
    <row r="1470" spans="1:18" ht="10.5" customHeight="1" x14ac:dyDescent="0.3">
      <c r="A1470" s="18"/>
      <c r="B1470" s="20"/>
      <c r="C1470" s="20"/>
      <c r="D1470" s="20"/>
      <c r="E1470" s="20"/>
      <c r="F1470" s="20"/>
      <c r="G1470" s="20"/>
      <c r="H1470" s="101"/>
      <c r="I1470" s="20"/>
      <c r="J1470" s="18"/>
      <c r="K1470" s="20"/>
      <c r="L1470" s="20"/>
      <c r="M1470" s="20"/>
      <c r="N1470" s="20"/>
      <c r="O1470" s="20"/>
      <c r="P1470" s="20"/>
      <c r="Q1470" s="20"/>
      <c r="R1470" s="101"/>
    </row>
    <row r="1471" spans="1:18" ht="10.5" customHeight="1" x14ac:dyDescent="0.3">
      <c r="A1471" s="18"/>
      <c r="B1471" s="20"/>
      <c r="C1471" s="20"/>
      <c r="D1471" s="20"/>
      <c r="E1471" s="20"/>
      <c r="F1471" s="20"/>
      <c r="G1471" s="20"/>
      <c r="H1471" s="101"/>
      <c r="I1471" s="20"/>
      <c r="J1471" s="18"/>
      <c r="K1471" s="20"/>
      <c r="L1471" s="20"/>
      <c r="M1471" s="20"/>
      <c r="N1471" s="20"/>
      <c r="O1471" s="20"/>
      <c r="P1471" s="20"/>
      <c r="Q1471" s="20"/>
      <c r="R1471" s="101"/>
    </row>
    <row r="1472" spans="1:18" ht="10.5" customHeight="1" x14ac:dyDescent="0.3">
      <c r="A1472" s="311"/>
      <c r="B1472" s="20"/>
      <c r="C1472" s="20"/>
      <c r="D1472" s="20"/>
      <c r="E1472" s="20"/>
      <c r="F1472" s="20"/>
      <c r="G1472" s="20"/>
      <c r="H1472" s="101"/>
      <c r="I1472" s="20"/>
      <c r="J1472" s="18"/>
      <c r="K1472" s="20"/>
      <c r="L1472" s="20"/>
      <c r="M1472" s="20"/>
      <c r="N1472" s="20"/>
      <c r="O1472" s="20"/>
      <c r="P1472" s="20"/>
      <c r="Q1472" s="20"/>
      <c r="R1472" s="101"/>
    </row>
    <row r="1473" spans="1:18" ht="10.5" customHeight="1" x14ac:dyDescent="0.3">
      <c r="A1473" s="18"/>
      <c r="B1473" s="20"/>
      <c r="C1473" s="20"/>
      <c r="D1473" s="20"/>
      <c r="E1473" s="20"/>
      <c r="F1473" s="20"/>
      <c r="G1473" s="20"/>
      <c r="H1473" s="101"/>
      <c r="I1473" s="20"/>
      <c r="J1473" s="18"/>
      <c r="K1473" s="20"/>
      <c r="L1473" s="20"/>
      <c r="M1473" s="20"/>
      <c r="N1473" s="20"/>
      <c r="O1473" s="20"/>
      <c r="P1473" s="20"/>
      <c r="Q1473" s="20"/>
      <c r="R1473" s="101"/>
    </row>
    <row r="1474" spans="1:18" ht="10.5" customHeight="1" x14ac:dyDescent="0.3">
      <c r="A1474" s="262" t="s">
        <v>1745</v>
      </c>
      <c r="B1474" s="20"/>
      <c r="C1474" s="20"/>
      <c r="D1474" s="20"/>
      <c r="E1474" s="20"/>
      <c r="F1474" s="20"/>
      <c r="G1474" s="20"/>
      <c r="H1474" s="101"/>
      <c r="I1474" s="20"/>
      <c r="J1474" s="328" t="s">
        <v>1382</v>
      </c>
      <c r="K1474" s="83"/>
      <c r="L1474" s="83"/>
      <c r="M1474" s="83"/>
      <c r="N1474" s="83"/>
      <c r="O1474" s="20"/>
      <c r="P1474" s="20"/>
      <c r="Q1474" s="20"/>
      <c r="R1474" s="101"/>
    </row>
    <row r="1475" spans="1:18" ht="10.5" customHeight="1" x14ac:dyDescent="0.3">
      <c r="A1475" s="446" t="s">
        <v>78</v>
      </c>
      <c r="B1475" s="446" t="s">
        <v>79</v>
      </c>
      <c r="C1475" s="446"/>
      <c r="D1475" s="446"/>
      <c r="E1475" s="447" t="s">
        <v>80</v>
      </c>
      <c r="F1475" s="15"/>
      <c r="G1475" s="16" t="s">
        <v>81</v>
      </c>
      <c r="H1475" s="17" t="s">
        <v>82</v>
      </c>
      <c r="I1475" s="20"/>
      <c r="J1475" s="446" t="s">
        <v>78</v>
      </c>
      <c r="K1475" s="446" t="s">
        <v>79</v>
      </c>
      <c r="L1475" s="446"/>
      <c r="M1475" s="446"/>
      <c r="N1475" s="447" t="s">
        <v>80</v>
      </c>
      <c r="O1475" s="14"/>
      <c r="P1475" s="15"/>
      <c r="Q1475" s="16" t="s">
        <v>81</v>
      </c>
      <c r="R1475" s="17" t="s">
        <v>82</v>
      </c>
    </row>
    <row r="1476" spans="1:18" ht="10.5" customHeight="1" x14ac:dyDescent="0.3">
      <c r="A1476" s="446"/>
      <c r="B1476" s="446"/>
      <c r="C1476" s="446"/>
      <c r="D1476" s="446"/>
      <c r="E1476" s="447"/>
      <c r="F1476" s="19"/>
      <c r="G1476" s="15" t="s">
        <v>84</v>
      </c>
      <c r="H1476" s="15" t="s">
        <v>84</v>
      </c>
      <c r="I1476" s="20"/>
      <c r="J1476" s="446"/>
      <c r="K1476" s="446"/>
      <c r="L1476" s="446"/>
      <c r="M1476" s="446"/>
      <c r="N1476" s="447"/>
      <c r="O1476" s="14"/>
      <c r="P1476" s="19"/>
      <c r="Q1476" s="15" t="s">
        <v>84</v>
      </c>
      <c r="R1476" s="15" t="s">
        <v>84</v>
      </c>
    </row>
    <row r="1477" spans="1:18" ht="10.5" customHeight="1" x14ac:dyDescent="0.3">
      <c r="A1477" s="266" t="s">
        <v>1760</v>
      </c>
      <c r="B1477" s="167"/>
      <c r="C1477" s="271" t="s">
        <v>1693</v>
      </c>
      <c r="D1477" s="272">
        <v>4</v>
      </c>
      <c r="E1477" s="87" t="s">
        <v>170</v>
      </c>
      <c r="F1477" s="78">
        <v>0.14028617886178862</v>
      </c>
      <c r="G1477" s="113">
        <f t="shared" ref="G1477:G1487" si="205">F1477*$F$10</f>
        <v>6.0323056910569104</v>
      </c>
      <c r="H1477" s="28">
        <f t="shared" ref="H1477:H1487" si="206">G1477-G1477*0.2</f>
        <v>4.8258445528455285</v>
      </c>
      <c r="I1477" s="20"/>
      <c r="J1477" s="320" t="s">
        <v>1761</v>
      </c>
      <c r="K1477" s="51"/>
      <c r="L1477" s="277" t="s">
        <v>1693</v>
      </c>
      <c r="M1477" s="312">
        <v>5</v>
      </c>
      <c r="N1477" s="94" t="s">
        <v>170</v>
      </c>
      <c r="O1477" s="94"/>
      <c r="P1477" s="26">
        <v>0.65</v>
      </c>
      <c r="Q1477" s="28">
        <f t="shared" ref="Q1477:Q1484" si="207">P1477*$F$10</f>
        <v>27.95</v>
      </c>
      <c r="R1477" s="28">
        <f t="shared" ref="R1477:R1484" si="208">Q1477-Q1477*0.2</f>
        <v>22.36</v>
      </c>
    </row>
    <row r="1478" spans="1:18" ht="10.5" customHeight="1" x14ac:dyDescent="0.3">
      <c r="A1478" s="260" t="s">
        <v>1762</v>
      </c>
      <c r="B1478" s="167"/>
      <c r="C1478" s="271" t="s">
        <v>1693</v>
      </c>
      <c r="D1478" s="272">
        <v>5</v>
      </c>
      <c r="E1478" s="94" t="s">
        <v>170</v>
      </c>
      <c r="F1478" s="26">
        <v>0.25622195121951219</v>
      </c>
      <c r="G1478" s="111">
        <f t="shared" si="205"/>
        <v>11.017543902439025</v>
      </c>
      <c r="H1478" s="28">
        <f t="shared" si="206"/>
        <v>8.8140351219512194</v>
      </c>
      <c r="I1478" s="20"/>
      <c r="J1478" s="320" t="s">
        <v>1763</v>
      </c>
      <c r="K1478" s="51"/>
      <c r="L1478" s="277" t="s">
        <v>1693</v>
      </c>
      <c r="M1478" s="312">
        <v>6</v>
      </c>
      <c r="N1478" s="94" t="s">
        <v>170</v>
      </c>
      <c r="O1478" s="94"/>
      <c r="P1478" s="26">
        <v>0.75</v>
      </c>
      <c r="Q1478" s="28">
        <f t="shared" si="207"/>
        <v>32.25</v>
      </c>
      <c r="R1478" s="28">
        <f t="shared" si="208"/>
        <v>25.8</v>
      </c>
    </row>
    <row r="1479" spans="1:18" ht="10.5" customHeight="1" x14ac:dyDescent="0.3">
      <c r="A1479" s="260" t="s">
        <v>1764</v>
      </c>
      <c r="B1479" s="167"/>
      <c r="C1479" s="271" t="s">
        <v>1693</v>
      </c>
      <c r="D1479" s="272">
        <v>6</v>
      </c>
      <c r="E1479" s="94" t="s">
        <v>170</v>
      </c>
      <c r="F1479" s="26">
        <v>0.25122195121951219</v>
      </c>
      <c r="G1479" s="111">
        <f t="shared" si="205"/>
        <v>10.802543902439023</v>
      </c>
      <c r="H1479" s="28">
        <f t="shared" si="206"/>
        <v>8.6420351219512188</v>
      </c>
      <c r="I1479" s="20"/>
      <c r="J1479" s="320" t="s">
        <v>1765</v>
      </c>
      <c r="K1479" s="167"/>
      <c r="L1479" s="271" t="s">
        <v>1693</v>
      </c>
      <c r="M1479" s="272">
        <v>8</v>
      </c>
      <c r="N1479" s="94" t="s">
        <v>170</v>
      </c>
      <c r="O1479" s="94"/>
      <c r="P1479" s="26">
        <v>1.41</v>
      </c>
      <c r="Q1479" s="111">
        <f t="shared" si="207"/>
        <v>60.629999999999995</v>
      </c>
      <c r="R1479" s="28">
        <f t="shared" si="208"/>
        <v>48.503999999999998</v>
      </c>
    </row>
    <row r="1480" spans="1:18" ht="10.5" customHeight="1" x14ac:dyDescent="0.3">
      <c r="A1480" s="260" t="s">
        <v>1766</v>
      </c>
      <c r="B1480" s="167"/>
      <c r="C1480" s="271" t="s">
        <v>1693</v>
      </c>
      <c r="D1480" s="272">
        <v>8</v>
      </c>
      <c r="E1480" s="94">
        <v>1000</v>
      </c>
      <c r="F1480" s="26">
        <v>0.55605365853658528</v>
      </c>
      <c r="G1480" s="111">
        <f t="shared" si="205"/>
        <v>23.910307317073165</v>
      </c>
      <c r="H1480" s="28">
        <f t="shared" si="206"/>
        <v>19.128245853658534</v>
      </c>
      <c r="I1480" s="20"/>
      <c r="J1480" s="320" t="s">
        <v>1767</v>
      </c>
      <c r="K1480" s="167"/>
      <c r="L1480" s="271" t="s">
        <v>1693</v>
      </c>
      <c r="M1480" s="272">
        <v>10</v>
      </c>
      <c r="N1480" s="94" t="s">
        <v>88</v>
      </c>
      <c r="O1480" s="94"/>
      <c r="P1480" s="26">
        <v>2.66</v>
      </c>
      <c r="Q1480" s="111">
        <f t="shared" si="207"/>
        <v>114.38000000000001</v>
      </c>
      <c r="R1480" s="28">
        <f t="shared" si="208"/>
        <v>91.504000000000005</v>
      </c>
    </row>
    <row r="1481" spans="1:18" ht="10.5" customHeight="1" x14ac:dyDescent="0.3">
      <c r="A1481" s="260" t="s">
        <v>1768</v>
      </c>
      <c r="B1481" s="167"/>
      <c r="C1481" s="271" t="s">
        <v>1693</v>
      </c>
      <c r="D1481" s="272">
        <v>10</v>
      </c>
      <c r="E1481" s="94">
        <v>500</v>
      </c>
      <c r="F1481" s="26">
        <v>1.0198219512195121</v>
      </c>
      <c r="G1481" s="111">
        <f t="shared" si="205"/>
        <v>43.852343902439024</v>
      </c>
      <c r="H1481" s="28">
        <f t="shared" si="206"/>
        <v>35.081875121951221</v>
      </c>
      <c r="I1481" s="20"/>
      <c r="J1481" s="321" t="s">
        <v>1769</v>
      </c>
      <c r="K1481" s="22"/>
      <c r="L1481" s="277" t="s">
        <v>1693</v>
      </c>
      <c r="M1481" s="218">
        <v>12</v>
      </c>
      <c r="N1481" s="93" t="s">
        <v>88</v>
      </c>
      <c r="O1481" s="93"/>
      <c r="P1481" s="36">
        <v>2.72</v>
      </c>
      <c r="Q1481" s="111">
        <f t="shared" si="207"/>
        <v>116.96000000000001</v>
      </c>
      <c r="R1481" s="28">
        <f t="shared" si="208"/>
        <v>93.568000000000012</v>
      </c>
    </row>
    <row r="1482" spans="1:18" ht="10.5" customHeight="1" x14ac:dyDescent="0.3">
      <c r="A1482" s="267" t="s">
        <v>1770</v>
      </c>
      <c r="B1482" s="22"/>
      <c r="C1482" s="277" t="s">
        <v>1693</v>
      </c>
      <c r="D1482" s="218">
        <v>12</v>
      </c>
      <c r="E1482" s="93">
        <v>500</v>
      </c>
      <c r="F1482" s="36">
        <v>1.1737585365853658</v>
      </c>
      <c r="G1482" s="111">
        <f t="shared" si="205"/>
        <v>50.471617073170727</v>
      </c>
      <c r="H1482" s="28">
        <f t="shared" si="206"/>
        <v>40.37729365853658</v>
      </c>
      <c r="I1482" s="20"/>
      <c r="J1482" s="320" t="s">
        <v>1771</v>
      </c>
      <c r="K1482" s="22"/>
      <c r="L1482" s="277" t="s">
        <v>1693</v>
      </c>
      <c r="M1482" s="218">
        <v>14</v>
      </c>
      <c r="N1482" s="94" t="s">
        <v>88</v>
      </c>
      <c r="O1482" s="94"/>
      <c r="P1482" s="26">
        <v>5.04</v>
      </c>
      <c r="Q1482" s="111">
        <f t="shared" si="207"/>
        <v>216.72</v>
      </c>
      <c r="R1482" s="28">
        <f t="shared" si="208"/>
        <v>173.376</v>
      </c>
    </row>
    <row r="1483" spans="1:18" ht="10.5" customHeight="1" x14ac:dyDescent="0.3">
      <c r="A1483" s="267" t="s">
        <v>1772</v>
      </c>
      <c r="B1483" s="40"/>
      <c r="C1483" s="274" t="s">
        <v>1693</v>
      </c>
      <c r="D1483" s="275">
        <v>14</v>
      </c>
      <c r="E1483" s="93">
        <v>500</v>
      </c>
      <c r="F1483" s="36">
        <v>1.1737585365853658</v>
      </c>
      <c r="G1483" s="111">
        <f t="shared" si="205"/>
        <v>50.471617073170727</v>
      </c>
      <c r="H1483" s="28">
        <f t="shared" si="206"/>
        <v>40.37729365853658</v>
      </c>
      <c r="I1483" s="20"/>
      <c r="J1483" s="320" t="s">
        <v>1773</v>
      </c>
      <c r="K1483" s="22"/>
      <c r="L1483" s="277" t="s">
        <v>1693</v>
      </c>
      <c r="M1483" s="218">
        <v>16</v>
      </c>
      <c r="N1483" s="94" t="s">
        <v>101</v>
      </c>
      <c r="O1483" s="94"/>
      <c r="P1483" s="26">
        <v>7.74</v>
      </c>
      <c r="Q1483" s="111">
        <f t="shared" si="207"/>
        <v>332.82</v>
      </c>
      <c r="R1483" s="28">
        <f t="shared" si="208"/>
        <v>266.25599999999997</v>
      </c>
    </row>
    <row r="1484" spans="1:18" ht="10.5" customHeight="1" x14ac:dyDescent="0.3">
      <c r="A1484" s="329" t="s">
        <v>1774</v>
      </c>
      <c r="B1484" s="22"/>
      <c r="C1484" s="277" t="s">
        <v>1693</v>
      </c>
      <c r="D1484" s="218">
        <v>16</v>
      </c>
      <c r="E1484" s="330">
        <v>200</v>
      </c>
      <c r="F1484" s="26">
        <v>2.9724975609756092</v>
      </c>
      <c r="G1484" s="111">
        <f t="shared" si="205"/>
        <v>127.81739512195119</v>
      </c>
      <c r="H1484" s="28">
        <f t="shared" si="206"/>
        <v>102.25391609756096</v>
      </c>
      <c r="I1484" s="20"/>
      <c r="J1484" s="320" t="s">
        <v>1775</v>
      </c>
      <c r="K1484" s="22"/>
      <c r="L1484" s="277" t="s">
        <v>1693</v>
      </c>
      <c r="M1484" s="218">
        <v>20</v>
      </c>
      <c r="N1484" s="94" t="s">
        <v>126</v>
      </c>
      <c r="O1484" s="94"/>
      <c r="P1484" s="26">
        <v>12.66</v>
      </c>
      <c r="Q1484" s="111">
        <f t="shared" si="207"/>
        <v>544.38</v>
      </c>
      <c r="R1484" s="28">
        <f t="shared" si="208"/>
        <v>435.50400000000002</v>
      </c>
    </row>
    <row r="1485" spans="1:18" ht="10.5" customHeight="1" x14ac:dyDescent="0.3">
      <c r="A1485" s="331">
        <v>130020018</v>
      </c>
      <c r="B1485" s="22"/>
      <c r="C1485" s="277" t="s">
        <v>1693</v>
      </c>
      <c r="D1485" s="218">
        <v>18</v>
      </c>
      <c r="E1485" s="330">
        <v>200</v>
      </c>
      <c r="F1485" s="26">
        <v>3.2034024390243894</v>
      </c>
      <c r="G1485" s="111">
        <f t="shared" si="205"/>
        <v>137.74630487804873</v>
      </c>
      <c r="H1485" s="28">
        <f t="shared" si="206"/>
        <v>110.19704390243899</v>
      </c>
      <c r="I1485" s="20"/>
      <c r="J1485" s="20"/>
      <c r="K1485" s="20"/>
      <c r="L1485" s="20"/>
      <c r="M1485" s="20"/>
      <c r="N1485" s="20"/>
      <c r="O1485" s="20"/>
      <c r="P1485" s="20"/>
      <c r="Q1485" s="20"/>
      <c r="R1485" s="101"/>
    </row>
    <row r="1486" spans="1:18" ht="10.5" customHeight="1" x14ac:dyDescent="0.3">
      <c r="A1486" s="260" t="s">
        <v>1776</v>
      </c>
      <c r="B1486" s="51"/>
      <c r="C1486" s="277" t="s">
        <v>1693</v>
      </c>
      <c r="D1486" s="312">
        <v>20</v>
      </c>
      <c r="E1486" s="94" t="s">
        <v>101</v>
      </c>
      <c r="F1486" s="26">
        <v>6.1258999999999988</v>
      </c>
      <c r="G1486" s="111">
        <f t="shared" si="205"/>
        <v>263.41369999999995</v>
      </c>
      <c r="H1486" s="28">
        <f t="shared" si="206"/>
        <v>210.73095999999995</v>
      </c>
      <c r="I1486" s="20"/>
      <c r="J1486" s="20"/>
      <c r="K1486" s="20"/>
      <c r="L1486" s="20"/>
      <c r="M1486" s="20"/>
      <c r="N1486" s="20"/>
      <c r="O1486" s="20"/>
      <c r="P1486" s="20"/>
      <c r="Q1486" s="20"/>
      <c r="R1486" s="101"/>
    </row>
    <row r="1487" spans="1:18" ht="10.5" customHeight="1" x14ac:dyDescent="0.3">
      <c r="A1487" s="260" t="s">
        <v>1777</v>
      </c>
      <c r="B1487" s="51"/>
      <c r="C1487" s="277" t="s">
        <v>1693</v>
      </c>
      <c r="D1487" s="312">
        <v>24</v>
      </c>
      <c r="E1487" s="94" t="s">
        <v>101</v>
      </c>
      <c r="F1487" s="26">
        <v>8.7409073170731713</v>
      </c>
      <c r="G1487" s="111">
        <f t="shared" si="205"/>
        <v>375.85901463414638</v>
      </c>
      <c r="H1487" s="28">
        <f t="shared" si="206"/>
        <v>300.68721170731709</v>
      </c>
      <c r="I1487" s="55"/>
      <c r="J1487" s="83"/>
      <c r="K1487" s="83"/>
      <c r="L1487" s="83"/>
      <c r="M1487" s="83"/>
      <c r="N1487" s="83"/>
      <c r="O1487" s="83"/>
      <c r="P1487" s="83"/>
      <c r="Q1487" s="83"/>
      <c r="R1487" s="116"/>
    </row>
    <row r="1488" spans="1:18" ht="10.5" customHeight="1" x14ac:dyDescent="0.3">
      <c r="A1488" s="327"/>
      <c r="B1488" s="40"/>
      <c r="C1488" s="274"/>
      <c r="D1488" s="275"/>
      <c r="E1488" s="97"/>
      <c r="F1488" s="44"/>
      <c r="G1488" s="46"/>
      <c r="H1488" s="46"/>
      <c r="I1488" s="20"/>
      <c r="J1488" s="20"/>
      <c r="K1488" s="20"/>
      <c r="L1488" s="20"/>
      <c r="M1488" s="20"/>
      <c r="N1488" s="20"/>
      <c r="O1488" s="20"/>
      <c r="P1488" s="20"/>
      <c r="Q1488" s="20"/>
      <c r="R1488" s="20"/>
    </row>
    <row r="1489" spans="1:18" ht="10.5" customHeight="1" x14ac:dyDescent="0.3">
      <c r="A1489" s="327"/>
      <c r="B1489" s="40"/>
      <c r="C1489" s="274"/>
      <c r="D1489" s="275"/>
      <c r="E1489" s="97"/>
      <c r="F1489" s="44"/>
      <c r="G1489" s="46"/>
      <c r="H1489" s="46"/>
      <c r="I1489" s="20"/>
      <c r="J1489" s="20"/>
      <c r="K1489" s="20"/>
      <c r="L1489" s="20"/>
      <c r="M1489" s="20"/>
      <c r="N1489" s="20"/>
      <c r="O1489" s="20"/>
      <c r="P1489" s="20"/>
      <c r="Q1489" s="20"/>
      <c r="R1489" s="20"/>
    </row>
    <row r="1490" spans="1:18" ht="10.5" customHeight="1" x14ac:dyDescent="0.3">
      <c r="A1490" s="327"/>
      <c r="B1490" s="40"/>
      <c r="C1490" s="274"/>
      <c r="D1490" s="275"/>
      <c r="E1490" s="97"/>
      <c r="F1490" s="44"/>
      <c r="G1490" s="46"/>
      <c r="H1490" s="46"/>
      <c r="I1490" s="20"/>
      <c r="J1490" s="20"/>
      <c r="K1490" s="20"/>
      <c r="L1490" s="20"/>
      <c r="M1490" s="20"/>
      <c r="N1490" s="20"/>
      <c r="O1490" s="20"/>
      <c r="P1490" s="20"/>
      <c r="Q1490" s="20"/>
      <c r="R1490" s="20"/>
    </row>
    <row r="1491" spans="1:18" ht="10.5" customHeight="1" x14ac:dyDescent="0.3">
      <c r="A1491" s="327"/>
      <c r="B1491" s="40"/>
      <c r="C1491" s="274"/>
      <c r="D1491" s="275"/>
      <c r="E1491" s="97"/>
      <c r="F1491" s="44"/>
      <c r="G1491" s="46"/>
      <c r="H1491" s="46"/>
      <c r="I1491" s="20"/>
      <c r="J1491" s="20"/>
      <c r="K1491" s="20"/>
      <c r="L1491" s="20"/>
      <c r="M1491" s="20"/>
      <c r="N1491" s="20"/>
      <c r="O1491" s="20"/>
      <c r="P1491" s="20"/>
      <c r="Q1491" s="20"/>
      <c r="R1491" s="20"/>
    </row>
    <row r="1492" spans="1:18" ht="10.5" customHeight="1" x14ac:dyDescent="0.3">
      <c r="A1492" s="327"/>
      <c r="B1492" s="40"/>
      <c r="C1492" s="274"/>
      <c r="D1492" s="275"/>
      <c r="E1492" s="97"/>
      <c r="F1492" s="44"/>
      <c r="G1492" s="46"/>
      <c r="H1492" s="46"/>
      <c r="I1492" s="20"/>
      <c r="J1492" s="20"/>
      <c r="K1492" s="20"/>
      <c r="L1492" s="20"/>
      <c r="M1492" s="20"/>
      <c r="N1492" s="20"/>
      <c r="O1492" s="20"/>
      <c r="P1492" s="20"/>
      <c r="Q1492" s="20"/>
      <c r="R1492" s="20"/>
    </row>
    <row r="1493" spans="1:18" ht="10.5" customHeight="1" x14ac:dyDescent="0.3">
      <c r="A1493" s="327"/>
      <c r="B1493" s="40"/>
      <c r="C1493" s="274"/>
      <c r="D1493" s="275"/>
      <c r="E1493" s="97"/>
      <c r="F1493" s="44"/>
      <c r="G1493" s="46"/>
      <c r="H1493" s="46"/>
      <c r="I1493" s="20"/>
      <c r="J1493" s="20"/>
      <c r="K1493" s="20"/>
      <c r="L1493" s="20"/>
      <c r="M1493" s="20"/>
      <c r="N1493" s="20"/>
      <c r="O1493" s="20"/>
      <c r="P1493" s="20"/>
      <c r="Q1493" s="20"/>
      <c r="R1493" s="20"/>
    </row>
    <row r="1494" spans="1:18" ht="10.5" customHeight="1" x14ac:dyDescent="0.3">
      <c r="A1494" s="327"/>
      <c r="B1494" s="40"/>
      <c r="C1494" s="274"/>
      <c r="D1494" s="275"/>
      <c r="E1494" s="97"/>
      <c r="F1494" s="44"/>
      <c r="G1494" s="46"/>
      <c r="H1494" s="46"/>
      <c r="I1494" s="20"/>
      <c r="J1494" s="20"/>
      <c r="K1494" s="20"/>
      <c r="L1494" s="20"/>
      <c r="M1494" s="20"/>
      <c r="N1494" s="20"/>
      <c r="O1494" s="20"/>
      <c r="P1494" s="20"/>
      <c r="Q1494" s="20"/>
      <c r="R1494" s="20"/>
    </row>
    <row r="1495" spans="1:18" ht="10.5" customHeight="1" x14ac:dyDescent="0.3">
      <c r="A1495" s="327"/>
      <c r="B1495" s="40"/>
      <c r="C1495" s="274"/>
      <c r="D1495" s="275"/>
      <c r="E1495" s="97"/>
      <c r="F1495" s="44"/>
      <c r="G1495" s="46"/>
      <c r="H1495" s="46"/>
      <c r="I1495" s="20"/>
      <c r="J1495" s="20"/>
      <c r="K1495" s="20"/>
      <c r="L1495" s="20"/>
      <c r="M1495" s="20"/>
      <c r="N1495" s="20"/>
      <c r="O1495" s="20"/>
      <c r="P1495" s="20"/>
      <c r="Q1495" s="20"/>
      <c r="R1495" s="20"/>
    </row>
    <row r="1496" spans="1:18" ht="10.5" customHeight="1" x14ac:dyDescent="0.3">
      <c r="A1496" s="20"/>
      <c r="B1496" s="20"/>
      <c r="C1496" s="20"/>
      <c r="D1496" s="20"/>
      <c r="E1496" s="20"/>
      <c r="F1496" s="20"/>
      <c r="G1496" s="20"/>
      <c r="H1496" s="20"/>
      <c r="I1496" s="20"/>
      <c r="J1496" s="20"/>
      <c r="K1496" s="20"/>
      <c r="L1496" s="20"/>
      <c r="M1496" s="20"/>
      <c r="N1496" s="20"/>
      <c r="O1496" s="20"/>
      <c r="P1496" s="20"/>
      <c r="Q1496" s="20"/>
      <c r="R1496" s="20"/>
    </row>
    <row r="1497" spans="1:18" ht="10.5" customHeight="1" x14ac:dyDescent="0.3">
      <c r="A1497" s="166" t="s">
        <v>1778</v>
      </c>
      <c r="B1497" s="315" t="s">
        <v>1779</v>
      </c>
      <c r="C1497" s="49"/>
      <c r="D1497" s="49"/>
      <c r="E1497" s="49"/>
      <c r="F1497" s="49"/>
      <c r="G1497" s="49"/>
      <c r="H1497" s="49"/>
      <c r="I1497" s="49"/>
      <c r="J1497" s="49"/>
      <c r="K1497" s="49"/>
      <c r="L1497" s="49"/>
      <c r="M1497" s="49"/>
      <c r="N1497" s="49"/>
      <c r="O1497" s="49"/>
      <c r="P1497" s="49"/>
      <c r="Q1497" s="49"/>
      <c r="R1497" s="50"/>
    </row>
    <row r="1498" spans="1:18" ht="10.5" customHeight="1" x14ac:dyDescent="0.3">
      <c r="A1498" s="18"/>
      <c r="B1498" s="20"/>
      <c r="C1498" s="20"/>
      <c r="D1498" s="310" t="s">
        <v>1780</v>
      </c>
      <c r="E1498" s="20"/>
      <c r="F1498" s="20"/>
      <c r="G1498" s="20"/>
      <c r="H1498" s="20"/>
      <c r="I1498" s="20"/>
      <c r="J1498" s="20"/>
      <c r="K1498" s="20"/>
      <c r="L1498" s="20"/>
      <c r="M1498" s="20"/>
      <c r="N1498" s="20"/>
      <c r="O1498" s="20"/>
      <c r="P1498" s="20"/>
      <c r="Q1498" s="20"/>
      <c r="R1498" s="101"/>
    </row>
    <row r="1499" spans="1:18" ht="10.5" customHeight="1" x14ac:dyDescent="0.3">
      <c r="A1499" s="141"/>
      <c r="B1499" s="20"/>
      <c r="C1499" s="20"/>
      <c r="D1499" s="20"/>
      <c r="E1499" s="20"/>
      <c r="F1499" s="20"/>
      <c r="G1499" s="20"/>
      <c r="H1499" s="20"/>
      <c r="I1499" s="20"/>
      <c r="J1499" s="20"/>
      <c r="K1499" s="20"/>
      <c r="L1499" s="20"/>
      <c r="M1499" s="20"/>
      <c r="N1499" s="20"/>
      <c r="O1499" s="20"/>
      <c r="P1499" s="20"/>
      <c r="Q1499" s="20"/>
      <c r="R1499" s="101"/>
    </row>
    <row r="1500" spans="1:18" ht="10.5" customHeight="1" x14ac:dyDescent="0.3">
      <c r="A1500" s="18"/>
      <c r="B1500" s="20"/>
      <c r="C1500" s="20"/>
      <c r="D1500" s="20"/>
      <c r="E1500" s="20"/>
      <c r="F1500" s="20"/>
      <c r="G1500" s="20"/>
      <c r="H1500" s="20"/>
      <c r="I1500" s="20"/>
      <c r="J1500" s="20"/>
      <c r="K1500" s="20"/>
      <c r="L1500" s="20"/>
      <c r="M1500" s="20"/>
      <c r="N1500" s="20"/>
      <c r="O1500" s="20"/>
      <c r="P1500" s="20"/>
      <c r="Q1500" s="20"/>
      <c r="R1500" s="101"/>
    </row>
    <row r="1501" spans="1:18" ht="10.5" customHeight="1" x14ac:dyDescent="0.3">
      <c r="A1501" s="55"/>
      <c r="B1501" s="20"/>
      <c r="C1501" s="20"/>
      <c r="D1501" s="20"/>
      <c r="E1501" s="20"/>
      <c r="F1501" s="20"/>
      <c r="G1501" s="20"/>
      <c r="H1501" s="20"/>
      <c r="I1501" s="20"/>
      <c r="J1501" s="20"/>
      <c r="K1501" s="20"/>
      <c r="L1501" s="20"/>
      <c r="M1501" s="20"/>
      <c r="N1501" s="20"/>
      <c r="O1501" s="20"/>
      <c r="P1501" s="20"/>
      <c r="Q1501" s="20"/>
      <c r="R1501" s="101"/>
    </row>
    <row r="1502" spans="1:18" ht="10.5" customHeight="1" x14ac:dyDescent="0.3">
      <c r="A1502" s="446" t="s">
        <v>78</v>
      </c>
      <c r="B1502" s="446" t="s">
        <v>79</v>
      </c>
      <c r="C1502" s="446"/>
      <c r="D1502" s="446"/>
      <c r="E1502" s="447" t="s">
        <v>80</v>
      </c>
      <c r="F1502" s="15"/>
      <c r="G1502" s="16" t="s">
        <v>81</v>
      </c>
      <c r="H1502" s="17" t="s">
        <v>82</v>
      </c>
      <c r="I1502" s="20"/>
      <c r="J1502" s="446" t="s">
        <v>78</v>
      </c>
      <c r="K1502" s="446" t="s">
        <v>79</v>
      </c>
      <c r="L1502" s="446"/>
      <c r="M1502" s="446"/>
      <c r="N1502" s="447" t="s">
        <v>80</v>
      </c>
      <c r="O1502" s="434"/>
      <c r="P1502" s="61"/>
      <c r="Q1502" s="16" t="s">
        <v>81</v>
      </c>
      <c r="R1502" s="17" t="s">
        <v>82</v>
      </c>
    </row>
    <row r="1503" spans="1:18" ht="10.5" customHeight="1" thickTop="1" x14ac:dyDescent="0.3">
      <c r="A1503" s="446"/>
      <c r="B1503" s="446"/>
      <c r="C1503" s="446"/>
      <c r="D1503" s="446"/>
      <c r="E1503" s="447"/>
      <c r="F1503" s="19"/>
      <c r="G1503" s="15" t="s">
        <v>84</v>
      </c>
      <c r="H1503" s="15" t="s">
        <v>84</v>
      </c>
      <c r="I1503" s="20"/>
      <c r="J1503" s="446"/>
      <c r="K1503" s="446"/>
      <c r="L1503" s="446"/>
      <c r="M1503" s="446"/>
      <c r="N1503" s="447"/>
      <c r="O1503" s="369"/>
      <c r="P1503" s="68"/>
      <c r="Q1503" s="15" t="s">
        <v>1372</v>
      </c>
      <c r="R1503" s="15" t="s">
        <v>1372</v>
      </c>
    </row>
    <row r="1504" spans="1:18" ht="10.5" customHeight="1" x14ac:dyDescent="0.3">
      <c r="A1504" s="320" t="s">
        <v>1781</v>
      </c>
      <c r="B1504" s="51"/>
      <c r="C1504" s="277" t="s">
        <v>1693</v>
      </c>
      <c r="D1504" s="312">
        <v>4</v>
      </c>
      <c r="E1504" s="94">
        <v>2000</v>
      </c>
      <c r="F1504" s="26">
        <v>0.37414146341463411</v>
      </c>
      <c r="G1504" s="111">
        <f t="shared" ref="G1504:G1513" si="209">F1504*$F$10</f>
        <v>16.088082926829266</v>
      </c>
      <c r="H1504" s="28">
        <f t="shared" ref="H1504:H1513" si="210">G1504-G1504*0.2</f>
        <v>12.870466341463413</v>
      </c>
      <c r="I1504" s="20"/>
      <c r="J1504" s="320" t="s">
        <v>1782</v>
      </c>
      <c r="K1504" s="167"/>
      <c r="L1504" s="271" t="s">
        <v>1693</v>
      </c>
      <c r="M1504" s="272">
        <v>5</v>
      </c>
      <c r="N1504" s="94" t="s">
        <v>1373</v>
      </c>
      <c r="O1504" s="94"/>
      <c r="P1504" s="26">
        <v>4.8608731707317068</v>
      </c>
      <c r="Q1504" s="111">
        <f t="shared" ref="Q1504:Q1512" si="211">P1504*$F$10</f>
        <v>209.0175463414634</v>
      </c>
      <c r="R1504" s="28">
        <f t="shared" ref="R1504:R1512" si="212">Q1504-Q1504*0.2</f>
        <v>167.21403707317072</v>
      </c>
    </row>
    <row r="1505" spans="1:18" ht="10.5" customHeight="1" x14ac:dyDescent="0.3">
      <c r="A1505" s="320" t="s">
        <v>1782</v>
      </c>
      <c r="B1505" s="167"/>
      <c r="C1505" s="271" t="s">
        <v>1693</v>
      </c>
      <c r="D1505" s="272">
        <v>5</v>
      </c>
      <c r="E1505" s="94">
        <v>1500</v>
      </c>
      <c r="F1505" s="26">
        <v>0.70665691056910562</v>
      </c>
      <c r="G1505" s="111">
        <f t="shared" si="209"/>
        <v>30.38624715447154</v>
      </c>
      <c r="H1505" s="28">
        <f t="shared" si="210"/>
        <v>24.308997723577232</v>
      </c>
      <c r="I1505" s="20"/>
      <c r="J1505" s="320" t="s">
        <v>1783</v>
      </c>
      <c r="K1505" s="167"/>
      <c r="L1505" s="271" t="s">
        <v>1693</v>
      </c>
      <c r="M1505" s="272">
        <v>6</v>
      </c>
      <c r="N1505" s="94" t="s">
        <v>1373</v>
      </c>
      <c r="O1505" s="94"/>
      <c r="P1505" s="26">
        <v>3.8809634146341456</v>
      </c>
      <c r="Q1505" s="111">
        <f t="shared" si="211"/>
        <v>166.88142682926826</v>
      </c>
      <c r="R1505" s="28">
        <f t="shared" si="212"/>
        <v>133.50514146341462</v>
      </c>
    </row>
    <row r="1506" spans="1:18" ht="10.5" customHeight="1" x14ac:dyDescent="0.3">
      <c r="A1506" s="320" t="s">
        <v>1783</v>
      </c>
      <c r="B1506" s="167"/>
      <c r="C1506" s="271" t="s">
        <v>1693</v>
      </c>
      <c r="D1506" s="272">
        <v>6</v>
      </c>
      <c r="E1506" s="94">
        <v>1000</v>
      </c>
      <c r="F1506" s="26">
        <v>1.0098219512195121</v>
      </c>
      <c r="G1506" s="111">
        <f t="shared" si="209"/>
        <v>43.422343902439025</v>
      </c>
      <c r="H1506" s="28">
        <f t="shared" si="210"/>
        <v>34.73787512195122</v>
      </c>
      <c r="I1506" s="20"/>
      <c r="J1506" s="320" t="s">
        <v>1784</v>
      </c>
      <c r="K1506" s="167"/>
      <c r="L1506" s="271" t="s">
        <v>1693</v>
      </c>
      <c r="M1506" s="272">
        <v>8</v>
      </c>
      <c r="N1506" s="94" t="s">
        <v>1373</v>
      </c>
      <c r="O1506" s="94"/>
      <c r="P1506" s="26">
        <v>3.768765853658536</v>
      </c>
      <c r="Q1506" s="111">
        <f t="shared" si="211"/>
        <v>162.05693170731706</v>
      </c>
      <c r="R1506" s="28">
        <f t="shared" si="212"/>
        <v>129.64554536585365</v>
      </c>
    </row>
    <row r="1507" spans="1:18" ht="10.5" customHeight="1" x14ac:dyDescent="0.3">
      <c r="A1507" s="320" t="s">
        <v>1784</v>
      </c>
      <c r="B1507" s="167"/>
      <c r="C1507" s="271" t="s">
        <v>1693</v>
      </c>
      <c r="D1507" s="272">
        <v>8</v>
      </c>
      <c r="E1507" s="94">
        <v>500</v>
      </c>
      <c r="F1507" s="26">
        <v>2.4041024390243901</v>
      </c>
      <c r="G1507" s="111">
        <f t="shared" si="209"/>
        <v>103.37640487804877</v>
      </c>
      <c r="H1507" s="28">
        <f t="shared" si="210"/>
        <v>82.701123902439022</v>
      </c>
      <c r="I1507" s="20"/>
      <c r="J1507" s="320" t="s">
        <v>1785</v>
      </c>
      <c r="K1507" s="167"/>
      <c r="L1507" s="271" t="s">
        <v>1693</v>
      </c>
      <c r="M1507" s="272">
        <v>10</v>
      </c>
      <c r="N1507" s="94" t="s">
        <v>1373</v>
      </c>
      <c r="O1507" s="94"/>
      <c r="P1507" s="26">
        <v>3.768765853658536</v>
      </c>
      <c r="Q1507" s="111">
        <f t="shared" si="211"/>
        <v>162.05693170731706</v>
      </c>
      <c r="R1507" s="28">
        <f t="shared" si="212"/>
        <v>129.64554536585365</v>
      </c>
    </row>
    <row r="1508" spans="1:18" ht="10.5" customHeight="1" x14ac:dyDescent="0.3">
      <c r="A1508" s="320" t="s">
        <v>1785</v>
      </c>
      <c r="B1508" s="167"/>
      <c r="C1508" s="271" t="s">
        <v>1693</v>
      </c>
      <c r="D1508" s="272">
        <v>10</v>
      </c>
      <c r="E1508" s="94">
        <v>250</v>
      </c>
      <c r="F1508" s="26">
        <v>4.3471609756097562</v>
      </c>
      <c r="G1508" s="111">
        <f t="shared" si="209"/>
        <v>186.92792195121953</v>
      </c>
      <c r="H1508" s="28">
        <f t="shared" si="210"/>
        <v>149.54233756097562</v>
      </c>
      <c r="I1508" s="20"/>
      <c r="J1508" s="320" t="s">
        <v>1786</v>
      </c>
      <c r="K1508" s="22"/>
      <c r="L1508" s="277" t="s">
        <v>1693</v>
      </c>
      <c r="M1508" s="218">
        <v>12</v>
      </c>
      <c r="N1508" s="93" t="s">
        <v>1373</v>
      </c>
      <c r="O1508" s="93"/>
      <c r="P1508" s="36">
        <v>3.768765853658536</v>
      </c>
      <c r="Q1508" s="111">
        <f t="shared" si="211"/>
        <v>162.05693170731706</v>
      </c>
      <c r="R1508" s="28">
        <f t="shared" si="212"/>
        <v>129.64554536585365</v>
      </c>
    </row>
    <row r="1509" spans="1:18" ht="10.5" customHeight="1" x14ac:dyDescent="0.3">
      <c r="A1509" s="321" t="s">
        <v>1786</v>
      </c>
      <c r="B1509" s="22"/>
      <c r="C1509" s="277" t="s">
        <v>1693</v>
      </c>
      <c r="D1509" s="218">
        <v>12</v>
      </c>
      <c r="E1509" s="93" t="s">
        <v>126</v>
      </c>
      <c r="F1509" s="36">
        <v>7.5401804878048777</v>
      </c>
      <c r="G1509" s="111">
        <f t="shared" si="209"/>
        <v>324.22776097560973</v>
      </c>
      <c r="H1509" s="28">
        <f t="shared" si="210"/>
        <v>259.38220878048776</v>
      </c>
      <c r="I1509" s="20"/>
      <c r="J1509" s="320" t="s">
        <v>1787</v>
      </c>
      <c r="K1509" s="40"/>
      <c r="L1509" s="274" t="s">
        <v>1693</v>
      </c>
      <c r="M1509" s="275">
        <v>14</v>
      </c>
      <c r="N1509" s="93" t="s">
        <v>1373</v>
      </c>
      <c r="O1509" s="93"/>
      <c r="P1509" s="36">
        <v>3.768765853658536</v>
      </c>
      <c r="Q1509" s="111">
        <f t="shared" si="211"/>
        <v>162.05693170731706</v>
      </c>
      <c r="R1509" s="28">
        <f t="shared" si="212"/>
        <v>129.64554536585365</v>
      </c>
    </row>
    <row r="1510" spans="1:18" ht="10.5" customHeight="1" x14ac:dyDescent="0.3">
      <c r="A1510" s="321" t="s">
        <v>1787</v>
      </c>
      <c r="B1510" s="40"/>
      <c r="C1510" s="274" t="s">
        <v>1693</v>
      </c>
      <c r="D1510" s="275">
        <v>14</v>
      </c>
      <c r="E1510" s="93" t="s">
        <v>126</v>
      </c>
      <c r="F1510" s="36">
        <v>11.155009756097561</v>
      </c>
      <c r="G1510" s="111">
        <f t="shared" si="209"/>
        <v>479.66541951219511</v>
      </c>
      <c r="H1510" s="28">
        <f t="shared" si="210"/>
        <v>383.73233560975609</v>
      </c>
      <c r="I1510" s="20"/>
      <c r="J1510" s="320" t="s">
        <v>1788</v>
      </c>
      <c r="K1510" s="22"/>
      <c r="L1510" s="277" t="s">
        <v>1693</v>
      </c>
      <c r="M1510" s="218">
        <v>16</v>
      </c>
      <c r="N1510" s="94" t="s">
        <v>1373</v>
      </c>
      <c r="O1510" s="94"/>
      <c r="P1510" s="26">
        <v>3.768765853658536</v>
      </c>
      <c r="Q1510" s="111">
        <f t="shared" si="211"/>
        <v>162.05693170731706</v>
      </c>
      <c r="R1510" s="28">
        <f t="shared" si="212"/>
        <v>129.64554536585365</v>
      </c>
    </row>
    <row r="1511" spans="1:18" ht="10.5" customHeight="1" x14ac:dyDescent="0.3">
      <c r="A1511" s="331" t="s">
        <v>1788</v>
      </c>
      <c r="B1511" s="22"/>
      <c r="C1511" s="277" t="s">
        <v>1693</v>
      </c>
      <c r="D1511" s="218">
        <v>16</v>
      </c>
      <c r="E1511" s="94" t="s">
        <v>157</v>
      </c>
      <c r="F1511" s="26">
        <v>14.690131519699811</v>
      </c>
      <c r="G1511" s="111">
        <f t="shared" si="209"/>
        <v>631.67565534709183</v>
      </c>
      <c r="H1511" s="28">
        <f t="shared" si="210"/>
        <v>505.34052427767347</v>
      </c>
      <c r="I1511" s="20"/>
      <c r="J1511" s="320" t="s">
        <v>1789</v>
      </c>
      <c r="K1511" s="32"/>
      <c r="L1511" s="322" t="s">
        <v>1693</v>
      </c>
      <c r="M1511" s="332">
        <v>20</v>
      </c>
      <c r="N1511" s="93" t="s">
        <v>1373</v>
      </c>
      <c r="O1511" s="93"/>
      <c r="P1511" s="36">
        <v>3.8809634146341456</v>
      </c>
      <c r="Q1511" s="111">
        <f t="shared" si="211"/>
        <v>166.88142682926826</v>
      </c>
      <c r="R1511" s="38">
        <f t="shared" si="212"/>
        <v>133.50514146341462</v>
      </c>
    </row>
    <row r="1512" spans="1:18" ht="10.5" customHeight="1" x14ac:dyDescent="0.3">
      <c r="A1512" s="331" t="s">
        <v>1789</v>
      </c>
      <c r="B1512" s="22"/>
      <c r="C1512" s="277" t="s">
        <v>1693</v>
      </c>
      <c r="D1512" s="218">
        <v>20</v>
      </c>
      <c r="E1512" s="94" t="s">
        <v>157</v>
      </c>
      <c r="F1512" s="26">
        <v>22.842643714821762</v>
      </c>
      <c r="G1512" s="111">
        <f t="shared" si="209"/>
        <v>982.23367973733571</v>
      </c>
      <c r="H1512" s="28">
        <f t="shared" si="210"/>
        <v>785.78694378986859</v>
      </c>
      <c r="I1512" s="20"/>
      <c r="J1512" s="320" t="s">
        <v>1790</v>
      </c>
      <c r="K1512" s="22"/>
      <c r="L1512" s="277" t="s">
        <v>1693</v>
      </c>
      <c r="M1512" s="218">
        <v>24</v>
      </c>
      <c r="N1512" s="94" t="s">
        <v>1373</v>
      </c>
      <c r="O1512" s="94"/>
      <c r="P1512" s="26">
        <v>3.407665853658536</v>
      </c>
      <c r="Q1512" s="111">
        <f t="shared" si="211"/>
        <v>146.52963170731704</v>
      </c>
      <c r="R1512" s="28">
        <f t="shared" si="212"/>
        <v>117.22370536585363</v>
      </c>
    </row>
    <row r="1513" spans="1:18" ht="10.5" customHeight="1" x14ac:dyDescent="0.3">
      <c r="A1513" s="333" t="s">
        <v>1790</v>
      </c>
      <c r="B1513" s="74"/>
      <c r="C1513" s="271" t="s">
        <v>1693</v>
      </c>
      <c r="D1513" s="334">
        <v>24</v>
      </c>
      <c r="E1513" s="87" t="s">
        <v>50</v>
      </c>
      <c r="F1513" s="78">
        <v>28.380148592870544</v>
      </c>
      <c r="G1513" s="111">
        <f t="shared" si="209"/>
        <v>1220.3463894934334</v>
      </c>
      <c r="H1513" s="28">
        <f t="shared" si="210"/>
        <v>976.27711159474677</v>
      </c>
      <c r="I1513" s="20"/>
      <c r="J1513" s="20"/>
      <c r="K1513" s="20"/>
      <c r="L1513" s="20"/>
      <c r="M1513" s="20"/>
      <c r="N1513" s="20"/>
      <c r="O1513" s="20"/>
      <c r="P1513" s="20"/>
      <c r="Q1513" s="20"/>
      <c r="R1513" s="20"/>
    </row>
    <row r="1514" spans="1:18" ht="10.5" customHeight="1" x14ac:dyDescent="0.3">
      <c r="A1514" s="20"/>
      <c r="B1514" s="20"/>
      <c r="C1514" s="20"/>
      <c r="D1514" s="20"/>
      <c r="E1514" s="20"/>
      <c r="F1514" s="20"/>
      <c r="G1514" s="20"/>
      <c r="H1514" s="20"/>
      <c r="I1514" s="20"/>
      <c r="J1514" s="20"/>
      <c r="K1514" s="20"/>
      <c r="L1514" s="20"/>
      <c r="M1514" s="20"/>
      <c r="N1514" s="20"/>
      <c r="O1514" s="20"/>
      <c r="P1514" s="20"/>
      <c r="Q1514" s="20"/>
      <c r="R1514" s="20"/>
    </row>
    <row r="1515" spans="1:18" ht="10.5" customHeight="1" x14ac:dyDescent="0.3">
      <c r="A1515" s="166" t="s">
        <v>1791</v>
      </c>
      <c r="B1515" s="315" t="s">
        <v>1779</v>
      </c>
      <c r="C1515" s="49"/>
      <c r="D1515" s="49"/>
      <c r="E1515" s="49"/>
      <c r="F1515" s="49"/>
      <c r="G1515" s="49"/>
      <c r="H1515" s="49"/>
      <c r="I1515" s="49"/>
      <c r="J1515" s="446" t="s">
        <v>78</v>
      </c>
      <c r="K1515" s="446" t="s">
        <v>79</v>
      </c>
      <c r="L1515" s="446"/>
      <c r="M1515" s="446"/>
      <c r="N1515" s="447" t="s">
        <v>80</v>
      </c>
      <c r="O1515" s="14"/>
      <c r="P1515" s="15"/>
      <c r="Q1515" s="16" t="s">
        <v>81</v>
      </c>
      <c r="R1515" s="17" t="s">
        <v>82</v>
      </c>
    </row>
    <row r="1516" spans="1:18" ht="10.5" customHeight="1" x14ac:dyDescent="0.3">
      <c r="A1516" s="18"/>
      <c r="B1516" s="20"/>
      <c r="C1516" s="20"/>
      <c r="D1516" s="20"/>
      <c r="E1516" s="20"/>
      <c r="F1516" s="20"/>
      <c r="G1516" s="20"/>
      <c r="H1516" s="20"/>
      <c r="I1516" s="20"/>
      <c r="J1516" s="446"/>
      <c r="K1516" s="446"/>
      <c r="L1516" s="446"/>
      <c r="M1516" s="446"/>
      <c r="N1516" s="447"/>
      <c r="O1516" s="14"/>
      <c r="P1516" s="19"/>
      <c r="Q1516" s="15" t="s">
        <v>84</v>
      </c>
      <c r="R1516" s="15" t="s">
        <v>84</v>
      </c>
    </row>
    <row r="1517" spans="1:18" ht="10.5" customHeight="1" x14ac:dyDescent="0.3">
      <c r="A1517" s="18"/>
      <c r="B1517" s="20"/>
      <c r="C1517" s="20"/>
      <c r="D1517" s="20"/>
      <c r="E1517" s="20"/>
      <c r="F1517" s="20"/>
      <c r="G1517" s="20"/>
      <c r="H1517" s="20"/>
      <c r="I1517" s="20"/>
      <c r="J1517" s="266">
        <v>131030005</v>
      </c>
      <c r="K1517" s="167"/>
      <c r="L1517" s="271" t="s">
        <v>1693</v>
      </c>
      <c r="M1517" s="272">
        <v>5</v>
      </c>
      <c r="N1517" s="87" t="s">
        <v>170</v>
      </c>
      <c r="O1517" s="87"/>
      <c r="P1517" s="78">
        <v>1.84</v>
      </c>
      <c r="Q1517" s="113">
        <f t="shared" ref="Q1517:Q1524" si="213">P1517*$F$10</f>
        <v>79.12</v>
      </c>
      <c r="R1517" s="72">
        <f t="shared" ref="R1517:R1524" si="214">Q1517-Q1517*0.2</f>
        <v>63.296000000000006</v>
      </c>
    </row>
    <row r="1518" spans="1:18" ht="10.5" customHeight="1" x14ac:dyDescent="0.3">
      <c r="A1518" s="141"/>
      <c r="B1518" s="20"/>
      <c r="C1518" s="20"/>
      <c r="D1518" s="20"/>
      <c r="E1518" s="20"/>
      <c r="F1518" s="20"/>
      <c r="G1518" s="20"/>
      <c r="H1518" s="20"/>
      <c r="I1518" s="20"/>
      <c r="J1518" s="266">
        <v>131030006</v>
      </c>
      <c r="K1518" s="167"/>
      <c r="L1518" s="271" t="s">
        <v>1693</v>
      </c>
      <c r="M1518" s="272">
        <v>6</v>
      </c>
      <c r="N1518" s="87" t="s">
        <v>170</v>
      </c>
      <c r="O1518" s="87"/>
      <c r="P1518" s="78">
        <v>3.14</v>
      </c>
      <c r="Q1518" s="113">
        <f t="shared" si="213"/>
        <v>135.02000000000001</v>
      </c>
      <c r="R1518" s="72">
        <f t="shared" si="214"/>
        <v>108.01600000000001</v>
      </c>
    </row>
    <row r="1519" spans="1:18" ht="10.5" customHeight="1" x14ac:dyDescent="0.3">
      <c r="A1519" s="18"/>
      <c r="B1519" s="20"/>
      <c r="C1519" s="20"/>
      <c r="D1519" s="20"/>
      <c r="E1519" s="20"/>
      <c r="F1519" s="20"/>
      <c r="G1519" s="20"/>
      <c r="H1519" s="20"/>
      <c r="I1519" s="20"/>
      <c r="J1519" s="260">
        <v>131030008</v>
      </c>
      <c r="K1519" s="167"/>
      <c r="L1519" s="271" t="s">
        <v>1693</v>
      </c>
      <c r="M1519" s="272">
        <v>8</v>
      </c>
      <c r="N1519" s="94" t="s">
        <v>88</v>
      </c>
      <c r="O1519" s="94"/>
      <c r="P1519" s="26">
        <v>7.87</v>
      </c>
      <c r="Q1519" s="111">
        <f t="shared" si="213"/>
        <v>338.41</v>
      </c>
      <c r="R1519" s="28">
        <f t="shared" si="214"/>
        <v>270.72800000000001</v>
      </c>
    </row>
    <row r="1520" spans="1:18" ht="10.5" customHeight="1" x14ac:dyDescent="0.3">
      <c r="A1520" s="18"/>
      <c r="B1520" s="20"/>
      <c r="C1520" s="20"/>
      <c r="D1520" s="20"/>
      <c r="E1520" s="20"/>
      <c r="F1520" s="20"/>
      <c r="G1520" s="20"/>
      <c r="H1520" s="20"/>
      <c r="I1520" s="20"/>
      <c r="J1520" s="260">
        <v>131030010</v>
      </c>
      <c r="K1520" s="167"/>
      <c r="L1520" s="271" t="s">
        <v>1693</v>
      </c>
      <c r="M1520" s="272">
        <v>10</v>
      </c>
      <c r="N1520" s="94" t="s">
        <v>94</v>
      </c>
      <c r="O1520" s="94"/>
      <c r="P1520" s="26">
        <v>15.59</v>
      </c>
      <c r="Q1520" s="111">
        <f t="shared" si="213"/>
        <v>670.37</v>
      </c>
      <c r="R1520" s="28">
        <f t="shared" si="214"/>
        <v>536.29600000000005</v>
      </c>
    </row>
    <row r="1521" spans="1:18" ht="10.5" customHeight="1" x14ac:dyDescent="0.3">
      <c r="A1521" s="306" t="s">
        <v>1382</v>
      </c>
      <c r="B1521" s="20"/>
      <c r="C1521" s="20"/>
      <c r="D1521" s="20"/>
      <c r="E1521" s="20"/>
      <c r="F1521" s="20"/>
      <c r="G1521" s="20"/>
      <c r="H1521" s="20"/>
      <c r="I1521" s="20"/>
      <c r="J1521" s="267">
        <v>131030012</v>
      </c>
      <c r="K1521" s="40"/>
      <c r="L1521" s="274" t="s">
        <v>1693</v>
      </c>
      <c r="M1521" s="275">
        <v>12</v>
      </c>
      <c r="N1521" s="93" t="s">
        <v>101</v>
      </c>
      <c r="O1521" s="93"/>
      <c r="P1521" s="36">
        <v>22.82</v>
      </c>
      <c r="Q1521" s="111">
        <f t="shared" si="213"/>
        <v>981.26</v>
      </c>
      <c r="R1521" s="28">
        <f t="shared" si="214"/>
        <v>785.00800000000004</v>
      </c>
    </row>
    <row r="1522" spans="1:18" ht="10.5" customHeight="1" x14ac:dyDescent="0.3">
      <c r="A1522" s="306"/>
      <c r="B1522" s="20"/>
      <c r="C1522" s="20"/>
      <c r="D1522" s="20"/>
      <c r="E1522" s="20"/>
      <c r="F1522" s="20"/>
      <c r="G1522" s="20"/>
      <c r="H1522" s="20"/>
      <c r="I1522" s="20"/>
      <c r="J1522" s="329">
        <v>131030014</v>
      </c>
      <c r="K1522" s="22"/>
      <c r="L1522" s="277" t="s">
        <v>1693</v>
      </c>
      <c r="M1522" s="218">
        <v>14</v>
      </c>
      <c r="N1522" s="94" t="s">
        <v>157</v>
      </c>
      <c r="O1522" s="94"/>
      <c r="P1522" s="26">
        <v>33.799999999999997</v>
      </c>
      <c r="Q1522" s="111">
        <f t="shared" si="213"/>
        <v>1453.3999999999999</v>
      </c>
      <c r="R1522" s="28">
        <f t="shared" si="214"/>
        <v>1162.7199999999998</v>
      </c>
    </row>
    <row r="1523" spans="1:18" ht="10.5" customHeight="1" x14ac:dyDescent="0.3">
      <c r="A1523" s="306"/>
      <c r="B1523" s="20"/>
      <c r="C1523" s="20"/>
      <c r="D1523" s="20"/>
      <c r="E1523" s="20"/>
      <c r="F1523" s="20"/>
      <c r="G1523" s="20"/>
      <c r="H1523" s="20"/>
      <c r="I1523" s="20"/>
      <c r="J1523" s="329">
        <v>131030016</v>
      </c>
      <c r="K1523" s="22"/>
      <c r="L1523" s="277" t="s">
        <v>1693</v>
      </c>
      <c r="M1523" s="218">
        <v>16</v>
      </c>
      <c r="N1523" s="94" t="s">
        <v>157</v>
      </c>
      <c r="O1523" s="94"/>
      <c r="P1523" s="26">
        <v>46.44</v>
      </c>
      <c r="Q1523" s="111">
        <f t="shared" si="213"/>
        <v>1996.9199999999998</v>
      </c>
      <c r="R1523" s="28">
        <f t="shared" si="214"/>
        <v>1597.5359999999998</v>
      </c>
    </row>
    <row r="1524" spans="1:18" ht="10.5" customHeight="1" x14ac:dyDescent="0.3">
      <c r="A1524" s="55"/>
      <c r="B1524" s="83"/>
      <c r="C1524" s="83"/>
      <c r="D1524" s="83"/>
      <c r="E1524" s="83"/>
      <c r="F1524" s="83"/>
      <c r="G1524" s="83"/>
      <c r="H1524" s="83"/>
      <c r="I1524" s="83"/>
      <c r="J1524" s="329">
        <v>131030020</v>
      </c>
      <c r="K1524" s="22"/>
      <c r="L1524" s="277" t="s">
        <v>1693</v>
      </c>
      <c r="M1524" s="218">
        <v>20</v>
      </c>
      <c r="N1524" s="94" t="s">
        <v>50</v>
      </c>
      <c r="O1524" s="94"/>
      <c r="P1524" s="26">
        <v>76.55</v>
      </c>
      <c r="Q1524" s="111">
        <f t="shared" si="213"/>
        <v>3291.65</v>
      </c>
      <c r="R1524" s="28">
        <f t="shared" si="214"/>
        <v>2633.32</v>
      </c>
    </row>
    <row r="1525" spans="1:18" ht="10.5" customHeight="1" x14ac:dyDescent="0.3">
      <c r="A1525" s="20"/>
      <c r="B1525" s="20"/>
      <c r="C1525" s="20"/>
      <c r="D1525" s="20"/>
      <c r="E1525" s="20"/>
      <c r="F1525" s="20"/>
      <c r="G1525" s="20"/>
      <c r="H1525" s="20"/>
      <c r="I1525" s="20"/>
      <c r="J1525" s="327"/>
      <c r="K1525" s="40"/>
      <c r="L1525" s="274"/>
      <c r="M1525" s="275"/>
      <c r="N1525" s="97"/>
      <c r="O1525" s="97"/>
      <c r="P1525" s="44"/>
      <c r="Q1525" s="46"/>
      <c r="R1525" s="46"/>
    </row>
    <row r="1526" spans="1:18" ht="10.5" customHeight="1" x14ac:dyDescent="0.3">
      <c r="A1526" s="20"/>
      <c r="B1526" s="20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  <c r="M1526" s="20"/>
      <c r="N1526" s="20"/>
      <c r="O1526" s="20"/>
      <c r="P1526" s="20"/>
      <c r="Q1526" s="20"/>
      <c r="R1526" s="20"/>
    </row>
    <row r="1527" spans="1:18" ht="10.5" customHeight="1" x14ac:dyDescent="0.3">
      <c r="A1527" s="166" t="s">
        <v>1792</v>
      </c>
      <c r="B1527" s="48" t="s">
        <v>1793</v>
      </c>
      <c r="C1527" s="49"/>
      <c r="D1527" s="49"/>
      <c r="E1527" s="49"/>
      <c r="F1527" s="49"/>
      <c r="G1527" s="49"/>
      <c r="H1527" s="49"/>
      <c r="I1527" s="49"/>
      <c r="J1527" s="446" t="s">
        <v>78</v>
      </c>
      <c r="K1527" s="446" t="s">
        <v>79</v>
      </c>
      <c r="L1527" s="446"/>
      <c r="M1527" s="446"/>
      <c r="N1527" s="447" t="s">
        <v>80</v>
      </c>
      <c r="O1527" s="14"/>
      <c r="P1527" s="15"/>
      <c r="Q1527" s="16" t="s">
        <v>81</v>
      </c>
      <c r="R1527" s="17" t="s">
        <v>82</v>
      </c>
    </row>
    <row r="1528" spans="1:18" ht="10.5" customHeight="1" x14ac:dyDescent="0.3">
      <c r="A1528" s="18"/>
      <c r="B1528" s="20"/>
      <c r="C1528" s="20"/>
      <c r="D1528" s="20"/>
      <c r="E1528" s="20"/>
      <c r="F1528" s="20"/>
      <c r="G1528" s="20"/>
      <c r="H1528" s="20"/>
      <c r="I1528" s="20"/>
      <c r="J1528" s="446"/>
      <c r="K1528" s="446"/>
      <c r="L1528" s="446"/>
      <c r="M1528" s="446"/>
      <c r="N1528" s="447"/>
      <c r="O1528" s="14"/>
      <c r="P1528" s="19"/>
      <c r="Q1528" s="15" t="s">
        <v>84</v>
      </c>
      <c r="R1528" s="15" t="s">
        <v>84</v>
      </c>
    </row>
    <row r="1529" spans="1:18" ht="10.5" customHeight="1" x14ac:dyDescent="0.3">
      <c r="A1529" s="99"/>
      <c r="B1529" s="20"/>
      <c r="C1529" s="20"/>
      <c r="D1529" s="20"/>
      <c r="E1529" s="20"/>
      <c r="F1529" s="20"/>
      <c r="G1529" s="20"/>
      <c r="H1529" s="20"/>
      <c r="I1529" s="20"/>
      <c r="J1529" s="54">
        <v>130040001</v>
      </c>
      <c r="K1529" s="83"/>
      <c r="L1529" s="56" t="s">
        <v>1693</v>
      </c>
      <c r="M1529" s="163">
        <v>5</v>
      </c>
      <c r="N1529" s="58">
        <v>500</v>
      </c>
      <c r="O1529" s="58"/>
      <c r="P1529" s="78">
        <v>1.2357268292682926</v>
      </c>
      <c r="Q1529" s="113">
        <f t="shared" ref="Q1529:Q1535" si="215">P1529*$F$10</f>
        <v>53.136253658536582</v>
      </c>
      <c r="R1529" s="72">
        <f t="shared" ref="R1529:R1535" si="216">Q1529-Q1529*0.2</f>
        <v>42.509002926829268</v>
      </c>
    </row>
    <row r="1530" spans="1:18" ht="10.5" customHeight="1" x14ac:dyDescent="0.3">
      <c r="A1530" s="311"/>
      <c r="B1530" s="20"/>
      <c r="C1530" s="20"/>
      <c r="D1530" s="20"/>
      <c r="E1530" s="20"/>
      <c r="F1530" s="20"/>
      <c r="G1530" s="20"/>
      <c r="H1530" s="20"/>
      <c r="I1530" s="20"/>
      <c r="J1530" s="62">
        <v>130040002</v>
      </c>
      <c r="K1530" s="335"/>
      <c r="L1530" s="64" t="s">
        <v>1693</v>
      </c>
      <c r="M1530" s="224">
        <v>6</v>
      </c>
      <c r="N1530" s="66">
        <v>300</v>
      </c>
      <c r="O1530" s="66"/>
      <c r="P1530" s="26">
        <v>2.0063105691056911</v>
      </c>
      <c r="Q1530" s="111">
        <f t="shared" si="215"/>
        <v>86.271354471544711</v>
      </c>
      <c r="R1530" s="28">
        <f t="shared" si="216"/>
        <v>69.017083577235766</v>
      </c>
    </row>
    <row r="1531" spans="1:18" ht="10.5" customHeight="1" x14ac:dyDescent="0.3">
      <c r="A1531" s="18"/>
      <c r="B1531" s="20"/>
      <c r="C1531" s="20"/>
      <c r="D1531" s="20"/>
      <c r="E1531" s="20"/>
      <c r="F1531" s="20"/>
      <c r="G1531" s="20"/>
      <c r="H1531" s="20"/>
      <c r="I1531" s="20"/>
      <c r="J1531" s="54">
        <v>130040003</v>
      </c>
      <c r="K1531" s="83"/>
      <c r="L1531" s="56" t="s">
        <v>1693</v>
      </c>
      <c r="M1531" s="163">
        <v>8</v>
      </c>
      <c r="N1531" s="58">
        <v>150</v>
      </c>
      <c r="O1531" s="58"/>
      <c r="P1531" s="26">
        <v>4.2401926829268284</v>
      </c>
      <c r="Q1531" s="111">
        <f t="shared" si="215"/>
        <v>182.32828536585362</v>
      </c>
      <c r="R1531" s="28">
        <f t="shared" si="216"/>
        <v>145.8626282926829</v>
      </c>
    </row>
    <row r="1532" spans="1:18" ht="10.5" customHeight="1" x14ac:dyDescent="0.3">
      <c r="A1532" s="306" t="s">
        <v>1780</v>
      </c>
      <c r="B1532" s="20"/>
      <c r="C1532" s="20"/>
      <c r="D1532" s="20"/>
      <c r="E1532" s="20"/>
      <c r="F1532" s="20"/>
      <c r="G1532" s="20"/>
      <c r="H1532" s="20"/>
      <c r="I1532" s="20"/>
      <c r="J1532" s="62">
        <v>130040004</v>
      </c>
      <c r="K1532" s="335"/>
      <c r="L1532" s="64" t="s">
        <v>1693</v>
      </c>
      <c r="M1532" s="224">
        <v>10</v>
      </c>
      <c r="N1532" s="66">
        <v>75</v>
      </c>
      <c r="O1532" s="66"/>
      <c r="P1532" s="26">
        <v>6.7112634146341446</v>
      </c>
      <c r="Q1532" s="111">
        <f t="shared" si="215"/>
        <v>288.58432682926821</v>
      </c>
      <c r="R1532" s="28">
        <f t="shared" si="216"/>
        <v>230.86746146341457</v>
      </c>
    </row>
    <row r="1533" spans="1:18" ht="10.5" customHeight="1" x14ac:dyDescent="0.3">
      <c r="A1533" s="336"/>
      <c r="B1533" s="20"/>
      <c r="C1533" s="20"/>
      <c r="D1533" s="20"/>
      <c r="E1533" s="20"/>
      <c r="F1533" s="20"/>
      <c r="G1533" s="20"/>
      <c r="H1533" s="20"/>
      <c r="I1533" s="20"/>
      <c r="J1533" s="62">
        <v>130040005</v>
      </c>
      <c r="K1533" s="335"/>
      <c r="L1533" s="64" t="s">
        <v>1693</v>
      </c>
      <c r="M1533" s="224">
        <v>12</v>
      </c>
      <c r="N1533" s="66">
        <v>50</v>
      </c>
      <c r="O1533" s="66"/>
      <c r="P1533" s="26">
        <v>14.191443902439023</v>
      </c>
      <c r="Q1533" s="111">
        <f t="shared" si="215"/>
        <v>610.23208780487801</v>
      </c>
      <c r="R1533" s="28">
        <f t="shared" si="216"/>
        <v>488.18567024390239</v>
      </c>
    </row>
    <row r="1534" spans="1:18" ht="10.5" customHeight="1" x14ac:dyDescent="0.3">
      <c r="A1534" s="18"/>
      <c r="B1534" s="20"/>
      <c r="C1534" s="20"/>
      <c r="D1534" s="20"/>
      <c r="E1534" s="20"/>
      <c r="F1534" s="20"/>
      <c r="G1534" s="20"/>
      <c r="H1534" s="20"/>
      <c r="I1534" s="20"/>
      <c r="J1534" s="62">
        <v>130040006</v>
      </c>
      <c r="K1534" s="335"/>
      <c r="L1534" s="64" t="s">
        <v>1693</v>
      </c>
      <c r="M1534" s="224">
        <v>16</v>
      </c>
      <c r="N1534" s="66">
        <v>25</v>
      </c>
      <c r="O1534" s="66"/>
      <c r="P1534" s="26">
        <v>26.845053658536578</v>
      </c>
      <c r="Q1534" s="111">
        <f t="shared" si="215"/>
        <v>1154.3373073170728</v>
      </c>
      <c r="R1534" s="28">
        <f t="shared" si="216"/>
        <v>923.46984585365828</v>
      </c>
    </row>
    <row r="1535" spans="1:18" ht="10.5" customHeight="1" x14ac:dyDescent="0.3">
      <c r="A1535" s="55"/>
      <c r="B1535" s="83"/>
      <c r="C1535" s="83"/>
      <c r="D1535" s="83"/>
      <c r="E1535" s="83"/>
      <c r="F1535" s="83"/>
      <c r="G1535" s="83"/>
      <c r="H1535" s="83"/>
      <c r="I1535" s="83"/>
      <c r="J1535" s="62">
        <v>130040007</v>
      </c>
      <c r="K1535" s="63"/>
      <c r="L1535" s="64" t="s">
        <v>1693</v>
      </c>
      <c r="M1535" s="224">
        <v>20</v>
      </c>
      <c r="N1535" s="66">
        <v>25</v>
      </c>
      <c r="O1535" s="66"/>
      <c r="P1535" s="26">
        <v>50.626341463414626</v>
      </c>
      <c r="Q1535" s="111">
        <f t="shared" si="215"/>
        <v>2176.9326829268289</v>
      </c>
      <c r="R1535" s="28">
        <f t="shared" si="216"/>
        <v>1741.5461463414631</v>
      </c>
    </row>
    <row r="1536" spans="1:18" ht="10.5" customHeight="1" x14ac:dyDescent="0.3">
      <c r="A1536" s="20"/>
      <c r="B1536" s="20"/>
      <c r="C1536" s="20"/>
      <c r="D1536" s="20"/>
      <c r="E1536" s="20"/>
      <c r="F1536" s="20"/>
      <c r="G1536" s="20"/>
      <c r="H1536" s="20"/>
      <c r="I1536" s="20"/>
      <c r="J1536" s="20"/>
      <c r="K1536" s="20"/>
      <c r="L1536" s="20"/>
      <c r="M1536" s="20"/>
      <c r="N1536" s="20"/>
      <c r="O1536" s="20"/>
      <c r="P1536" s="20"/>
      <c r="Q1536" s="20"/>
      <c r="R1536" s="20"/>
    </row>
    <row r="1537" spans="1:18" ht="10.5" customHeight="1" x14ac:dyDescent="0.3">
      <c r="A1537" s="47" t="s">
        <v>1794</v>
      </c>
      <c r="B1537" s="228" t="s">
        <v>1795</v>
      </c>
      <c r="C1537" s="49"/>
      <c r="D1537" s="49"/>
      <c r="E1537" s="49"/>
      <c r="F1537" s="49"/>
      <c r="G1537" s="49"/>
      <c r="H1537" s="49"/>
      <c r="I1537" s="49"/>
      <c r="J1537" s="446" t="s">
        <v>78</v>
      </c>
      <c r="K1537" s="446" t="s">
        <v>79</v>
      </c>
      <c r="L1537" s="446"/>
      <c r="M1537" s="446"/>
      <c r="N1537" s="447" t="s">
        <v>80</v>
      </c>
      <c r="O1537" s="14"/>
      <c r="P1537" s="15"/>
      <c r="Q1537" s="16" t="s">
        <v>81</v>
      </c>
      <c r="R1537" s="17" t="s">
        <v>82</v>
      </c>
    </row>
    <row r="1538" spans="1:18" ht="10.5" customHeight="1" x14ac:dyDescent="0.3">
      <c r="A1538" s="18"/>
      <c r="B1538" s="20"/>
      <c r="C1538" s="20"/>
      <c r="D1538" s="20"/>
      <c r="E1538" s="20"/>
      <c r="F1538" s="20"/>
      <c r="G1538" s="20"/>
      <c r="H1538" s="20"/>
      <c r="I1538" s="20"/>
      <c r="J1538" s="446"/>
      <c r="K1538" s="446"/>
      <c r="L1538" s="446"/>
      <c r="M1538" s="446"/>
      <c r="N1538" s="447"/>
      <c r="O1538" s="14"/>
      <c r="P1538" s="19"/>
      <c r="Q1538" s="15" t="s">
        <v>84</v>
      </c>
      <c r="R1538" s="15" t="s">
        <v>84</v>
      </c>
    </row>
    <row r="1539" spans="1:18" ht="10.5" customHeight="1" x14ac:dyDescent="0.3">
      <c r="A1539" s="18"/>
      <c r="B1539" s="20"/>
      <c r="C1539" s="20"/>
      <c r="D1539" s="20"/>
      <c r="E1539" s="20"/>
      <c r="F1539" s="20"/>
      <c r="G1539" s="20"/>
      <c r="H1539" s="20"/>
      <c r="I1539" s="20"/>
      <c r="J1539" s="118">
        <v>10421448</v>
      </c>
      <c r="K1539" s="153">
        <v>14</v>
      </c>
      <c r="L1539" s="41" t="s">
        <v>86</v>
      </c>
      <c r="M1539" s="337">
        <v>4.8</v>
      </c>
      <c r="N1539" s="106">
        <v>500</v>
      </c>
      <c r="O1539" s="106"/>
      <c r="P1539" s="78">
        <v>0.97</v>
      </c>
      <c r="Q1539" s="143">
        <f>P1539*$F$10</f>
        <v>41.71</v>
      </c>
      <c r="R1539" s="72">
        <f>Q1539-Q1539*0.2</f>
        <v>33.368000000000002</v>
      </c>
    </row>
    <row r="1540" spans="1:18" ht="10.5" customHeight="1" x14ac:dyDescent="0.3">
      <c r="A1540" s="178"/>
      <c r="B1540" s="20"/>
      <c r="C1540" s="20"/>
      <c r="D1540" s="20"/>
      <c r="E1540" s="20"/>
      <c r="F1540" s="20"/>
      <c r="G1540" s="20"/>
      <c r="H1540" s="20"/>
      <c r="I1540" s="20"/>
      <c r="J1540" s="252">
        <v>10421655</v>
      </c>
      <c r="K1540" s="22">
        <v>16</v>
      </c>
      <c r="L1540" s="23" t="s">
        <v>86</v>
      </c>
      <c r="M1540" s="132">
        <v>5.5</v>
      </c>
      <c r="N1540" s="94">
        <v>500</v>
      </c>
      <c r="O1540" s="94"/>
      <c r="P1540" s="26">
        <v>1.1200000000000001</v>
      </c>
      <c r="Q1540" s="152">
        <f>P1540*$F$10</f>
        <v>48.160000000000004</v>
      </c>
      <c r="R1540" s="28">
        <f>Q1540-Q1540*0.2</f>
        <v>38.528000000000006</v>
      </c>
    </row>
    <row r="1541" spans="1:18" ht="10.5" customHeight="1" x14ac:dyDescent="0.3">
      <c r="A1541" s="55"/>
      <c r="B1541" s="83"/>
      <c r="C1541" s="83"/>
      <c r="D1541" s="83"/>
      <c r="E1541" s="83"/>
      <c r="F1541" s="83"/>
      <c r="G1541" s="83"/>
      <c r="H1541" s="83"/>
      <c r="I1541" s="116"/>
      <c r="J1541" s="139">
        <v>10421963</v>
      </c>
      <c r="K1541" s="74">
        <v>19</v>
      </c>
      <c r="L1541" s="75" t="s">
        <v>86</v>
      </c>
      <c r="M1541" s="180">
        <v>6.3</v>
      </c>
      <c r="N1541" s="87">
        <v>500</v>
      </c>
      <c r="O1541" s="87"/>
      <c r="P1541" s="78">
        <v>1.63</v>
      </c>
      <c r="Q1541" s="143">
        <f>P1541*$F$10</f>
        <v>70.089999999999989</v>
      </c>
      <c r="R1541" s="72">
        <f>Q1541-Q1541*0.2</f>
        <v>56.071999999999989</v>
      </c>
    </row>
    <row r="1542" spans="1:18" ht="10.5" customHeight="1" x14ac:dyDescent="0.3">
      <c r="A1542" s="20"/>
      <c r="B1542" s="20"/>
      <c r="C1542" s="20"/>
      <c r="D1542" s="20"/>
      <c r="E1542" s="20"/>
      <c r="F1542" s="20"/>
      <c r="G1542" s="20"/>
      <c r="H1542" s="20"/>
      <c r="I1542" s="20"/>
      <c r="J1542" s="156"/>
      <c r="K1542" s="40"/>
      <c r="L1542" s="41"/>
      <c r="M1542" s="338"/>
      <c r="N1542" s="97"/>
      <c r="O1542" s="97"/>
      <c r="P1542" s="44"/>
      <c r="Q1542" s="71"/>
      <c r="R1542" s="46"/>
    </row>
    <row r="1543" spans="1:18" ht="15" customHeight="1" x14ac:dyDescent="0.3">
      <c r="A1543" s="448" t="s">
        <v>1796</v>
      </c>
      <c r="B1543" s="448"/>
      <c r="C1543" s="448"/>
      <c r="D1543" s="448"/>
      <c r="E1543" s="448"/>
      <c r="F1543" s="448"/>
      <c r="G1543" s="448"/>
      <c r="H1543" s="448"/>
      <c r="I1543" s="448"/>
      <c r="J1543" s="448"/>
      <c r="K1543" s="448"/>
      <c r="L1543" s="448"/>
      <c r="M1543" s="448"/>
      <c r="N1543" s="448"/>
      <c r="O1543" s="448"/>
      <c r="P1543" s="448"/>
      <c r="Q1543" s="448"/>
      <c r="R1543" s="448"/>
    </row>
    <row r="1544" spans="1:18" ht="10.5" customHeight="1" x14ac:dyDescent="0.3">
      <c r="A1544" s="166" t="s">
        <v>1797</v>
      </c>
      <c r="B1544" s="308" t="s">
        <v>1798</v>
      </c>
      <c r="C1544" s="49"/>
      <c r="D1544" s="49"/>
      <c r="E1544" s="49"/>
      <c r="F1544" s="49"/>
      <c r="G1544" s="49"/>
      <c r="H1544" s="50"/>
      <c r="I1544" s="49"/>
      <c r="J1544" s="166" t="s">
        <v>1799</v>
      </c>
      <c r="K1544" s="308" t="s">
        <v>1800</v>
      </c>
      <c r="L1544" s="49"/>
      <c r="M1544" s="49"/>
      <c r="N1544" s="49"/>
      <c r="O1544" s="49"/>
      <c r="P1544" s="49"/>
      <c r="Q1544" s="49"/>
      <c r="R1544" s="50"/>
    </row>
    <row r="1545" spans="1:18" ht="10.5" customHeight="1" x14ac:dyDescent="0.3">
      <c r="A1545" s="306" t="s">
        <v>457</v>
      </c>
      <c r="B1545" s="20"/>
      <c r="C1545" s="20"/>
      <c r="D1545" s="20"/>
      <c r="E1545" s="20"/>
      <c r="F1545" s="20"/>
      <c r="G1545" s="20"/>
      <c r="H1545" s="101"/>
      <c r="I1545" s="20"/>
      <c r="J1545" s="18"/>
      <c r="K1545" s="20"/>
      <c r="L1545" s="20"/>
      <c r="M1545" s="20"/>
      <c r="N1545" s="20"/>
      <c r="O1545" s="20"/>
      <c r="P1545" s="20"/>
      <c r="Q1545" s="20"/>
      <c r="R1545" s="101"/>
    </row>
    <row r="1546" spans="1:18" ht="10.5" customHeight="1" x14ac:dyDescent="0.3">
      <c r="A1546" s="339"/>
      <c r="B1546" s="20"/>
      <c r="C1546" s="20"/>
      <c r="D1546" s="20"/>
      <c r="E1546" s="20"/>
      <c r="F1546" s="20"/>
      <c r="G1546" s="20"/>
      <c r="H1546" s="101"/>
      <c r="I1546" s="20"/>
      <c r="J1546" s="306" t="s">
        <v>457</v>
      </c>
      <c r="K1546" s="20"/>
      <c r="L1546" s="20"/>
      <c r="M1546" s="20"/>
      <c r="N1546" s="20"/>
      <c r="O1546" s="20"/>
      <c r="P1546" s="20"/>
      <c r="Q1546" s="20"/>
      <c r="R1546" s="101"/>
    </row>
    <row r="1547" spans="1:18" ht="10.5" customHeight="1" x14ac:dyDescent="0.3">
      <c r="A1547" s="339"/>
      <c r="B1547" s="20"/>
      <c r="C1547" s="20"/>
      <c r="D1547" s="20"/>
      <c r="E1547" s="20"/>
      <c r="F1547" s="20"/>
      <c r="G1547" s="20"/>
      <c r="H1547" s="101"/>
      <c r="I1547" s="20"/>
      <c r="J1547" s="339"/>
      <c r="K1547" s="20"/>
      <c r="L1547" s="20"/>
      <c r="M1547" s="20"/>
      <c r="N1547" s="20"/>
      <c r="O1547" s="20"/>
      <c r="P1547" s="20"/>
      <c r="Q1547" s="20"/>
      <c r="R1547" s="101"/>
    </row>
    <row r="1548" spans="1:18" ht="10.5" customHeight="1" x14ac:dyDescent="0.3">
      <c r="A1548" s="262" t="s">
        <v>1780</v>
      </c>
      <c r="B1548" s="20"/>
      <c r="C1548" s="20"/>
      <c r="D1548" s="20"/>
      <c r="E1548" s="20"/>
      <c r="F1548" s="20"/>
      <c r="G1548" s="20"/>
      <c r="H1548" s="101"/>
      <c r="I1548" s="20"/>
      <c r="J1548" s="328" t="s">
        <v>1780</v>
      </c>
      <c r="K1548" s="83"/>
      <c r="L1548" s="83"/>
      <c r="M1548" s="83"/>
      <c r="N1548" s="83"/>
      <c r="O1548" s="83"/>
      <c r="P1548" s="83"/>
      <c r="Q1548" s="83"/>
      <c r="R1548" s="101"/>
    </row>
    <row r="1549" spans="1:18" ht="10.5" customHeight="1" x14ac:dyDescent="0.3">
      <c r="A1549" s="446" t="s">
        <v>78</v>
      </c>
      <c r="B1549" s="446" t="s">
        <v>79</v>
      </c>
      <c r="C1549" s="446"/>
      <c r="D1549" s="446"/>
      <c r="E1549" s="447" t="s">
        <v>80</v>
      </c>
      <c r="F1549" s="15"/>
      <c r="G1549" s="16" t="s">
        <v>81</v>
      </c>
      <c r="H1549" s="17" t="s">
        <v>82</v>
      </c>
      <c r="I1549" s="20"/>
      <c r="J1549" s="446" t="s">
        <v>78</v>
      </c>
      <c r="K1549" s="446" t="s">
        <v>79</v>
      </c>
      <c r="L1549" s="446"/>
      <c r="M1549" s="446"/>
      <c r="N1549" s="447" t="s">
        <v>80</v>
      </c>
      <c r="O1549" s="14"/>
      <c r="P1549" s="15"/>
      <c r="Q1549" s="16" t="s">
        <v>81</v>
      </c>
      <c r="R1549" s="17" t="s">
        <v>82</v>
      </c>
    </row>
    <row r="1550" spans="1:18" ht="10.5" customHeight="1" x14ac:dyDescent="0.3">
      <c r="A1550" s="446"/>
      <c r="B1550" s="446"/>
      <c r="C1550" s="446"/>
      <c r="D1550" s="446"/>
      <c r="E1550" s="447"/>
      <c r="F1550" s="19"/>
      <c r="G1550" s="15" t="s">
        <v>375</v>
      </c>
      <c r="H1550" s="15" t="s">
        <v>375</v>
      </c>
      <c r="I1550" s="20"/>
      <c r="J1550" s="446"/>
      <c r="K1550" s="446"/>
      <c r="L1550" s="446"/>
      <c r="M1550" s="446"/>
      <c r="N1550" s="447"/>
      <c r="O1550" s="14"/>
      <c r="P1550" s="19"/>
      <c r="Q1550" s="15" t="s">
        <v>375</v>
      </c>
      <c r="R1550" s="15" t="s">
        <v>375</v>
      </c>
    </row>
    <row r="1551" spans="1:18" ht="10.5" customHeight="1" x14ac:dyDescent="0.3">
      <c r="A1551" s="263" t="s">
        <v>1801</v>
      </c>
      <c r="B1551" s="167"/>
      <c r="C1551" s="271" t="s">
        <v>1693</v>
      </c>
      <c r="D1551" s="272">
        <v>5</v>
      </c>
      <c r="E1551" s="87">
        <v>1</v>
      </c>
      <c r="F1551" s="78">
        <v>0.68999992222654805</v>
      </c>
      <c r="G1551" s="72">
        <f t="shared" ref="G1551:G1560" si="217">F1551*$F$10</f>
        <v>29.669996655741567</v>
      </c>
      <c r="H1551" s="28">
        <f t="shared" ref="H1551:H1560" si="218">G1551-G1551*0.2</f>
        <v>23.735997324593253</v>
      </c>
      <c r="I1551" s="20"/>
      <c r="J1551" s="263" t="s">
        <v>1802</v>
      </c>
      <c r="K1551" s="167"/>
      <c r="L1551" s="271" t="s">
        <v>1693</v>
      </c>
      <c r="M1551" s="272">
        <v>5</v>
      </c>
      <c r="N1551" s="87">
        <v>1</v>
      </c>
      <c r="O1551" s="87"/>
      <c r="P1551" s="78">
        <v>0.68999928585244652</v>
      </c>
      <c r="Q1551" s="72">
        <f t="shared" ref="Q1551:Q1560" si="219">P1551*$F$10</f>
        <v>29.6699692916552</v>
      </c>
      <c r="R1551" s="72">
        <f t="shared" ref="R1551:R1560" si="220">Q1551-Q1551*0.2</f>
        <v>23.73597543332416</v>
      </c>
    </row>
    <row r="1552" spans="1:18" ht="10.5" customHeight="1" x14ac:dyDescent="0.3">
      <c r="A1552" s="307" t="s">
        <v>1803</v>
      </c>
      <c r="B1552" s="167"/>
      <c r="C1552" s="271" t="s">
        <v>1693</v>
      </c>
      <c r="D1552" s="272">
        <v>6</v>
      </c>
      <c r="E1552" s="94">
        <v>1</v>
      </c>
      <c r="F1552" s="26">
        <v>0.7504599999999999</v>
      </c>
      <c r="G1552" s="28">
        <f t="shared" si="217"/>
        <v>32.269779999999997</v>
      </c>
      <c r="H1552" s="28">
        <f t="shared" si="218"/>
        <v>25.815823999999999</v>
      </c>
      <c r="I1552" s="20"/>
      <c r="J1552" s="307" t="s">
        <v>1804</v>
      </c>
      <c r="K1552" s="167"/>
      <c r="L1552" s="271" t="s">
        <v>1693</v>
      </c>
      <c r="M1552" s="272">
        <v>6</v>
      </c>
      <c r="N1552" s="94">
        <v>1</v>
      </c>
      <c r="O1552" s="94"/>
      <c r="P1552" s="26">
        <v>0.749999997914925</v>
      </c>
      <c r="Q1552" s="28">
        <f t="shared" si="219"/>
        <v>32.249999910341778</v>
      </c>
      <c r="R1552" s="28">
        <f t="shared" si="220"/>
        <v>25.799999928273422</v>
      </c>
    </row>
    <row r="1553" spans="1:18" ht="10.5" customHeight="1" x14ac:dyDescent="0.3">
      <c r="A1553" s="307" t="s">
        <v>1805</v>
      </c>
      <c r="B1553" s="51"/>
      <c r="C1553" s="277" t="s">
        <v>1693</v>
      </c>
      <c r="D1553" s="312">
        <v>8</v>
      </c>
      <c r="E1553" s="94">
        <v>1</v>
      </c>
      <c r="F1553" s="26">
        <v>0.9</v>
      </c>
      <c r="G1553" s="28">
        <f t="shared" si="217"/>
        <v>38.700000000000003</v>
      </c>
      <c r="H1553" s="28">
        <f t="shared" si="218"/>
        <v>30.96</v>
      </c>
      <c r="I1553" s="20"/>
      <c r="J1553" s="307" t="s">
        <v>1806</v>
      </c>
      <c r="K1553" s="51"/>
      <c r="L1553" s="277" t="s">
        <v>1693</v>
      </c>
      <c r="M1553" s="312">
        <v>8</v>
      </c>
      <c r="N1553" s="94">
        <v>1</v>
      </c>
      <c r="O1553" s="94"/>
      <c r="P1553" s="26">
        <v>0.9</v>
      </c>
      <c r="Q1553" s="28">
        <f t="shared" si="219"/>
        <v>38.700000000000003</v>
      </c>
      <c r="R1553" s="28">
        <f t="shared" si="220"/>
        <v>30.96</v>
      </c>
    </row>
    <row r="1554" spans="1:18" ht="10.5" customHeight="1" x14ac:dyDescent="0.3">
      <c r="A1554" s="307" t="s">
        <v>1807</v>
      </c>
      <c r="B1554" s="167"/>
      <c r="C1554" s="271" t="s">
        <v>1693</v>
      </c>
      <c r="D1554" s="272">
        <v>10</v>
      </c>
      <c r="E1554" s="94">
        <v>1</v>
      </c>
      <c r="F1554" s="26">
        <v>1.3799999999995762</v>
      </c>
      <c r="G1554" s="28">
        <f t="shared" si="217"/>
        <v>59.339999999981778</v>
      </c>
      <c r="H1554" s="28">
        <f t="shared" si="218"/>
        <v>47.471999999985421</v>
      </c>
      <c r="I1554" s="20"/>
      <c r="J1554" s="307" t="s">
        <v>1808</v>
      </c>
      <c r="K1554" s="167"/>
      <c r="L1554" s="271" t="s">
        <v>1693</v>
      </c>
      <c r="M1554" s="272">
        <v>10</v>
      </c>
      <c r="N1554" s="94">
        <v>1</v>
      </c>
      <c r="O1554" s="94"/>
      <c r="P1554" s="26">
        <v>1.2419999999996187</v>
      </c>
      <c r="Q1554" s="28">
        <f t="shared" si="219"/>
        <v>53.405999999983607</v>
      </c>
      <c r="R1554" s="28">
        <f t="shared" si="220"/>
        <v>42.724799999986885</v>
      </c>
    </row>
    <row r="1555" spans="1:18" ht="10.5" customHeight="1" x14ac:dyDescent="0.3">
      <c r="A1555" s="307" t="s">
        <v>1809</v>
      </c>
      <c r="B1555" s="40"/>
      <c r="C1555" s="274" t="s">
        <v>1693</v>
      </c>
      <c r="D1555" s="275">
        <v>12</v>
      </c>
      <c r="E1555" s="93">
        <v>1</v>
      </c>
      <c r="F1555" s="36">
        <v>1.790999999999664</v>
      </c>
      <c r="G1555" s="28">
        <f t="shared" si="217"/>
        <v>77.012999999985553</v>
      </c>
      <c r="H1555" s="28">
        <f t="shared" si="218"/>
        <v>61.610399999988445</v>
      </c>
      <c r="I1555" s="20"/>
      <c r="J1555" s="307" t="s">
        <v>1810</v>
      </c>
      <c r="K1555" s="40"/>
      <c r="L1555" s="274" t="s">
        <v>1693</v>
      </c>
      <c r="M1555" s="275">
        <v>12</v>
      </c>
      <c r="N1555" s="93">
        <v>1</v>
      </c>
      <c r="O1555" s="93"/>
      <c r="P1555" s="36">
        <v>1.989999998768518</v>
      </c>
      <c r="Q1555" s="28">
        <f t="shared" si="219"/>
        <v>85.56999994704627</v>
      </c>
      <c r="R1555" s="28">
        <f t="shared" si="220"/>
        <v>68.455999957637019</v>
      </c>
    </row>
    <row r="1556" spans="1:18" ht="10.5" customHeight="1" x14ac:dyDescent="0.3">
      <c r="A1556" s="307" t="s">
        <v>1811</v>
      </c>
      <c r="B1556" s="51"/>
      <c r="C1556" s="277" t="s">
        <v>1693</v>
      </c>
      <c r="D1556" s="312">
        <v>14</v>
      </c>
      <c r="E1556" s="94">
        <v>1</v>
      </c>
      <c r="F1556" s="26">
        <v>3.1399991952523436</v>
      </c>
      <c r="G1556" s="28">
        <f t="shared" si="217"/>
        <v>135.01996539585076</v>
      </c>
      <c r="H1556" s="28">
        <f t="shared" si="218"/>
        <v>108.0159723166806</v>
      </c>
      <c r="I1556" s="20"/>
      <c r="J1556" s="307" t="s">
        <v>1812</v>
      </c>
      <c r="K1556" s="51"/>
      <c r="L1556" s="277" t="s">
        <v>1693</v>
      </c>
      <c r="M1556" s="312">
        <v>14</v>
      </c>
      <c r="N1556" s="94">
        <v>1</v>
      </c>
      <c r="O1556" s="94"/>
      <c r="P1556" s="26">
        <v>3.1399998128414159</v>
      </c>
      <c r="Q1556" s="28">
        <f t="shared" si="219"/>
        <v>135.01999195218087</v>
      </c>
      <c r="R1556" s="28">
        <f t="shared" si="220"/>
        <v>108.01599356174469</v>
      </c>
    </row>
    <row r="1557" spans="1:18" ht="10.5" customHeight="1" x14ac:dyDescent="0.3">
      <c r="A1557" s="307" t="s">
        <v>1813</v>
      </c>
      <c r="B1557" s="167"/>
      <c r="C1557" s="271" t="s">
        <v>1693</v>
      </c>
      <c r="D1557" s="272">
        <v>16</v>
      </c>
      <c r="E1557" s="94">
        <v>1</v>
      </c>
      <c r="F1557" s="26">
        <v>4.2399999999999993</v>
      </c>
      <c r="G1557" s="28">
        <f t="shared" si="217"/>
        <v>182.31999999999996</v>
      </c>
      <c r="H1557" s="28">
        <f t="shared" si="218"/>
        <v>145.85599999999997</v>
      </c>
      <c r="I1557" s="20"/>
      <c r="J1557" s="307" t="s">
        <v>1814</v>
      </c>
      <c r="K1557" s="167"/>
      <c r="L1557" s="271" t="s">
        <v>1693</v>
      </c>
      <c r="M1557" s="272">
        <v>16</v>
      </c>
      <c r="N1557" s="94">
        <v>1</v>
      </c>
      <c r="O1557" s="94"/>
      <c r="P1557" s="26">
        <v>4.2399999999999984</v>
      </c>
      <c r="Q1557" s="28">
        <f t="shared" si="219"/>
        <v>182.31999999999994</v>
      </c>
      <c r="R1557" s="28">
        <f t="shared" si="220"/>
        <v>145.85599999999994</v>
      </c>
    </row>
    <row r="1558" spans="1:18" ht="10.5" customHeight="1" x14ac:dyDescent="0.3">
      <c r="A1558" s="307" t="s">
        <v>1815</v>
      </c>
      <c r="B1558" s="167"/>
      <c r="C1558" s="271" t="s">
        <v>1693</v>
      </c>
      <c r="D1558" s="272">
        <v>18</v>
      </c>
      <c r="E1558" s="94">
        <v>1</v>
      </c>
      <c r="F1558" s="26">
        <v>7.9300000000000006</v>
      </c>
      <c r="G1558" s="28">
        <f t="shared" si="217"/>
        <v>340.99</v>
      </c>
      <c r="H1558" s="28">
        <f t="shared" si="218"/>
        <v>272.79200000000003</v>
      </c>
      <c r="I1558" s="176"/>
      <c r="J1558" s="307" t="s">
        <v>1816</v>
      </c>
      <c r="K1558" s="167"/>
      <c r="L1558" s="271" t="s">
        <v>1693</v>
      </c>
      <c r="M1558" s="272">
        <v>18</v>
      </c>
      <c r="N1558" s="94">
        <v>1</v>
      </c>
      <c r="O1558" s="94"/>
      <c r="P1558" s="26">
        <v>7.9300000000000006</v>
      </c>
      <c r="Q1558" s="28">
        <f t="shared" si="219"/>
        <v>340.99</v>
      </c>
      <c r="R1558" s="28">
        <f t="shared" si="220"/>
        <v>272.79200000000003</v>
      </c>
    </row>
    <row r="1559" spans="1:18" ht="10.5" customHeight="1" x14ac:dyDescent="0.3">
      <c r="A1559" s="307" t="s">
        <v>1817</v>
      </c>
      <c r="B1559" s="167"/>
      <c r="C1559" s="271" t="s">
        <v>1693</v>
      </c>
      <c r="D1559" s="272">
        <v>20</v>
      </c>
      <c r="E1559" s="94">
        <v>1</v>
      </c>
      <c r="F1559" s="26">
        <v>7.5</v>
      </c>
      <c r="G1559" s="28">
        <f t="shared" si="217"/>
        <v>322.5</v>
      </c>
      <c r="H1559" s="28">
        <f t="shared" si="218"/>
        <v>258</v>
      </c>
      <c r="I1559" s="176"/>
      <c r="J1559" s="307" t="s">
        <v>1818</v>
      </c>
      <c r="K1559" s="167"/>
      <c r="L1559" s="271" t="s">
        <v>1693</v>
      </c>
      <c r="M1559" s="272">
        <v>20</v>
      </c>
      <c r="N1559" s="94">
        <v>1</v>
      </c>
      <c r="O1559" s="94"/>
      <c r="P1559" s="26">
        <v>7.5045999999999999</v>
      </c>
      <c r="Q1559" s="28">
        <f t="shared" si="219"/>
        <v>322.69779999999997</v>
      </c>
      <c r="R1559" s="28">
        <f t="shared" si="220"/>
        <v>258.15823999999998</v>
      </c>
    </row>
    <row r="1560" spans="1:18" ht="10.5" customHeight="1" x14ac:dyDescent="0.3">
      <c r="A1560" s="307" t="s">
        <v>1819</v>
      </c>
      <c r="B1560" s="167"/>
      <c r="C1560" s="271" t="s">
        <v>1693</v>
      </c>
      <c r="D1560" s="272">
        <v>24</v>
      </c>
      <c r="E1560" s="94">
        <v>1</v>
      </c>
      <c r="F1560" s="26">
        <v>13.779997231971912</v>
      </c>
      <c r="G1560" s="28">
        <f t="shared" si="217"/>
        <v>592.53988097479225</v>
      </c>
      <c r="H1560" s="28">
        <f t="shared" si="218"/>
        <v>474.03190477983378</v>
      </c>
      <c r="I1560" s="54"/>
      <c r="J1560" s="307" t="s">
        <v>1820</v>
      </c>
      <c r="K1560" s="167"/>
      <c r="L1560" s="271" t="s">
        <v>1693</v>
      </c>
      <c r="M1560" s="272">
        <v>24</v>
      </c>
      <c r="N1560" s="94">
        <v>1</v>
      </c>
      <c r="O1560" s="94"/>
      <c r="P1560" s="26">
        <v>13.209826829268291</v>
      </c>
      <c r="Q1560" s="28">
        <f t="shared" si="219"/>
        <v>568.02255365853648</v>
      </c>
      <c r="R1560" s="28">
        <f t="shared" si="220"/>
        <v>454.41804292682917</v>
      </c>
    </row>
    <row r="1561" spans="1:18" ht="10.5" customHeight="1" x14ac:dyDescent="0.3">
      <c r="A1561" s="275"/>
      <c r="B1561" s="40"/>
      <c r="C1561" s="274"/>
      <c r="D1561" s="275"/>
      <c r="E1561" s="97"/>
      <c r="F1561" s="44"/>
      <c r="G1561" s="46"/>
      <c r="H1561" s="46"/>
      <c r="I1561" s="20"/>
      <c r="J1561" s="275"/>
      <c r="K1561" s="40"/>
      <c r="L1561" s="274"/>
      <c r="M1561" s="275"/>
      <c r="N1561" s="97"/>
      <c r="O1561" s="97"/>
      <c r="P1561" s="44"/>
      <c r="Q1561" s="46"/>
      <c r="R1561" s="46"/>
    </row>
    <row r="1562" spans="1:18" ht="10.5" customHeight="1" x14ac:dyDescent="0.3">
      <c r="A1562" s="275"/>
      <c r="B1562" s="40"/>
      <c r="C1562" s="274"/>
      <c r="D1562" s="275"/>
      <c r="E1562" s="97"/>
      <c r="F1562" s="44"/>
      <c r="G1562" s="46"/>
      <c r="H1562" s="46"/>
      <c r="I1562" s="20"/>
      <c r="J1562" s="275"/>
      <c r="K1562" s="40"/>
      <c r="L1562" s="274"/>
      <c r="M1562" s="275"/>
      <c r="N1562" s="97"/>
      <c r="O1562" s="97"/>
      <c r="P1562" s="44"/>
      <c r="Q1562" s="46"/>
      <c r="R1562" s="46"/>
    </row>
    <row r="1563" spans="1:18" ht="10.5" customHeight="1" x14ac:dyDescent="0.3">
      <c r="A1563" s="275"/>
      <c r="B1563" s="40"/>
      <c r="C1563" s="274"/>
      <c r="D1563" s="275"/>
      <c r="E1563" s="97"/>
      <c r="F1563" s="44"/>
      <c r="G1563" s="46"/>
      <c r="H1563" s="46"/>
      <c r="I1563" s="20"/>
      <c r="J1563" s="275"/>
      <c r="K1563" s="40"/>
      <c r="L1563" s="274"/>
      <c r="M1563" s="275"/>
      <c r="N1563" s="97"/>
      <c r="O1563" s="97"/>
      <c r="P1563" s="44"/>
      <c r="Q1563" s="46"/>
      <c r="R1563" s="46"/>
    </row>
    <row r="1564" spans="1:18" ht="10.5" customHeight="1" x14ac:dyDescent="0.3">
      <c r="A1564" s="275"/>
      <c r="B1564" s="40"/>
      <c r="C1564" s="274"/>
      <c r="D1564" s="275"/>
      <c r="E1564" s="97"/>
      <c r="F1564" s="44"/>
      <c r="G1564" s="46"/>
      <c r="H1564" s="46"/>
      <c r="I1564" s="20"/>
      <c r="J1564" s="275"/>
      <c r="K1564" s="40"/>
      <c r="L1564" s="274"/>
      <c r="M1564" s="275"/>
      <c r="N1564" s="97"/>
      <c r="O1564" s="97"/>
      <c r="P1564" s="44"/>
      <c r="Q1564" s="46"/>
      <c r="R1564" s="46"/>
    </row>
    <row r="1565" spans="1:18" ht="10.5" customHeight="1" x14ac:dyDescent="0.3">
      <c r="A1565" s="275"/>
      <c r="B1565" s="40"/>
      <c r="C1565" s="274"/>
      <c r="D1565" s="275"/>
      <c r="E1565" s="97"/>
      <c r="F1565" s="44"/>
      <c r="G1565" s="46"/>
      <c r="H1565" s="46"/>
      <c r="I1565" s="20"/>
      <c r="J1565" s="275"/>
      <c r="K1565" s="40"/>
      <c r="L1565" s="274"/>
      <c r="M1565" s="275"/>
      <c r="N1565" s="97"/>
      <c r="O1565" s="97"/>
      <c r="P1565" s="44"/>
      <c r="Q1565" s="46"/>
      <c r="R1565" s="46"/>
    </row>
    <row r="1566" spans="1:18" ht="10.5" customHeight="1" x14ac:dyDescent="0.3">
      <c r="A1566" s="275"/>
      <c r="B1566" s="40"/>
      <c r="C1566" s="274"/>
      <c r="D1566" s="275"/>
      <c r="E1566" s="97"/>
      <c r="F1566" s="44"/>
      <c r="G1566" s="46"/>
      <c r="H1566" s="46"/>
      <c r="I1566" s="20"/>
      <c r="J1566" s="275"/>
      <c r="K1566" s="40"/>
      <c r="L1566" s="274"/>
      <c r="M1566" s="275"/>
      <c r="N1566" s="97"/>
      <c r="O1566" s="97"/>
      <c r="P1566" s="44"/>
      <c r="Q1566" s="46"/>
      <c r="R1566" s="46"/>
    </row>
    <row r="1567" spans="1:18" ht="10.5" customHeight="1" x14ac:dyDescent="0.3">
      <c r="A1567" s="275"/>
      <c r="B1567" s="40"/>
      <c r="C1567" s="274"/>
      <c r="D1567" s="275"/>
      <c r="E1567" s="97"/>
      <c r="F1567" s="44"/>
      <c r="G1567" s="46"/>
      <c r="H1567" s="46"/>
      <c r="I1567" s="20"/>
      <c r="J1567" s="275"/>
      <c r="K1567" s="40"/>
      <c r="L1567" s="274"/>
      <c r="M1567" s="275"/>
      <c r="N1567" s="97"/>
      <c r="O1567" s="97"/>
      <c r="P1567" s="44"/>
      <c r="Q1567" s="46"/>
      <c r="R1567" s="46"/>
    </row>
    <row r="1568" spans="1:18" ht="10.5" customHeight="1" x14ac:dyDescent="0.3">
      <c r="A1568" s="275"/>
      <c r="B1568" s="40"/>
      <c r="C1568" s="274"/>
      <c r="D1568" s="275"/>
      <c r="E1568" s="97"/>
      <c r="F1568" s="44"/>
      <c r="G1568" s="46"/>
      <c r="H1568" s="46"/>
      <c r="I1568" s="20"/>
      <c r="J1568" s="275"/>
      <c r="K1568" s="40"/>
      <c r="L1568" s="274"/>
      <c r="M1568" s="275"/>
      <c r="N1568" s="97"/>
      <c r="O1568" s="97"/>
      <c r="P1568" s="44"/>
      <c r="Q1568" s="46"/>
      <c r="R1568" s="46"/>
    </row>
    <row r="1569" spans="1:18" ht="10.5" customHeight="1" x14ac:dyDescent="0.3">
      <c r="A1569" s="275"/>
      <c r="B1569" s="40"/>
      <c r="C1569" s="274"/>
      <c r="D1569" s="275"/>
      <c r="E1569" s="97"/>
      <c r="F1569" s="44"/>
      <c r="G1569" s="46"/>
      <c r="H1569" s="46"/>
      <c r="I1569" s="20"/>
      <c r="J1569" s="275"/>
      <c r="K1569" s="40"/>
      <c r="L1569" s="274"/>
      <c r="M1569" s="275"/>
      <c r="N1569" s="97"/>
      <c r="O1569" s="97"/>
      <c r="P1569" s="44"/>
      <c r="Q1569" s="46"/>
      <c r="R1569" s="46"/>
    </row>
    <row r="1570" spans="1:18" ht="10.5" customHeight="1" x14ac:dyDescent="0.3">
      <c r="A1570" s="20"/>
      <c r="B1570" s="20"/>
      <c r="C1570" s="20"/>
      <c r="D1570" s="20"/>
      <c r="E1570" s="20"/>
      <c r="F1570" s="20"/>
      <c r="G1570" s="20"/>
      <c r="H1570" s="20"/>
      <c r="I1570" s="20"/>
      <c r="J1570" s="20"/>
      <c r="K1570" s="20"/>
      <c r="L1570" s="20"/>
      <c r="M1570" s="20"/>
      <c r="N1570" s="20"/>
      <c r="O1570" s="20"/>
      <c r="P1570" s="20"/>
      <c r="Q1570" s="20"/>
      <c r="R1570" s="20"/>
    </row>
    <row r="1571" spans="1:18" ht="10.5" customHeight="1" x14ac:dyDescent="0.3">
      <c r="A1571" s="166" t="s">
        <v>1821</v>
      </c>
      <c r="B1571" s="308" t="s">
        <v>1822</v>
      </c>
      <c r="C1571" s="49"/>
      <c r="D1571" s="49"/>
      <c r="E1571" s="49"/>
      <c r="F1571" s="49"/>
      <c r="G1571" s="49"/>
      <c r="H1571" s="50"/>
      <c r="I1571" s="49"/>
      <c r="J1571" s="166" t="s">
        <v>1823</v>
      </c>
      <c r="K1571" s="308" t="s">
        <v>1824</v>
      </c>
      <c r="L1571" s="49"/>
      <c r="M1571" s="49"/>
      <c r="N1571" s="49"/>
      <c r="O1571" s="49"/>
      <c r="P1571" s="49"/>
      <c r="Q1571" s="49"/>
      <c r="R1571" s="50"/>
    </row>
    <row r="1572" spans="1:18" ht="10.5" customHeight="1" x14ac:dyDescent="0.3">
      <c r="A1572" s="18"/>
      <c r="B1572" s="20"/>
      <c r="C1572" s="20"/>
      <c r="D1572" s="20"/>
      <c r="E1572" s="20"/>
      <c r="F1572" s="20"/>
      <c r="G1572" s="20"/>
      <c r="H1572" s="101"/>
      <c r="I1572" s="20"/>
      <c r="J1572" s="18"/>
      <c r="K1572" s="20"/>
      <c r="L1572" s="20"/>
      <c r="M1572" s="20"/>
      <c r="N1572" s="20"/>
      <c r="O1572" s="20"/>
      <c r="P1572" s="20"/>
      <c r="Q1572" s="20"/>
      <c r="R1572" s="101"/>
    </row>
    <row r="1573" spans="1:18" ht="10.5" customHeight="1" x14ac:dyDescent="0.3">
      <c r="A1573" s="306" t="s">
        <v>457</v>
      </c>
      <c r="B1573" s="20"/>
      <c r="C1573" s="20"/>
      <c r="D1573" s="20"/>
      <c r="E1573" s="20"/>
      <c r="F1573" s="20"/>
      <c r="G1573" s="20"/>
      <c r="H1573" s="101"/>
      <c r="I1573" s="20"/>
      <c r="J1573" s="306" t="s">
        <v>457</v>
      </c>
      <c r="K1573" s="20"/>
      <c r="L1573" s="20"/>
      <c r="M1573" s="20"/>
      <c r="N1573" s="20"/>
      <c r="O1573" s="20"/>
      <c r="P1573" s="20"/>
      <c r="Q1573" s="20"/>
      <c r="R1573" s="101"/>
    </row>
    <row r="1574" spans="1:18" ht="10.5" customHeight="1" x14ac:dyDescent="0.3">
      <c r="A1574" s="339"/>
      <c r="B1574" s="20"/>
      <c r="C1574" s="20"/>
      <c r="D1574" s="20"/>
      <c r="E1574" s="20"/>
      <c r="F1574" s="20"/>
      <c r="G1574" s="20"/>
      <c r="H1574" s="101"/>
      <c r="I1574" s="20"/>
      <c r="J1574" s="339"/>
      <c r="K1574" s="20"/>
      <c r="L1574" s="20"/>
      <c r="M1574" s="20"/>
      <c r="N1574" s="20"/>
      <c r="O1574" s="20"/>
      <c r="P1574" s="20"/>
      <c r="Q1574" s="20"/>
      <c r="R1574" s="101"/>
    </row>
    <row r="1575" spans="1:18" ht="10.5" customHeight="1" x14ac:dyDescent="0.3">
      <c r="A1575" s="328" t="s">
        <v>1780</v>
      </c>
      <c r="B1575" s="83"/>
      <c r="C1575" s="83"/>
      <c r="D1575" s="83"/>
      <c r="E1575" s="83"/>
      <c r="F1575" s="83"/>
      <c r="G1575" s="83"/>
      <c r="H1575" s="116"/>
      <c r="I1575" s="83"/>
      <c r="J1575" s="328" t="s">
        <v>1825</v>
      </c>
      <c r="K1575" s="83"/>
      <c r="L1575" s="83"/>
      <c r="M1575" s="83"/>
      <c r="N1575" s="83"/>
      <c r="O1575" s="83"/>
      <c r="P1575" s="83"/>
      <c r="Q1575" s="83"/>
      <c r="R1575" s="116"/>
    </row>
    <row r="1576" spans="1:18" ht="10.5" customHeight="1" x14ac:dyDescent="0.3">
      <c r="A1576" s="484" t="s">
        <v>78</v>
      </c>
      <c r="B1576" s="484" t="s">
        <v>79</v>
      </c>
      <c r="C1576" s="484"/>
      <c r="D1576" s="484"/>
      <c r="E1576" s="485" t="s">
        <v>80</v>
      </c>
      <c r="F1576" s="69"/>
      <c r="G1576" s="16" t="s">
        <v>81</v>
      </c>
      <c r="H1576" s="17" t="s">
        <v>82</v>
      </c>
      <c r="I1576" s="20"/>
      <c r="J1576" s="484" t="s">
        <v>78</v>
      </c>
      <c r="K1576" s="484" t="s">
        <v>79</v>
      </c>
      <c r="L1576" s="484"/>
      <c r="M1576" s="484"/>
      <c r="N1576" s="485" t="s">
        <v>80</v>
      </c>
      <c r="O1576" s="428"/>
      <c r="P1576" s="69"/>
      <c r="Q1576" s="16" t="s">
        <v>81</v>
      </c>
      <c r="R1576" s="17" t="s">
        <v>82</v>
      </c>
    </row>
    <row r="1577" spans="1:18" ht="10.5" customHeight="1" x14ac:dyDescent="0.3">
      <c r="A1577" s="484"/>
      <c r="B1577" s="484"/>
      <c r="C1577" s="484"/>
      <c r="D1577" s="484"/>
      <c r="E1577" s="485"/>
      <c r="F1577" s="19"/>
      <c r="G1577" s="15" t="s">
        <v>375</v>
      </c>
      <c r="H1577" s="15" t="s">
        <v>375</v>
      </c>
      <c r="I1577" s="20"/>
      <c r="J1577" s="484"/>
      <c r="K1577" s="484"/>
      <c r="L1577" s="484"/>
      <c r="M1577" s="484"/>
      <c r="N1577" s="485"/>
      <c r="O1577" s="428"/>
      <c r="P1577" s="19"/>
      <c r="Q1577" s="15" t="s">
        <v>375</v>
      </c>
      <c r="R1577" s="15" t="s">
        <v>375</v>
      </c>
    </row>
    <row r="1578" spans="1:18" ht="10.5" customHeight="1" x14ac:dyDescent="0.3">
      <c r="A1578" s="263" t="s">
        <v>1826</v>
      </c>
      <c r="B1578" s="167"/>
      <c r="C1578" s="271" t="s">
        <v>1693</v>
      </c>
      <c r="D1578" s="272">
        <v>5</v>
      </c>
      <c r="E1578" s="87">
        <v>1</v>
      </c>
      <c r="F1578" s="78">
        <v>0.68999928585244652</v>
      </c>
      <c r="G1578" s="72">
        <f t="shared" ref="G1578:G1587" si="221">F1578*$F$10</f>
        <v>29.6699692916552</v>
      </c>
      <c r="H1578" s="72">
        <f t="shared" ref="H1578:H1587" si="222">G1578-G1578*0.2</f>
        <v>23.73597543332416</v>
      </c>
      <c r="I1578" s="20"/>
      <c r="J1578" s="263">
        <v>200040001</v>
      </c>
      <c r="K1578" s="167"/>
      <c r="L1578" s="271" t="s">
        <v>1693</v>
      </c>
      <c r="M1578" s="272">
        <v>5</v>
      </c>
      <c r="N1578" s="87">
        <v>1</v>
      </c>
      <c r="O1578" s="87"/>
      <c r="P1578" s="78">
        <v>2.4303599999999999</v>
      </c>
      <c r="Q1578" s="72">
        <f>P1578*$F$10</f>
        <v>104.50547999999999</v>
      </c>
      <c r="R1578" s="340">
        <f>Q1578-Q1578*0.2</f>
        <v>83.604383999999996</v>
      </c>
    </row>
    <row r="1579" spans="1:18" ht="10.5" customHeight="1" x14ac:dyDescent="0.3">
      <c r="A1579" s="307" t="s">
        <v>1827</v>
      </c>
      <c r="B1579" s="167"/>
      <c r="C1579" s="271" t="s">
        <v>1693</v>
      </c>
      <c r="D1579" s="272">
        <v>6</v>
      </c>
      <c r="E1579" s="94">
        <v>1</v>
      </c>
      <c r="F1579" s="26">
        <v>0.749999997914925</v>
      </c>
      <c r="G1579" s="28">
        <f t="shared" si="221"/>
        <v>32.249999910341778</v>
      </c>
      <c r="H1579" s="28">
        <f t="shared" si="222"/>
        <v>25.799999928273422</v>
      </c>
      <c r="I1579" s="20"/>
      <c r="J1579" s="307">
        <v>200040002</v>
      </c>
      <c r="K1579" s="167"/>
      <c r="L1579" s="271" t="s">
        <v>1693</v>
      </c>
      <c r="M1579" s="272">
        <v>6</v>
      </c>
      <c r="N1579" s="94">
        <v>1</v>
      </c>
      <c r="O1579" s="94"/>
      <c r="P1579" s="26">
        <v>2.9531699999999992</v>
      </c>
      <c r="Q1579" s="28">
        <f>P1579*$F$10</f>
        <v>126.98630999999996</v>
      </c>
      <c r="R1579" s="341">
        <f>Q1579-Q1579*0.2</f>
        <v>101.58904799999996</v>
      </c>
    </row>
    <row r="1580" spans="1:18" ht="10.5" customHeight="1" x14ac:dyDescent="0.3">
      <c r="A1580" s="307" t="s">
        <v>1828</v>
      </c>
      <c r="B1580" s="51"/>
      <c r="C1580" s="277" t="s">
        <v>1693</v>
      </c>
      <c r="D1580" s="312">
        <v>8</v>
      </c>
      <c r="E1580" s="94">
        <v>1</v>
      </c>
      <c r="F1580" s="26">
        <v>0.9</v>
      </c>
      <c r="G1580" s="28">
        <f t="shared" si="221"/>
        <v>38.700000000000003</v>
      </c>
      <c r="H1580" s="28">
        <f t="shared" si="222"/>
        <v>30.96</v>
      </c>
      <c r="I1580" s="20"/>
      <c r="J1580" s="307">
        <v>200040003</v>
      </c>
      <c r="K1580" s="51"/>
      <c r="L1580" s="277" t="s">
        <v>1693</v>
      </c>
      <c r="M1580" s="312">
        <v>8</v>
      </c>
      <c r="N1580" s="94">
        <v>1</v>
      </c>
      <c r="O1580" s="94"/>
      <c r="P1580" s="26">
        <v>4.6346399999999992</v>
      </c>
      <c r="Q1580" s="28">
        <f>P1580*$F$10</f>
        <v>199.28951999999995</v>
      </c>
      <c r="R1580" s="341">
        <f>Q1580-Q1580*0.2</f>
        <v>159.43161599999996</v>
      </c>
    </row>
    <row r="1581" spans="1:18" ht="10.5" customHeight="1" x14ac:dyDescent="0.3">
      <c r="A1581" s="307" t="s">
        <v>1829</v>
      </c>
      <c r="B1581" s="167"/>
      <c r="C1581" s="271" t="s">
        <v>1693</v>
      </c>
      <c r="D1581" s="272">
        <v>10</v>
      </c>
      <c r="E1581" s="94">
        <v>1</v>
      </c>
      <c r="F1581" s="26">
        <v>1.3799999999995762</v>
      </c>
      <c r="G1581" s="28">
        <f t="shared" si="221"/>
        <v>59.339999999981778</v>
      </c>
      <c r="H1581" s="28">
        <f t="shared" si="222"/>
        <v>47.471999999985421</v>
      </c>
      <c r="I1581" s="20"/>
      <c r="J1581" s="307">
        <v>200040004</v>
      </c>
      <c r="K1581" s="51"/>
      <c r="L1581" s="277" t="s">
        <v>1693</v>
      </c>
      <c r="M1581" s="312">
        <v>10</v>
      </c>
      <c r="N1581" s="94">
        <v>1</v>
      </c>
      <c r="O1581" s="94"/>
      <c r="P1581" s="26">
        <v>7.6585953653999992</v>
      </c>
      <c r="Q1581" s="28">
        <f>P1581*$F$10</f>
        <v>329.31960071219999</v>
      </c>
      <c r="R1581" s="341">
        <f>Q1581-Q1581*0.2</f>
        <v>263.45568056975998</v>
      </c>
    </row>
    <row r="1582" spans="1:18" ht="10.5" customHeight="1" x14ac:dyDescent="0.3">
      <c r="A1582" s="307" t="s">
        <v>1830</v>
      </c>
      <c r="B1582" s="40"/>
      <c r="C1582" s="274" t="s">
        <v>1693</v>
      </c>
      <c r="D1582" s="275">
        <v>12</v>
      </c>
      <c r="E1582" s="93">
        <v>1</v>
      </c>
      <c r="F1582" s="36">
        <v>1.989999998768518</v>
      </c>
      <c r="G1582" s="28">
        <f t="shared" si="221"/>
        <v>85.56999994704627</v>
      </c>
      <c r="H1582" s="28">
        <f t="shared" si="222"/>
        <v>68.455999957637019</v>
      </c>
      <c r="I1582" s="20"/>
      <c r="J1582" s="20"/>
      <c r="K1582" s="20"/>
      <c r="L1582" s="20"/>
      <c r="M1582" s="20"/>
      <c r="N1582" s="20"/>
      <c r="O1582" s="20"/>
      <c r="P1582" s="20"/>
      <c r="Q1582" s="20"/>
      <c r="R1582" s="20"/>
    </row>
    <row r="1583" spans="1:18" ht="10.5" customHeight="1" x14ac:dyDescent="0.3">
      <c r="A1583" s="307" t="s">
        <v>1831</v>
      </c>
      <c r="B1583" s="51"/>
      <c r="C1583" s="277" t="s">
        <v>1693</v>
      </c>
      <c r="D1583" s="312">
        <v>14</v>
      </c>
      <c r="E1583" s="94">
        <v>1</v>
      </c>
      <c r="F1583" s="26">
        <v>3.1399998128414159</v>
      </c>
      <c r="G1583" s="28">
        <f t="shared" si="221"/>
        <v>135.01999195218087</v>
      </c>
      <c r="H1583" s="28">
        <f t="shared" si="222"/>
        <v>108.01599356174469</v>
      </c>
      <c r="I1583" s="20"/>
      <c r="J1583" s="20"/>
      <c r="K1583" s="20"/>
      <c r="L1583" s="20"/>
      <c r="M1583" s="20"/>
      <c r="N1583" s="20"/>
      <c r="O1583" s="20"/>
      <c r="P1583" s="20"/>
      <c r="Q1583" s="20"/>
      <c r="R1583" s="20"/>
    </row>
    <row r="1584" spans="1:18" ht="10.5" customHeight="1" x14ac:dyDescent="0.3">
      <c r="A1584" s="307" t="s">
        <v>1832</v>
      </c>
      <c r="B1584" s="51"/>
      <c r="C1584" s="277" t="s">
        <v>1693</v>
      </c>
      <c r="D1584" s="312">
        <v>16</v>
      </c>
      <c r="E1584" s="94">
        <v>1</v>
      </c>
      <c r="F1584" s="26">
        <v>4.2399999999999984</v>
      </c>
      <c r="G1584" s="28">
        <f t="shared" si="221"/>
        <v>182.31999999999994</v>
      </c>
      <c r="H1584" s="28">
        <f t="shared" si="222"/>
        <v>145.85599999999994</v>
      </c>
      <c r="I1584" s="20"/>
      <c r="J1584" s="20"/>
      <c r="K1584" s="20"/>
      <c r="L1584" s="20"/>
      <c r="M1584" s="20"/>
      <c r="N1584" s="20"/>
      <c r="O1584" s="20"/>
      <c r="P1584" s="20"/>
      <c r="Q1584" s="20"/>
      <c r="R1584" s="20"/>
    </row>
    <row r="1585" spans="1:18" ht="10.5" customHeight="1" x14ac:dyDescent="0.3">
      <c r="A1585" s="307" t="s">
        <v>1833</v>
      </c>
      <c r="B1585" s="167"/>
      <c r="C1585" s="271" t="s">
        <v>1693</v>
      </c>
      <c r="D1585" s="272">
        <v>18</v>
      </c>
      <c r="E1585" s="94">
        <v>1</v>
      </c>
      <c r="F1585" s="26">
        <v>7.9284999999999988</v>
      </c>
      <c r="G1585" s="28">
        <f t="shared" si="221"/>
        <v>340.92549999999994</v>
      </c>
      <c r="H1585" s="28">
        <f t="shared" si="222"/>
        <v>272.74039999999997</v>
      </c>
      <c r="I1585" s="20"/>
      <c r="J1585" s="20"/>
      <c r="K1585" s="20"/>
      <c r="L1585" s="20"/>
      <c r="M1585" s="20"/>
      <c r="N1585" s="20"/>
      <c r="O1585" s="20"/>
      <c r="P1585" s="20"/>
      <c r="Q1585" s="20"/>
      <c r="R1585" s="20"/>
    </row>
    <row r="1586" spans="1:18" ht="10.5" customHeight="1" x14ac:dyDescent="0.3">
      <c r="A1586" s="307" t="s">
        <v>1834</v>
      </c>
      <c r="B1586" s="167"/>
      <c r="C1586" s="271" t="s">
        <v>1693</v>
      </c>
      <c r="D1586" s="272">
        <v>20</v>
      </c>
      <c r="E1586" s="94">
        <v>1</v>
      </c>
      <c r="F1586" s="26">
        <v>7.5045999999999999</v>
      </c>
      <c r="G1586" s="28">
        <f t="shared" si="221"/>
        <v>322.69779999999997</v>
      </c>
      <c r="H1586" s="28">
        <f t="shared" si="222"/>
        <v>258.15823999999998</v>
      </c>
      <c r="I1586" s="20"/>
      <c r="J1586" s="20"/>
      <c r="K1586" s="20"/>
      <c r="L1586" s="20"/>
      <c r="M1586" s="20"/>
      <c r="N1586" s="20"/>
      <c r="O1586" s="20"/>
      <c r="P1586" s="20"/>
      <c r="Q1586" s="20"/>
      <c r="R1586" s="20"/>
    </row>
    <row r="1587" spans="1:18" ht="10.5" customHeight="1" x14ac:dyDescent="0.3">
      <c r="A1587" s="307" t="s">
        <v>1835</v>
      </c>
      <c r="B1587" s="167"/>
      <c r="C1587" s="271" t="s">
        <v>1693</v>
      </c>
      <c r="D1587" s="272">
        <v>24</v>
      </c>
      <c r="E1587" s="94">
        <v>1</v>
      </c>
      <c r="F1587" s="26">
        <v>13.779999544786286</v>
      </c>
      <c r="G1587" s="28">
        <f t="shared" si="221"/>
        <v>592.53998042581031</v>
      </c>
      <c r="H1587" s="28">
        <f t="shared" si="222"/>
        <v>474.03198434064825</v>
      </c>
      <c r="I1587" s="20"/>
      <c r="J1587" s="20"/>
      <c r="K1587" s="20"/>
      <c r="L1587" s="20"/>
      <c r="M1587" s="20"/>
      <c r="N1587" s="20"/>
      <c r="O1587" s="20"/>
      <c r="P1587" s="20"/>
      <c r="Q1587" s="20"/>
      <c r="R1587" s="20"/>
    </row>
    <row r="1588" spans="1:18" ht="10.5" customHeight="1" x14ac:dyDescent="0.3">
      <c r="A1588" s="20"/>
      <c r="B1588" s="20"/>
      <c r="C1588" s="20"/>
      <c r="D1588" s="20"/>
      <c r="E1588" s="20"/>
      <c r="F1588" s="20"/>
      <c r="G1588" s="20"/>
      <c r="H1588" s="20"/>
      <c r="I1588" s="20"/>
      <c r="J1588" s="20"/>
      <c r="K1588" s="20"/>
      <c r="L1588" s="20"/>
      <c r="M1588" s="20"/>
      <c r="N1588" s="20"/>
      <c r="O1588" s="20"/>
      <c r="P1588" s="20"/>
      <c r="Q1588" s="20"/>
      <c r="R1588" s="20"/>
    </row>
    <row r="1589" spans="1:18" ht="10.5" customHeight="1" x14ac:dyDescent="0.3">
      <c r="A1589" s="166" t="s">
        <v>1836</v>
      </c>
      <c r="B1589" s="308" t="s">
        <v>1837</v>
      </c>
      <c r="C1589" s="49"/>
      <c r="D1589" s="49"/>
      <c r="E1589" s="49"/>
      <c r="F1589" s="49"/>
      <c r="G1589" s="49"/>
      <c r="H1589" s="50"/>
      <c r="I1589" s="49"/>
      <c r="J1589" s="166" t="s">
        <v>1838</v>
      </c>
      <c r="K1589" s="308" t="s">
        <v>1837</v>
      </c>
      <c r="L1589" s="49"/>
      <c r="M1589" s="49"/>
      <c r="N1589" s="49"/>
      <c r="O1589" s="49"/>
      <c r="P1589" s="49"/>
      <c r="Q1589" s="49"/>
      <c r="R1589" s="50"/>
    </row>
    <row r="1590" spans="1:18" ht="10.5" customHeight="1" x14ac:dyDescent="0.3">
      <c r="A1590" s="18"/>
      <c r="B1590" s="20"/>
      <c r="C1590" s="20"/>
      <c r="D1590" s="20"/>
      <c r="E1590" s="20"/>
      <c r="F1590" s="20"/>
      <c r="G1590" s="20"/>
      <c r="H1590" s="101"/>
      <c r="I1590" s="20"/>
      <c r="J1590" s="18"/>
      <c r="K1590" s="20"/>
      <c r="L1590" s="20"/>
      <c r="M1590" s="20"/>
      <c r="N1590" s="20"/>
      <c r="O1590" s="20"/>
      <c r="P1590" s="20"/>
      <c r="Q1590" s="20"/>
      <c r="R1590" s="101"/>
    </row>
    <row r="1591" spans="1:18" ht="10.5" customHeight="1" x14ac:dyDescent="0.3">
      <c r="A1591" s="306"/>
      <c r="B1591" s="20"/>
      <c r="C1591" s="20"/>
      <c r="D1591" s="20"/>
      <c r="E1591" s="20"/>
      <c r="F1591" s="20"/>
      <c r="G1591" s="20"/>
      <c r="H1591" s="101"/>
      <c r="I1591" s="20"/>
      <c r="J1591" s="306"/>
      <c r="K1591" s="20"/>
      <c r="L1591" s="20"/>
      <c r="M1591" s="20"/>
      <c r="N1591" s="20"/>
      <c r="O1591" s="20"/>
      <c r="P1591" s="20"/>
      <c r="Q1591" s="20"/>
      <c r="R1591" s="101"/>
    </row>
    <row r="1592" spans="1:18" ht="10.5" customHeight="1" x14ac:dyDescent="0.3">
      <c r="A1592" s="262"/>
      <c r="B1592" s="20"/>
      <c r="C1592" s="20"/>
      <c r="D1592" s="20"/>
      <c r="E1592" s="20"/>
      <c r="F1592" s="20"/>
      <c r="G1592" s="20"/>
      <c r="H1592" s="101"/>
      <c r="I1592" s="20"/>
      <c r="J1592" s="18"/>
      <c r="K1592" s="20"/>
      <c r="L1592" s="20"/>
      <c r="M1592" s="20"/>
      <c r="N1592" s="20"/>
      <c r="O1592" s="20"/>
      <c r="P1592" s="20"/>
      <c r="Q1592" s="20"/>
      <c r="R1592" s="101"/>
    </row>
    <row r="1593" spans="1:18" ht="10.5" customHeight="1" x14ac:dyDescent="0.3">
      <c r="A1593" s="262"/>
      <c r="B1593" s="20"/>
      <c r="C1593" s="20"/>
      <c r="D1593" s="20"/>
      <c r="E1593" s="20"/>
      <c r="F1593" s="20"/>
      <c r="G1593" s="20"/>
      <c r="H1593" s="101"/>
      <c r="I1593" s="20"/>
      <c r="J1593" s="262"/>
      <c r="K1593" s="20"/>
      <c r="L1593" s="20"/>
      <c r="M1593" s="20"/>
      <c r="N1593" s="20"/>
      <c r="O1593" s="20"/>
      <c r="P1593" s="20"/>
      <c r="Q1593" s="20"/>
      <c r="R1593" s="101"/>
    </row>
    <row r="1594" spans="1:18" ht="10.5" customHeight="1" x14ac:dyDescent="0.3">
      <c r="A1594" s="18"/>
      <c r="B1594" s="20"/>
      <c r="C1594" s="20"/>
      <c r="D1594" s="20"/>
      <c r="E1594" s="20"/>
      <c r="F1594" s="20"/>
      <c r="G1594" s="20"/>
      <c r="H1594" s="101"/>
      <c r="I1594" s="20"/>
      <c r="J1594" s="18"/>
      <c r="K1594" s="20"/>
      <c r="L1594" s="20"/>
      <c r="M1594" s="20"/>
      <c r="N1594" s="20"/>
      <c r="O1594" s="20"/>
      <c r="P1594" s="20"/>
      <c r="Q1594" s="20"/>
      <c r="R1594" s="101"/>
    </row>
    <row r="1595" spans="1:18" ht="10.5" customHeight="1" x14ac:dyDescent="0.3">
      <c r="A1595" s="262" t="s">
        <v>1780</v>
      </c>
      <c r="B1595" s="20"/>
      <c r="C1595" s="20"/>
      <c r="D1595" s="20"/>
      <c r="E1595" s="20"/>
      <c r="F1595" s="20"/>
      <c r="G1595" s="20"/>
      <c r="H1595" s="116"/>
      <c r="I1595" s="20"/>
      <c r="J1595" s="328" t="s">
        <v>1825</v>
      </c>
      <c r="K1595" s="83"/>
      <c r="L1595" s="83"/>
      <c r="M1595" s="83"/>
      <c r="N1595" s="83"/>
      <c r="O1595" s="83"/>
      <c r="P1595" s="83"/>
      <c r="Q1595" s="83"/>
      <c r="R1595" s="101"/>
    </row>
    <row r="1596" spans="1:18" ht="10.5" customHeight="1" x14ac:dyDescent="0.3">
      <c r="A1596" s="446" t="s">
        <v>78</v>
      </c>
      <c r="B1596" s="446" t="s">
        <v>79</v>
      </c>
      <c r="C1596" s="446"/>
      <c r="D1596" s="446"/>
      <c r="E1596" s="447" t="s">
        <v>80</v>
      </c>
      <c r="F1596" s="15"/>
      <c r="G1596" s="16" t="s">
        <v>81</v>
      </c>
      <c r="H1596" s="17" t="s">
        <v>82</v>
      </c>
      <c r="I1596" s="20"/>
      <c r="J1596" s="446" t="s">
        <v>78</v>
      </c>
      <c r="K1596" s="446" t="s">
        <v>79</v>
      </c>
      <c r="L1596" s="446"/>
      <c r="M1596" s="446"/>
      <c r="N1596" s="447" t="s">
        <v>80</v>
      </c>
      <c r="O1596" s="14"/>
      <c r="P1596" s="15"/>
      <c r="Q1596" s="16" t="s">
        <v>81</v>
      </c>
      <c r="R1596" s="17" t="s">
        <v>82</v>
      </c>
    </row>
    <row r="1597" spans="1:18" ht="10.5" customHeight="1" x14ac:dyDescent="0.3">
      <c r="A1597" s="446"/>
      <c r="B1597" s="446"/>
      <c r="C1597" s="446"/>
      <c r="D1597" s="446"/>
      <c r="E1597" s="447"/>
      <c r="F1597" s="19"/>
      <c r="G1597" s="15" t="s">
        <v>375</v>
      </c>
      <c r="H1597" s="15" t="s">
        <v>375</v>
      </c>
      <c r="I1597" s="20"/>
      <c r="J1597" s="446"/>
      <c r="K1597" s="446"/>
      <c r="L1597" s="446"/>
      <c r="M1597" s="446"/>
      <c r="N1597" s="447"/>
      <c r="O1597" s="14"/>
      <c r="P1597" s="19"/>
      <c r="Q1597" s="15" t="s">
        <v>375</v>
      </c>
      <c r="R1597" s="15" t="s">
        <v>375</v>
      </c>
    </row>
    <row r="1598" spans="1:18" ht="10.5" customHeight="1" x14ac:dyDescent="0.3">
      <c r="A1598" s="263" t="s">
        <v>1839</v>
      </c>
      <c r="B1598" s="167"/>
      <c r="C1598" s="271" t="s">
        <v>1693</v>
      </c>
      <c r="D1598" s="272">
        <v>3</v>
      </c>
      <c r="E1598" s="87">
        <v>1</v>
      </c>
      <c r="F1598" s="78">
        <v>7.4594146341463413E-2</v>
      </c>
      <c r="G1598" s="72">
        <f t="shared" ref="G1598:G1605" si="223">F1598*$F$10</f>
        <v>3.2075482926829268</v>
      </c>
      <c r="H1598" s="72">
        <f t="shared" ref="H1598:H1605" si="224">G1598-G1598*0.2</f>
        <v>2.5660386341463415</v>
      </c>
      <c r="I1598" s="20"/>
      <c r="J1598" s="263">
        <v>201100001</v>
      </c>
      <c r="K1598" s="167"/>
      <c r="L1598" s="271" t="s">
        <v>1693</v>
      </c>
      <c r="M1598" s="272">
        <v>3</v>
      </c>
      <c r="N1598" s="87">
        <v>1</v>
      </c>
      <c r="O1598" s="87"/>
      <c r="P1598" s="78">
        <v>0.87575365853658538</v>
      </c>
      <c r="Q1598" s="319">
        <f>P1598*$F$10</f>
        <v>37.657407317073172</v>
      </c>
      <c r="R1598" s="72">
        <f>Q1598-Q1598*0.2</f>
        <v>30.125925853658536</v>
      </c>
    </row>
    <row r="1599" spans="1:18" ht="10.5" customHeight="1" x14ac:dyDescent="0.3">
      <c r="A1599" s="307" t="s">
        <v>1840</v>
      </c>
      <c r="B1599" s="167"/>
      <c r="C1599" s="271" t="s">
        <v>1693</v>
      </c>
      <c r="D1599" s="272">
        <v>5</v>
      </c>
      <c r="E1599" s="94">
        <v>1</v>
      </c>
      <c r="F1599" s="26">
        <v>8.9298536585365851E-2</v>
      </c>
      <c r="G1599" s="28">
        <f t="shared" si="223"/>
        <v>3.8398370731707314</v>
      </c>
      <c r="H1599" s="28">
        <f t="shared" si="224"/>
        <v>3.0718696585365852</v>
      </c>
      <c r="I1599" s="20"/>
      <c r="J1599" s="307">
        <v>201100002</v>
      </c>
      <c r="K1599" s="167"/>
      <c r="L1599" s="271" t="s">
        <v>1693</v>
      </c>
      <c r="M1599" s="272">
        <v>4</v>
      </c>
      <c r="N1599" s="94">
        <v>1</v>
      </c>
      <c r="O1599" s="94"/>
      <c r="P1599" s="26">
        <v>0.98565365853658526</v>
      </c>
      <c r="Q1599" s="38">
        <f>P1599*$F$10</f>
        <v>42.383107317073168</v>
      </c>
      <c r="R1599" s="28">
        <f>Q1599-Q1599*0.2</f>
        <v>33.906485853658538</v>
      </c>
    </row>
    <row r="1600" spans="1:18" ht="10.5" customHeight="1" x14ac:dyDescent="0.3">
      <c r="A1600" s="307" t="s">
        <v>1841</v>
      </c>
      <c r="B1600" s="51"/>
      <c r="C1600" s="277" t="s">
        <v>1693</v>
      </c>
      <c r="D1600" s="312">
        <v>6</v>
      </c>
      <c r="E1600" s="94">
        <v>1</v>
      </c>
      <c r="F1600" s="26">
        <v>0.10400292682926826</v>
      </c>
      <c r="G1600" s="28">
        <f t="shared" si="223"/>
        <v>4.4721258536585351</v>
      </c>
      <c r="H1600" s="28">
        <f t="shared" si="224"/>
        <v>3.5777006829268281</v>
      </c>
      <c r="I1600" s="20"/>
      <c r="J1600" s="307">
        <v>201100003</v>
      </c>
      <c r="K1600" s="51"/>
      <c r="L1600" s="277" t="s">
        <v>1693</v>
      </c>
      <c r="M1600" s="312">
        <v>5</v>
      </c>
      <c r="N1600" s="94">
        <v>1</v>
      </c>
      <c r="O1600" s="94"/>
      <c r="P1600" s="26">
        <v>1.0580268292682924</v>
      </c>
      <c r="Q1600" s="38">
        <f>P1600*$F$10</f>
        <v>45.495153658536573</v>
      </c>
      <c r="R1600" s="28">
        <f>Q1600-Q1600*0.2</f>
        <v>36.396122926829257</v>
      </c>
    </row>
    <row r="1601" spans="1:18" ht="10.5" customHeight="1" x14ac:dyDescent="0.3">
      <c r="A1601" s="307" t="s">
        <v>1842</v>
      </c>
      <c r="B1601" s="167"/>
      <c r="C1601" s="271" t="s">
        <v>1693</v>
      </c>
      <c r="D1601" s="272">
        <v>8</v>
      </c>
      <c r="E1601" s="94">
        <v>1</v>
      </c>
      <c r="F1601" s="26">
        <v>0.18650068292682923</v>
      </c>
      <c r="G1601" s="28">
        <f t="shared" si="223"/>
        <v>8.0195293658536571</v>
      </c>
      <c r="H1601" s="28">
        <f t="shared" si="224"/>
        <v>6.4156234926829256</v>
      </c>
      <c r="I1601" s="20"/>
      <c r="J1601" s="307">
        <v>201100004</v>
      </c>
      <c r="K1601" s="167"/>
      <c r="L1601" s="271" t="s">
        <v>1693</v>
      </c>
      <c r="M1601" s="272">
        <v>6</v>
      </c>
      <c r="N1601" s="94">
        <v>1</v>
      </c>
      <c r="O1601" s="94"/>
      <c r="P1601" s="26">
        <v>1.3134390243902436</v>
      </c>
      <c r="Q1601" s="28">
        <f>P1601*$F$10</f>
        <v>56.477878048780475</v>
      </c>
      <c r="R1601" s="28">
        <f>Q1601-Q1601*0.2</f>
        <v>45.182302439024383</v>
      </c>
    </row>
    <row r="1602" spans="1:18" ht="10.5" customHeight="1" x14ac:dyDescent="0.3">
      <c r="A1602" s="307" t="s">
        <v>1843</v>
      </c>
      <c r="B1602" s="40"/>
      <c r="C1602" s="274" t="s">
        <v>1693</v>
      </c>
      <c r="D1602" s="275">
        <v>10</v>
      </c>
      <c r="E1602" s="93">
        <v>1</v>
      </c>
      <c r="F1602" s="36">
        <v>0.29650790243902436</v>
      </c>
      <c r="G1602" s="28">
        <f t="shared" si="223"/>
        <v>12.749839804878048</v>
      </c>
      <c r="H1602" s="28">
        <f t="shared" si="224"/>
        <v>10.199871843902439</v>
      </c>
      <c r="I1602" s="20"/>
      <c r="J1602" s="20"/>
      <c r="K1602" s="20"/>
      <c r="L1602" s="20"/>
      <c r="M1602" s="20"/>
      <c r="N1602" s="20"/>
      <c r="O1602" s="20"/>
      <c r="P1602" s="20"/>
      <c r="Q1602" s="20"/>
      <c r="R1602" s="101"/>
    </row>
    <row r="1603" spans="1:18" ht="10.5" customHeight="1" x14ac:dyDescent="0.3">
      <c r="A1603" s="307" t="s">
        <v>1844</v>
      </c>
      <c r="B1603" s="51"/>
      <c r="C1603" s="277" t="s">
        <v>1693</v>
      </c>
      <c r="D1603" s="312">
        <v>12</v>
      </c>
      <c r="E1603" s="94">
        <v>1</v>
      </c>
      <c r="F1603" s="26">
        <v>0.49780487804878043</v>
      </c>
      <c r="G1603" s="28">
        <f t="shared" si="223"/>
        <v>21.405609756097558</v>
      </c>
      <c r="H1603" s="28">
        <f t="shared" si="224"/>
        <v>17.124487804878047</v>
      </c>
      <c r="I1603" s="20"/>
      <c r="J1603" s="20"/>
      <c r="K1603" s="20"/>
      <c r="L1603" s="20"/>
      <c r="M1603" s="20"/>
      <c r="N1603" s="20"/>
      <c r="O1603" s="20"/>
      <c r="P1603" s="20"/>
      <c r="Q1603" s="20"/>
      <c r="R1603" s="101"/>
    </row>
    <row r="1604" spans="1:18" ht="10.5" customHeight="1" x14ac:dyDescent="0.3">
      <c r="A1604" s="342" t="s">
        <v>1845</v>
      </c>
      <c r="B1604" s="40"/>
      <c r="C1604" s="274" t="s">
        <v>1693</v>
      </c>
      <c r="D1604" s="275">
        <v>16</v>
      </c>
      <c r="E1604" s="93">
        <v>1</v>
      </c>
      <c r="F1604" s="36">
        <v>0.7298585365853657</v>
      </c>
      <c r="G1604" s="28">
        <f t="shared" si="223"/>
        <v>31.383917073170725</v>
      </c>
      <c r="H1604" s="28">
        <f t="shared" si="224"/>
        <v>25.107133658536579</v>
      </c>
      <c r="I1604" s="20"/>
      <c r="J1604" s="20"/>
      <c r="K1604" s="20"/>
      <c r="L1604" s="20"/>
      <c r="M1604" s="20"/>
      <c r="N1604" s="20"/>
      <c r="O1604" s="20"/>
      <c r="P1604" s="20"/>
      <c r="Q1604" s="20"/>
      <c r="R1604" s="101"/>
    </row>
    <row r="1605" spans="1:18" ht="10.5" customHeight="1" x14ac:dyDescent="0.3">
      <c r="A1605" s="307" t="s">
        <v>1846</v>
      </c>
      <c r="B1605" s="22"/>
      <c r="C1605" s="277" t="s">
        <v>1693</v>
      </c>
      <c r="D1605" s="218">
        <v>20</v>
      </c>
      <c r="E1605" s="94">
        <v>1</v>
      </c>
      <c r="F1605" s="26">
        <v>0.83987341463414611</v>
      </c>
      <c r="G1605" s="28">
        <f t="shared" si="223"/>
        <v>36.114556829268281</v>
      </c>
      <c r="H1605" s="28">
        <f t="shared" si="224"/>
        <v>28.891645463414626</v>
      </c>
      <c r="I1605" s="83"/>
      <c r="J1605" s="83"/>
      <c r="K1605" s="83"/>
      <c r="L1605" s="83"/>
      <c r="M1605" s="83"/>
      <c r="N1605" s="83"/>
      <c r="O1605" s="83"/>
      <c r="P1605" s="83"/>
      <c r="Q1605" s="83"/>
      <c r="R1605" s="116"/>
    </row>
    <row r="1606" spans="1:18" ht="10.5" customHeight="1" x14ac:dyDescent="0.3">
      <c r="A1606" s="20"/>
      <c r="B1606" s="20"/>
      <c r="C1606" s="20"/>
      <c r="D1606" s="20"/>
      <c r="E1606" s="20"/>
      <c r="F1606" s="20"/>
      <c r="G1606" s="20"/>
      <c r="H1606" s="20"/>
      <c r="I1606" s="20"/>
      <c r="J1606" s="20"/>
      <c r="K1606" s="20"/>
      <c r="L1606" s="20"/>
      <c r="M1606" s="20"/>
      <c r="N1606" s="20"/>
      <c r="O1606" s="20"/>
      <c r="P1606" s="20"/>
      <c r="Q1606" s="20"/>
      <c r="R1606" s="20"/>
    </row>
    <row r="1607" spans="1:18" ht="10.5" customHeight="1" x14ac:dyDescent="0.3">
      <c r="A1607" s="166" t="s">
        <v>1847</v>
      </c>
      <c r="B1607" s="308" t="s">
        <v>1848</v>
      </c>
      <c r="C1607" s="49"/>
      <c r="D1607" s="49"/>
      <c r="E1607" s="49"/>
      <c r="F1607" s="49"/>
      <c r="G1607" s="49"/>
      <c r="H1607" s="50"/>
      <c r="I1607" s="49"/>
      <c r="J1607" s="166" t="s">
        <v>1849</v>
      </c>
      <c r="K1607" s="308" t="s">
        <v>1850</v>
      </c>
      <c r="L1607" s="49"/>
      <c r="M1607" s="49"/>
      <c r="N1607" s="49"/>
      <c r="O1607" s="49"/>
      <c r="P1607" s="49"/>
      <c r="Q1607" s="49"/>
      <c r="R1607" s="50"/>
    </row>
    <row r="1608" spans="1:18" ht="10.5" customHeight="1" x14ac:dyDescent="0.3">
      <c r="A1608" s="18"/>
      <c r="B1608" s="20"/>
      <c r="C1608" s="20"/>
      <c r="D1608" s="20"/>
      <c r="E1608" s="20"/>
      <c r="F1608" s="20"/>
      <c r="G1608" s="20"/>
      <c r="H1608" s="101"/>
      <c r="I1608" s="20"/>
      <c r="J1608" s="18"/>
      <c r="K1608" s="20"/>
      <c r="L1608" s="20"/>
      <c r="M1608" s="20"/>
      <c r="N1608" s="20"/>
      <c r="O1608" s="20"/>
      <c r="P1608" s="20"/>
      <c r="Q1608" s="20"/>
      <c r="R1608" s="101"/>
    </row>
    <row r="1609" spans="1:18" ht="10.5" customHeight="1" x14ac:dyDescent="0.3">
      <c r="A1609" s="306"/>
      <c r="B1609" s="20"/>
      <c r="C1609" s="20"/>
      <c r="D1609" s="20"/>
      <c r="E1609" s="20"/>
      <c r="F1609" s="20"/>
      <c r="G1609" s="20"/>
      <c r="H1609" s="101"/>
      <c r="I1609" s="20"/>
      <c r="J1609" s="18"/>
      <c r="K1609" s="20"/>
      <c r="L1609" s="20"/>
      <c r="M1609" s="20"/>
      <c r="N1609" s="20"/>
      <c r="O1609" s="20"/>
      <c r="P1609" s="20"/>
      <c r="Q1609" s="20"/>
      <c r="R1609" s="101"/>
    </row>
    <row r="1610" spans="1:18" ht="10.5" customHeight="1" x14ac:dyDescent="0.3">
      <c r="A1610" s="18"/>
      <c r="B1610" s="20"/>
      <c r="C1610" s="20"/>
      <c r="D1610" s="20"/>
      <c r="E1610" s="20"/>
      <c r="F1610" s="20"/>
      <c r="G1610" s="20"/>
      <c r="H1610" s="101"/>
      <c r="I1610" s="20"/>
      <c r="J1610" s="18"/>
      <c r="K1610" s="20"/>
      <c r="L1610" s="20"/>
      <c r="M1610" s="20"/>
      <c r="N1610" s="20"/>
      <c r="O1610" s="20"/>
      <c r="P1610" s="20"/>
      <c r="Q1610" s="20"/>
      <c r="R1610" s="101"/>
    </row>
    <row r="1611" spans="1:18" ht="10.5" customHeight="1" x14ac:dyDescent="0.3">
      <c r="A1611" s="18"/>
      <c r="B1611" s="20"/>
      <c r="C1611" s="20"/>
      <c r="D1611" s="20"/>
      <c r="E1611" s="20"/>
      <c r="F1611" s="20"/>
      <c r="G1611" s="20"/>
      <c r="H1611" s="101"/>
      <c r="I1611" s="20"/>
      <c r="J1611" s="18"/>
      <c r="K1611" s="20"/>
      <c r="L1611" s="20"/>
      <c r="M1611" s="20"/>
      <c r="N1611" s="20"/>
      <c r="O1611" s="20"/>
      <c r="P1611" s="20"/>
      <c r="Q1611" s="20"/>
      <c r="R1611" s="101"/>
    </row>
    <row r="1612" spans="1:18" ht="10.5" customHeight="1" x14ac:dyDescent="0.3">
      <c r="A1612" s="18"/>
      <c r="B1612" s="20"/>
      <c r="C1612" s="20"/>
      <c r="D1612" s="20"/>
      <c r="E1612" s="20"/>
      <c r="F1612" s="20"/>
      <c r="G1612" s="20"/>
      <c r="H1612" s="116"/>
      <c r="I1612" s="20"/>
      <c r="J1612" s="55"/>
      <c r="K1612" s="83"/>
      <c r="L1612" s="83"/>
      <c r="M1612" s="83"/>
      <c r="N1612" s="83"/>
      <c r="O1612" s="83"/>
      <c r="P1612" s="83"/>
      <c r="Q1612" s="83"/>
      <c r="R1612" s="101"/>
    </row>
    <row r="1613" spans="1:18" ht="10.5" customHeight="1" x14ac:dyDescent="0.3">
      <c r="A1613" s="446" t="s">
        <v>78</v>
      </c>
      <c r="B1613" s="446" t="s">
        <v>79</v>
      </c>
      <c r="C1613" s="446"/>
      <c r="D1613" s="446"/>
      <c r="E1613" s="447" t="s">
        <v>80</v>
      </c>
      <c r="F1613" s="15"/>
      <c r="G1613" s="16" t="s">
        <v>81</v>
      </c>
      <c r="H1613" s="17" t="s">
        <v>82</v>
      </c>
      <c r="I1613" s="20"/>
      <c r="J1613" s="446" t="s">
        <v>78</v>
      </c>
      <c r="K1613" s="446" t="s">
        <v>79</v>
      </c>
      <c r="L1613" s="446"/>
      <c r="M1613" s="446"/>
      <c r="N1613" s="447" t="s">
        <v>80</v>
      </c>
      <c r="O1613" s="14"/>
      <c r="P1613" s="15"/>
      <c r="Q1613" s="16" t="s">
        <v>81</v>
      </c>
      <c r="R1613" s="17" t="s">
        <v>82</v>
      </c>
    </row>
    <row r="1614" spans="1:18" ht="10.5" customHeight="1" x14ac:dyDescent="0.3">
      <c r="A1614" s="446"/>
      <c r="B1614" s="446"/>
      <c r="C1614" s="446"/>
      <c r="D1614" s="446"/>
      <c r="E1614" s="447"/>
      <c r="F1614" s="19"/>
      <c r="G1614" s="15" t="s">
        <v>375</v>
      </c>
      <c r="H1614" s="15" t="s">
        <v>375</v>
      </c>
      <c r="I1614" s="20"/>
      <c r="J1614" s="446"/>
      <c r="K1614" s="446"/>
      <c r="L1614" s="446"/>
      <c r="M1614" s="446"/>
      <c r="N1614" s="447"/>
      <c r="O1614" s="14"/>
      <c r="P1614" s="19"/>
      <c r="Q1614" s="15" t="s">
        <v>375</v>
      </c>
      <c r="R1614" s="15" t="s">
        <v>375</v>
      </c>
    </row>
    <row r="1615" spans="1:18" ht="10.5" customHeight="1" x14ac:dyDescent="0.3">
      <c r="A1615" s="307" t="s">
        <v>1851</v>
      </c>
      <c r="B1615" s="51"/>
      <c r="C1615" s="343">
        <v>2</v>
      </c>
      <c r="D1615" s="312" t="s">
        <v>874</v>
      </c>
      <c r="E1615" s="94">
        <v>1</v>
      </c>
      <c r="F1615" s="26">
        <v>8.5775609756097534E-2</v>
      </c>
      <c r="G1615" s="28">
        <f t="shared" ref="G1615:G1620" si="225">F1615*$F$10</f>
        <v>3.6883512195121941</v>
      </c>
      <c r="H1615" s="28">
        <f t="shared" ref="H1615:H1620" si="226">G1615-G1615*0.2</f>
        <v>2.9506809756097554</v>
      </c>
      <c r="I1615" s="20"/>
      <c r="J1615" s="307" t="s">
        <v>1852</v>
      </c>
      <c r="K1615" s="51"/>
      <c r="L1615" s="343">
        <v>2</v>
      </c>
      <c r="M1615" s="312" t="s">
        <v>874</v>
      </c>
      <c r="N1615" s="94">
        <v>1</v>
      </c>
      <c r="O1615" s="94"/>
      <c r="P1615" s="26">
        <v>0.14129999999999998</v>
      </c>
      <c r="Q1615" s="28">
        <f t="shared" ref="Q1615:Q1620" si="227">P1615*$F$10</f>
        <v>6.075899999999999</v>
      </c>
      <c r="R1615" s="28">
        <f t="shared" ref="R1615:R1620" si="228">Q1615-Q1615*0.2</f>
        <v>4.8607199999999988</v>
      </c>
    </row>
    <row r="1616" spans="1:18" ht="10.5" customHeight="1" x14ac:dyDescent="0.3">
      <c r="A1616" s="307" t="s">
        <v>1853</v>
      </c>
      <c r="B1616" s="51"/>
      <c r="C1616" s="343">
        <v>3</v>
      </c>
      <c r="D1616" s="312" t="s">
        <v>874</v>
      </c>
      <c r="E1616" s="94">
        <v>1</v>
      </c>
      <c r="F1616" s="26">
        <v>9.4200000000000006E-2</v>
      </c>
      <c r="G1616" s="28">
        <f t="shared" si="225"/>
        <v>4.0506000000000002</v>
      </c>
      <c r="H1616" s="28">
        <f t="shared" si="226"/>
        <v>3.2404800000000002</v>
      </c>
      <c r="I1616" s="20"/>
      <c r="J1616" s="307" t="s">
        <v>1854</v>
      </c>
      <c r="K1616" s="51"/>
      <c r="L1616" s="343">
        <v>3</v>
      </c>
      <c r="M1616" s="312" t="s">
        <v>874</v>
      </c>
      <c r="N1616" s="94">
        <v>1</v>
      </c>
      <c r="O1616" s="94"/>
      <c r="P1616" s="26">
        <v>0.14719707317073169</v>
      </c>
      <c r="Q1616" s="28">
        <f t="shared" si="227"/>
        <v>6.3294741463414628</v>
      </c>
      <c r="R1616" s="28">
        <f t="shared" si="228"/>
        <v>5.0635793170731702</v>
      </c>
    </row>
    <row r="1617" spans="1:18" ht="10.5" customHeight="1" x14ac:dyDescent="0.3">
      <c r="A1617" s="307" t="s">
        <v>1855</v>
      </c>
      <c r="B1617" s="167"/>
      <c r="C1617" s="344">
        <v>4</v>
      </c>
      <c r="D1617" s="272" t="s">
        <v>874</v>
      </c>
      <c r="E1617" s="94">
        <v>1</v>
      </c>
      <c r="F1617" s="26">
        <v>0.12364707317073169</v>
      </c>
      <c r="G1617" s="28">
        <f t="shared" si="225"/>
        <v>5.3168241463414629</v>
      </c>
      <c r="H1617" s="28">
        <f t="shared" si="226"/>
        <v>4.2534593170731707</v>
      </c>
      <c r="I1617" s="20"/>
      <c r="J1617" s="307" t="s">
        <v>1856</v>
      </c>
      <c r="K1617" s="167"/>
      <c r="L1617" s="344">
        <v>4</v>
      </c>
      <c r="M1617" s="272" t="s">
        <v>874</v>
      </c>
      <c r="N1617" s="94">
        <v>1</v>
      </c>
      <c r="O1617" s="94"/>
      <c r="P1617" s="26">
        <v>0.24135878048780485</v>
      </c>
      <c r="Q1617" s="28">
        <f t="shared" si="227"/>
        <v>10.378427560975608</v>
      </c>
      <c r="R1617" s="28">
        <f t="shared" si="228"/>
        <v>8.3027420487804857</v>
      </c>
    </row>
    <row r="1618" spans="1:18" ht="10.5" customHeight="1" x14ac:dyDescent="0.3">
      <c r="A1618" s="307" t="s">
        <v>1857</v>
      </c>
      <c r="B1618" s="51"/>
      <c r="C1618" s="343">
        <v>5</v>
      </c>
      <c r="D1618" s="312" t="s">
        <v>874</v>
      </c>
      <c r="E1618" s="94">
        <v>1</v>
      </c>
      <c r="F1618" s="26">
        <v>0.14865219512195121</v>
      </c>
      <c r="G1618" s="28">
        <f t="shared" si="225"/>
        <v>6.3920443902439024</v>
      </c>
      <c r="H1618" s="28">
        <f t="shared" si="226"/>
        <v>5.1136355121951222</v>
      </c>
      <c r="I1618" s="20"/>
      <c r="J1618" s="307" t="s">
        <v>1858</v>
      </c>
      <c r="K1618" s="51"/>
      <c r="L1618" s="343">
        <v>5</v>
      </c>
      <c r="M1618" s="312" t="s">
        <v>874</v>
      </c>
      <c r="N1618" s="94">
        <v>1</v>
      </c>
      <c r="O1618" s="94"/>
      <c r="P1618" s="26">
        <v>0.2629941463414634</v>
      </c>
      <c r="Q1618" s="28">
        <f t="shared" si="227"/>
        <v>11.308748292682926</v>
      </c>
      <c r="R1618" s="28">
        <f t="shared" si="228"/>
        <v>9.0469986341463411</v>
      </c>
    </row>
    <row r="1619" spans="1:18" ht="10.5" customHeight="1" x14ac:dyDescent="0.3">
      <c r="A1619" s="307" t="s">
        <v>1859</v>
      </c>
      <c r="B1619" s="167"/>
      <c r="C1619" s="344">
        <v>6</v>
      </c>
      <c r="D1619" s="272" t="s">
        <v>874</v>
      </c>
      <c r="E1619" s="94">
        <v>1</v>
      </c>
      <c r="F1619" s="26">
        <v>0.18296243902439022</v>
      </c>
      <c r="G1619" s="28">
        <f t="shared" si="225"/>
        <v>7.867384878048779</v>
      </c>
      <c r="H1619" s="28">
        <f t="shared" si="226"/>
        <v>6.293907902439023</v>
      </c>
      <c r="I1619" s="20"/>
      <c r="J1619" s="307" t="s">
        <v>1860</v>
      </c>
      <c r="K1619" s="167"/>
      <c r="L1619" s="344">
        <v>6</v>
      </c>
      <c r="M1619" s="272" t="s">
        <v>874</v>
      </c>
      <c r="N1619" s="94">
        <v>1</v>
      </c>
      <c r="O1619" s="94"/>
      <c r="P1619" s="26">
        <v>0.32380292682926831</v>
      </c>
      <c r="Q1619" s="28">
        <f t="shared" si="227"/>
        <v>13.923525853658537</v>
      </c>
      <c r="R1619" s="28">
        <f t="shared" si="228"/>
        <v>11.138820682926831</v>
      </c>
    </row>
    <row r="1620" spans="1:18" ht="10.5" customHeight="1" x14ac:dyDescent="0.3">
      <c r="A1620" s="307" t="s">
        <v>1861</v>
      </c>
      <c r="B1620" s="167"/>
      <c r="C1620" s="344">
        <v>8</v>
      </c>
      <c r="D1620" s="272" t="s">
        <v>874</v>
      </c>
      <c r="E1620" s="94">
        <v>1</v>
      </c>
      <c r="F1620" s="26">
        <v>0.34145585365853653</v>
      </c>
      <c r="G1620" s="28">
        <f t="shared" si="225"/>
        <v>14.682601707317071</v>
      </c>
      <c r="H1620" s="28">
        <f t="shared" si="226"/>
        <v>11.746081365853657</v>
      </c>
      <c r="I1620" s="83"/>
      <c r="J1620" s="307" t="s">
        <v>1862</v>
      </c>
      <c r="K1620" s="167"/>
      <c r="L1620" s="344">
        <v>8</v>
      </c>
      <c r="M1620" s="272" t="s">
        <v>874</v>
      </c>
      <c r="N1620" s="94">
        <v>1</v>
      </c>
      <c r="O1620" s="94"/>
      <c r="P1620" s="26">
        <v>0.79472634146341459</v>
      </c>
      <c r="Q1620" s="28">
        <f t="shared" si="227"/>
        <v>34.17323268292683</v>
      </c>
      <c r="R1620" s="28">
        <f t="shared" si="228"/>
        <v>27.338586146341463</v>
      </c>
    </row>
    <row r="1621" spans="1:18" ht="10.5" customHeight="1" x14ac:dyDescent="0.3">
      <c r="A1621" s="20"/>
      <c r="B1621" s="20"/>
      <c r="C1621" s="20"/>
      <c r="D1621" s="20"/>
      <c r="E1621" s="20"/>
      <c r="F1621" s="20"/>
      <c r="G1621" s="20"/>
      <c r="H1621" s="20"/>
      <c r="I1621" s="20"/>
      <c r="J1621" s="20"/>
      <c r="K1621" s="20"/>
      <c r="L1621" s="20"/>
      <c r="M1621" s="20"/>
      <c r="N1621" s="20"/>
      <c r="O1621" s="20"/>
      <c r="P1621" s="20"/>
      <c r="Q1621" s="20"/>
      <c r="R1621" s="20"/>
    </row>
    <row r="1622" spans="1:18" ht="10.5" customHeight="1" x14ac:dyDescent="0.3">
      <c r="A1622" s="166" t="s">
        <v>1863</v>
      </c>
      <c r="B1622" s="308" t="s">
        <v>1864</v>
      </c>
      <c r="C1622" s="49"/>
      <c r="D1622" s="49"/>
      <c r="E1622" s="49"/>
      <c r="F1622" s="49"/>
      <c r="G1622" s="49"/>
      <c r="H1622" s="50"/>
      <c r="I1622" s="49"/>
      <c r="J1622" s="166" t="s">
        <v>1865</v>
      </c>
      <c r="K1622" s="308" t="s">
        <v>1866</v>
      </c>
      <c r="L1622" s="49"/>
      <c r="M1622" s="49"/>
      <c r="N1622" s="49"/>
      <c r="O1622" s="49"/>
      <c r="P1622" s="49"/>
      <c r="Q1622" s="49"/>
      <c r="R1622" s="50"/>
    </row>
    <row r="1623" spans="1:18" ht="10.5" customHeight="1" x14ac:dyDescent="0.3">
      <c r="A1623" s="18"/>
      <c r="B1623" s="20"/>
      <c r="C1623" s="20"/>
      <c r="D1623" s="20"/>
      <c r="E1623" s="20"/>
      <c r="F1623" s="20"/>
      <c r="G1623" s="20"/>
      <c r="H1623" s="101"/>
      <c r="I1623" s="20"/>
      <c r="J1623" s="18"/>
      <c r="K1623" s="20"/>
      <c r="L1623" s="20"/>
      <c r="M1623" s="20"/>
      <c r="N1623" s="20"/>
      <c r="O1623" s="20"/>
      <c r="P1623" s="20"/>
      <c r="Q1623" s="20"/>
      <c r="R1623" s="101"/>
    </row>
    <row r="1624" spans="1:18" ht="10.5" customHeight="1" x14ac:dyDescent="0.3">
      <c r="A1624" s="306"/>
      <c r="B1624" s="20"/>
      <c r="C1624" s="20"/>
      <c r="D1624" s="20"/>
      <c r="E1624" s="20"/>
      <c r="F1624" s="20"/>
      <c r="G1624" s="20"/>
      <c r="H1624" s="101"/>
      <c r="I1624" s="20"/>
      <c r="J1624" s="306"/>
      <c r="K1624" s="20"/>
      <c r="L1624" s="20"/>
      <c r="M1624" s="20"/>
      <c r="N1624" s="20"/>
      <c r="O1624" s="20"/>
      <c r="P1624" s="20"/>
      <c r="Q1624" s="20"/>
      <c r="R1624" s="101"/>
    </row>
    <row r="1625" spans="1:18" ht="10.5" customHeight="1" x14ac:dyDescent="0.3">
      <c r="A1625" s="306"/>
      <c r="B1625" s="20"/>
      <c r="C1625" s="20"/>
      <c r="D1625" s="20"/>
      <c r="E1625" s="20"/>
      <c r="F1625" s="20"/>
      <c r="G1625" s="20"/>
      <c r="H1625" s="101"/>
      <c r="I1625" s="20"/>
      <c r="J1625" s="18"/>
      <c r="K1625" s="20"/>
      <c r="L1625" s="20"/>
      <c r="M1625" s="20"/>
      <c r="N1625" s="20"/>
      <c r="O1625" s="20"/>
      <c r="P1625" s="20"/>
      <c r="Q1625" s="20"/>
      <c r="R1625" s="101"/>
    </row>
    <row r="1626" spans="1:18" ht="10.5" customHeight="1" x14ac:dyDescent="0.3">
      <c r="A1626" s="18"/>
      <c r="B1626" s="20"/>
      <c r="C1626" s="20"/>
      <c r="D1626" s="20"/>
      <c r="E1626" s="20"/>
      <c r="F1626" s="20"/>
      <c r="G1626" s="20"/>
      <c r="H1626" s="116"/>
      <c r="I1626" s="20"/>
      <c r="J1626" s="55"/>
      <c r="K1626" s="83"/>
      <c r="L1626" s="83"/>
      <c r="M1626" s="83"/>
      <c r="N1626" s="83"/>
      <c r="O1626" s="83"/>
      <c r="P1626" s="83"/>
      <c r="Q1626" s="83"/>
      <c r="R1626" s="101"/>
    </row>
    <row r="1627" spans="1:18" ht="10.5" customHeight="1" x14ac:dyDescent="0.3">
      <c r="A1627" s="446" t="s">
        <v>78</v>
      </c>
      <c r="B1627" s="446" t="s">
        <v>79</v>
      </c>
      <c r="C1627" s="446"/>
      <c r="D1627" s="446"/>
      <c r="E1627" s="447" t="s">
        <v>80</v>
      </c>
      <c r="F1627" s="15"/>
      <c r="G1627" s="16" t="s">
        <v>81</v>
      </c>
      <c r="H1627" s="17" t="s">
        <v>82</v>
      </c>
      <c r="I1627" s="20"/>
      <c r="J1627" s="446" t="s">
        <v>78</v>
      </c>
      <c r="K1627" s="446" t="s">
        <v>79</v>
      </c>
      <c r="L1627" s="446"/>
      <c r="M1627" s="446"/>
      <c r="N1627" s="447" t="s">
        <v>80</v>
      </c>
      <c r="O1627" s="14"/>
      <c r="P1627" s="15"/>
      <c r="Q1627" s="16" t="s">
        <v>81</v>
      </c>
      <c r="R1627" s="17" t="s">
        <v>82</v>
      </c>
    </row>
    <row r="1628" spans="1:18" ht="10.5" customHeight="1" x14ac:dyDescent="0.3">
      <c r="A1628" s="446"/>
      <c r="B1628" s="446"/>
      <c r="C1628" s="446"/>
      <c r="D1628" s="446"/>
      <c r="E1628" s="447"/>
      <c r="F1628" s="19"/>
      <c r="G1628" s="15" t="s">
        <v>375</v>
      </c>
      <c r="H1628" s="15" t="s">
        <v>375</v>
      </c>
      <c r="I1628" s="20"/>
      <c r="J1628" s="446"/>
      <c r="K1628" s="446"/>
      <c r="L1628" s="446"/>
      <c r="M1628" s="446"/>
      <c r="N1628" s="447"/>
      <c r="O1628" s="14"/>
      <c r="P1628" s="19"/>
      <c r="Q1628" s="15" t="s">
        <v>375</v>
      </c>
      <c r="R1628" s="15" t="s">
        <v>375</v>
      </c>
    </row>
    <row r="1629" spans="1:18" ht="10.5" customHeight="1" x14ac:dyDescent="0.3">
      <c r="A1629" s="263" t="s">
        <v>1867</v>
      </c>
      <c r="B1629" s="167"/>
      <c r="C1629" s="344">
        <v>2</v>
      </c>
      <c r="D1629" s="272" t="s">
        <v>874</v>
      </c>
      <c r="E1629" s="87">
        <v>1</v>
      </c>
      <c r="F1629" s="78">
        <v>0.32103760677083326</v>
      </c>
      <c r="G1629" s="72">
        <f>F1629*$F$10</f>
        <v>13.804617091145831</v>
      </c>
      <c r="H1629" s="28">
        <f>G1629-G1629*0.2</f>
        <v>11.043693672916664</v>
      </c>
      <c r="I1629" s="20"/>
      <c r="J1629" s="263" t="s">
        <v>1868</v>
      </c>
      <c r="K1629" s="40"/>
      <c r="L1629" s="345">
        <v>1</v>
      </c>
      <c r="M1629" s="275" t="s">
        <v>874</v>
      </c>
      <c r="N1629" s="87">
        <v>1</v>
      </c>
      <c r="O1629" s="87"/>
      <c r="P1629" s="78">
        <v>0.05</v>
      </c>
      <c r="Q1629" s="72">
        <f>P1629*$F$10</f>
        <v>2.15</v>
      </c>
      <c r="R1629" s="72">
        <f>Q1629-Q1629*0.2</f>
        <v>1.72</v>
      </c>
    </row>
    <row r="1630" spans="1:18" ht="10.5" customHeight="1" x14ac:dyDescent="0.3">
      <c r="A1630" s="307" t="s">
        <v>1869</v>
      </c>
      <c r="B1630" s="51"/>
      <c r="C1630" s="343">
        <v>3</v>
      </c>
      <c r="D1630" s="312" t="s">
        <v>874</v>
      </c>
      <c r="E1630" s="94">
        <v>1</v>
      </c>
      <c r="F1630" s="26">
        <v>0.32975355989583333</v>
      </c>
      <c r="G1630" s="28">
        <f>F1630*$F$10</f>
        <v>14.179403075520833</v>
      </c>
      <c r="H1630" s="28">
        <f>G1630-G1630*0.2</f>
        <v>11.343522460416667</v>
      </c>
      <c r="I1630" s="20"/>
      <c r="J1630" s="307" t="s">
        <v>1870</v>
      </c>
      <c r="K1630" s="22"/>
      <c r="L1630" s="343">
        <v>2</v>
      </c>
      <c r="M1630" s="218" t="s">
        <v>874</v>
      </c>
      <c r="N1630" s="94">
        <v>1</v>
      </c>
      <c r="O1630" s="94"/>
      <c r="P1630" s="26">
        <v>5.6000000000000001E-2</v>
      </c>
      <c r="Q1630" s="28">
        <f>P1630*$F$10</f>
        <v>2.4079999999999999</v>
      </c>
      <c r="R1630" s="28">
        <f>Q1630-Q1630*0.2</f>
        <v>1.9263999999999999</v>
      </c>
    </row>
    <row r="1631" spans="1:18" ht="10.5" customHeight="1" x14ac:dyDescent="0.3">
      <c r="A1631" s="307" t="s">
        <v>1871</v>
      </c>
      <c r="B1631" s="167"/>
      <c r="C1631" s="344">
        <v>4</v>
      </c>
      <c r="D1631" s="272" t="s">
        <v>874</v>
      </c>
      <c r="E1631" s="94">
        <v>1</v>
      </c>
      <c r="F1631" s="26">
        <v>0.65290561650000001</v>
      </c>
      <c r="G1631" s="28">
        <f>F1631*$F$10</f>
        <v>28.0749415095</v>
      </c>
      <c r="H1631" s="28">
        <f>G1631-G1631*0.2</f>
        <v>22.459953207600002</v>
      </c>
      <c r="I1631" s="20"/>
      <c r="J1631" s="307" t="s">
        <v>1872</v>
      </c>
      <c r="K1631" s="51"/>
      <c r="L1631" s="343">
        <v>3</v>
      </c>
      <c r="M1631" s="312" t="s">
        <v>874</v>
      </c>
      <c r="N1631" s="94">
        <v>1</v>
      </c>
      <c r="O1631" s="94"/>
      <c r="P1631" s="26">
        <v>8.1000000000000003E-2</v>
      </c>
      <c r="Q1631" s="28">
        <f>P1631*$F$10</f>
        <v>3.4830000000000001</v>
      </c>
      <c r="R1631" s="28">
        <f>Q1631-Q1631*0.2</f>
        <v>2.7864</v>
      </c>
    </row>
    <row r="1632" spans="1:18" ht="10.5" customHeight="1" x14ac:dyDescent="0.3">
      <c r="A1632" s="307" t="s">
        <v>1873</v>
      </c>
      <c r="B1632" s="51"/>
      <c r="C1632" s="343">
        <v>5</v>
      </c>
      <c r="D1632" s="312" t="s">
        <v>874</v>
      </c>
      <c r="E1632" s="94">
        <v>1</v>
      </c>
      <c r="F1632" s="26">
        <v>0.69130502974999986</v>
      </c>
      <c r="G1632" s="28">
        <f>F1632*$F$10</f>
        <v>29.726116279249993</v>
      </c>
      <c r="H1632" s="28">
        <f>G1632-G1632*0.2</f>
        <v>23.780893023399994</v>
      </c>
      <c r="I1632" s="20"/>
      <c r="J1632" s="307" t="s">
        <v>1874</v>
      </c>
      <c r="K1632" s="167"/>
      <c r="L1632" s="344">
        <v>4</v>
      </c>
      <c r="M1632" s="272" t="s">
        <v>874</v>
      </c>
      <c r="N1632" s="94">
        <v>1</v>
      </c>
      <c r="O1632" s="94"/>
      <c r="P1632" s="26">
        <v>9.9000000000000005E-2</v>
      </c>
      <c r="Q1632" s="28">
        <f>P1632*$F$10</f>
        <v>4.2570000000000006</v>
      </c>
      <c r="R1632" s="28">
        <f>Q1632-Q1632*0.2</f>
        <v>3.4056000000000006</v>
      </c>
    </row>
    <row r="1633" spans="1:18" ht="10.5" customHeight="1" x14ac:dyDescent="0.3">
      <c r="A1633" s="307" t="s">
        <v>1875</v>
      </c>
      <c r="B1633" s="167"/>
      <c r="C1633" s="344">
        <v>6</v>
      </c>
      <c r="D1633" s="272" t="s">
        <v>874</v>
      </c>
      <c r="E1633" s="94">
        <v>1</v>
      </c>
      <c r="F1633" s="26">
        <v>0.74891570875000002</v>
      </c>
      <c r="G1633" s="28">
        <f>F1633*$F$10</f>
        <v>32.203375476250002</v>
      </c>
      <c r="H1633" s="28">
        <f>G1633-G1633*0.2</f>
        <v>25.762700381000002</v>
      </c>
      <c r="I1633" s="83"/>
      <c r="J1633" s="307" t="s">
        <v>1876</v>
      </c>
      <c r="K1633" s="51"/>
      <c r="L1633" s="343">
        <v>5</v>
      </c>
      <c r="M1633" s="312" t="s">
        <v>874</v>
      </c>
      <c r="N1633" s="94">
        <v>1</v>
      </c>
      <c r="O1633" s="94"/>
      <c r="P1633" s="26">
        <v>0.14000000000000001</v>
      </c>
      <c r="Q1633" s="28">
        <f>P1633*$F$10</f>
        <v>6.0200000000000005</v>
      </c>
      <c r="R1633" s="28">
        <f>Q1633-Q1633*0.2</f>
        <v>4.8160000000000007</v>
      </c>
    </row>
    <row r="1634" spans="1:18" ht="10.5" customHeight="1" x14ac:dyDescent="0.3">
      <c r="A1634" s="275"/>
      <c r="B1634" s="40"/>
      <c r="C1634" s="345"/>
      <c r="D1634" s="275"/>
      <c r="E1634" s="97"/>
      <c r="F1634" s="44"/>
      <c r="G1634" s="46"/>
      <c r="H1634" s="46"/>
      <c r="I1634" s="20"/>
      <c r="J1634" s="275"/>
      <c r="K1634" s="40"/>
      <c r="L1634" s="345"/>
      <c r="M1634" s="275"/>
      <c r="N1634" s="97"/>
      <c r="O1634" s="97"/>
      <c r="P1634" s="44"/>
      <c r="Q1634" s="46"/>
      <c r="R1634" s="46"/>
    </row>
    <row r="1635" spans="1:18" ht="10.5" customHeight="1" x14ac:dyDescent="0.3">
      <c r="A1635" s="275"/>
      <c r="B1635" s="40"/>
      <c r="C1635" s="345"/>
      <c r="D1635" s="275"/>
      <c r="E1635" s="97"/>
      <c r="F1635" s="44"/>
      <c r="G1635" s="46"/>
      <c r="H1635" s="46"/>
      <c r="I1635" s="20"/>
      <c r="J1635" s="275"/>
      <c r="K1635" s="40"/>
      <c r="L1635" s="345"/>
      <c r="M1635" s="275"/>
      <c r="N1635" s="97"/>
      <c r="O1635" s="97"/>
      <c r="P1635" s="44"/>
      <c r="Q1635" s="46"/>
      <c r="R1635" s="46"/>
    </row>
    <row r="1636" spans="1:18" ht="10.5" customHeight="1" x14ac:dyDescent="0.3">
      <c r="A1636" s="275"/>
      <c r="B1636" s="40"/>
      <c r="C1636" s="345"/>
      <c r="D1636" s="275"/>
      <c r="E1636" s="97"/>
      <c r="F1636" s="44"/>
      <c r="G1636" s="46"/>
      <c r="H1636" s="46"/>
      <c r="I1636" s="20"/>
      <c r="J1636" s="275"/>
      <c r="K1636" s="40"/>
      <c r="L1636" s="345"/>
      <c r="M1636" s="275"/>
      <c r="N1636" s="97"/>
      <c r="O1636" s="97"/>
      <c r="P1636" s="44"/>
      <c r="Q1636" s="46"/>
      <c r="R1636" s="46"/>
    </row>
    <row r="1637" spans="1:18" ht="10.5" customHeight="1" x14ac:dyDescent="0.3">
      <c r="A1637" s="275"/>
      <c r="B1637" s="40"/>
      <c r="C1637" s="345"/>
      <c r="D1637" s="275"/>
      <c r="E1637" s="97"/>
      <c r="F1637" s="44"/>
      <c r="G1637" s="46"/>
      <c r="H1637" s="46"/>
      <c r="I1637" s="20"/>
      <c r="J1637" s="275"/>
      <c r="K1637" s="40"/>
      <c r="L1637" s="345"/>
      <c r="M1637" s="275"/>
      <c r="N1637" s="97"/>
      <c r="O1637" s="97"/>
      <c r="P1637" s="44"/>
      <c r="Q1637" s="46"/>
      <c r="R1637" s="46"/>
    </row>
    <row r="1638" spans="1:18" ht="10.5" customHeight="1" x14ac:dyDescent="0.3">
      <c r="A1638" s="275"/>
      <c r="B1638" s="40"/>
      <c r="C1638" s="345"/>
      <c r="D1638" s="275"/>
      <c r="E1638" s="97"/>
      <c r="F1638" s="44"/>
      <c r="G1638" s="46"/>
      <c r="H1638" s="46"/>
      <c r="I1638" s="20"/>
      <c r="J1638" s="275"/>
      <c r="K1638" s="40"/>
      <c r="L1638" s="345"/>
      <c r="M1638" s="275"/>
      <c r="N1638" s="97"/>
      <c r="O1638" s="97"/>
      <c r="P1638" s="44"/>
      <c r="Q1638" s="46"/>
      <c r="R1638" s="46"/>
    </row>
    <row r="1639" spans="1:18" ht="10.5" customHeight="1" x14ac:dyDescent="0.3">
      <c r="A1639" s="275"/>
      <c r="B1639" s="40"/>
      <c r="C1639" s="345"/>
      <c r="D1639" s="275"/>
      <c r="E1639" s="97"/>
      <c r="F1639" s="44"/>
      <c r="G1639" s="46"/>
      <c r="H1639" s="46"/>
      <c r="I1639" s="20"/>
      <c r="J1639" s="275"/>
      <c r="K1639" s="40"/>
      <c r="L1639" s="345"/>
      <c r="M1639" s="275"/>
      <c r="N1639" s="97"/>
      <c r="O1639" s="97"/>
      <c r="P1639" s="44"/>
      <c r="Q1639" s="46"/>
      <c r="R1639" s="46"/>
    </row>
    <row r="1640" spans="1:18" ht="10.5" customHeight="1" x14ac:dyDescent="0.3">
      <c r="A1640" s="275"/>
      <c r="B1640" s="40"/>
      <c r="C1640" s="345"/>
      <c r="D1640" s="275"/>
      <c r="E1640" s="97"/>
      <c r="F1640" s="44"/>
      <c r="G1640" s="46"/>
      <c r="H1640" s="46"/>
      <c r="I1640" s="20"/>
      <c r="J1640" s="275"/>
      <c r="K1640" s="40"/>
      <c r="L1640" s="345"/>
      <c r="M1640" s="275"/>
      <c r="N1640" s="97"/>
      <c r="O1640" s="97"/>
      <c r="P1640" s="44"/>
      <c r="Q1640" s="46"/>
      <c r="R1640" s="46"/>
    </row>
    <row r="1641" spans="1:18" ht="10.5" customHeight="1" x14ac:dyDescent="0.3">
      <c r="A1641" s="275"/>
      <c r="B1641" s="40"/>
      <c r="C1641" s="345"/>
      <c r="D1641" s="275"/>
      <c r="E1641" s="97"/>
      <c r="F1641" s="44"/>
      <c r="G1641" s="46"/>
      <c r="H1641" s="46"/>
      <c r="I1641" s="20"/>
      <c r="J1641" s="275"/>
      <c r="K1641" s="40"/>
      <c r="L1641" s="345"/>
      <c r="M1641" s="275"/>
      <c r="N1641" s="97"/>
      <c r="O1641" s="97"/>
      <c r="P1641" s="44"/>
      <c r="Q1641" s="46"/>
      <c r="R1641" s="46"/>
    </row>
    <row r="1642" spans="1:18" ht="10.5" customHeight="1" x14ac:dyDescent="0.3">
      <c r="A1642" s="275"/>
      <c r="B1642" s="40"/>
      <c r="C1642" s="345"/>
      <c r="D1642" s="275"/>
      <c r="E1642" s="97"/>
      <c r="F1642" s="44"/>
      <c r="G1642" s="46"/>
      <c r="H1642" s="46"/>
      <c r="I1642" s="20"/>
      <c r="J1642" s="275"/>
      <c r="K1642" s="40"/>
      <c r="L1642" s="345"/>
      <c r="M1642" s="275"/>
      <c r="N1642" s="97"/>
      <c r="O1642" s="97"/>
      <c r="P1642" s="44"/>
      <c r="Q1642" s="46"/>
      <c r="R1642" s="46"/>
    </row>
    <row r="1643" spans="1:18" ht="10.5" customHeight="1" x14ac:dyDescent="0.3">
      <c r="A1643" s="20"/>
      <c r="B1643" s="20"/>
      <c r="C1643" s="20"/>
      <c r="D1643" s="20"/>
      <c r="E1643" s="20"/>
      <c r="F1643" s="20"/>
      <c r="G1643" s="20"/>
      <c r="H1643" s="20"/>
      <c r="I1643" s="20"/>
      <c r="J1643" s="20"/>
      <c r="K1643" s="20"/>
      <c r="L1643" s="20"/>
      <c r="M1643" s="20"/>
      <c r="N1643" s="20"/>
      <c r="O1643" s="20"/>
      <c r="P1643" s="20"/>
      <c r="Q1643" s="20"/>
      <c r="R1643" s="20"/>
    </row>
    <row r="1644" spans="1:18" ht="10.5" customHeight="1" x14ac:dyDescent="0.3">
      <c r="A1644" s="166" t="s">
        <v>1877</v>
      </c>
      <c r="B1644" s="308" t="s">
        <v>1878</v>
      </c>
      <c r="C1644" s="49"/>
      <c r="D1644" s="49"/>
      <c r="E1644" s="49"/>
      <c r="F1644" s="49"/>
      <c r="G1644" s="49"/>
      <c r="H1644" s="50"/>
      <c r="I1644" s="49"/>
      <c r="J1644" s="346">
        <v>20120</v>
      </c>
      <c r="K1644" s="308" t="s">
        <v>1879</v>
      </c>
      <c r="L1644" s="49"/>
      <c r="M1644" s="49"/>
      <c r="N1644" s="49"/>
      <c r="O1644" s="49"/>
      <c r="P1644" s="49"/>
      <c r="Q1644" s="49"/>
      <c r="R1644" s="50"/>
    </row>
    <row r="1645" spans="1:18" ht="10.5" customHeight="1" x14ac:dyDescent="0.3">
      <c r="A1645" s="18"/>
      <c r="B1645" s="20"/>
      <c r="C1645" s="20"/>
      <c r="D1645" s="20"/>
      <c r="E1645" s="20"/>
      <c r="F1645" s="20"/>
      <c r="G1645" s="20"/>
      <c r="H1645" s="101"/>
      <c r="I1645" s="20"/>
      <c r="J1645" s="18"/>
      <c r="K1645" s="20"/>
      <c r="L1645" s="20"/>
      <c r="M1645" s="20"/>
      <c r="N1645" s="20"/>
      <c r="O1645" s="20"/>
      <c r="P1645" s="20"/>
      <c r="Q1645" s="20"/>
      <c r="R1645" s="101"/>
    </row>
    <row r="1646" spans="1:18" ht="10.5" customHeight="1" x14ac:dyDescent="0.3">
      <c r="A1646" s="18"/>
      <c r="B1646" s="20"/>
      <c r="C1646" s="20"/>
      <c r="D1646" s="20"/>
      <c r="E1646" s="20"/>
      <c r="F1646" s="20"/>
      <c r="G1646" s="20"/>
      <c r="H1646" s="101"/>
      <c r="I1646" s="20"/>
      <c r="J1646" s="18"/>
      <c r="K1646" s="20"/>
      <c r="L1646" s="20"/>
      <c r="M1646" s="20"/>
      <c r="N1646" s="20"/>
      <c r="O1646" s="20"/>
      <c r="P1646" s="20"/>
      <c r="Q1646" s="20"/>
      <c r="R1646" s="101"/>
    </row>
    <row r="1647" spans="1:18" ht="10.5" customHeight="1" x14ac:dyDescent="0.3">
      <c r="A1647" s="18"/>
      <c r="B1647" s="20"/>
      <c r="C1647" s="20"/>
      <c r="D1647" s="20"/>
      <c r="E1647" s="20"/>
      <c r="F1647" s="20"/>
      <c r="G1647" s="20"/>
      <c r="H1647" s="101"/>
      <c r="I1647" s="20"/>
      <c r="J1647" s="18"/>
      <c r="K1647" s="20"/>
      <c r="L1647" s="20"/>
      <c r="M1647" s="20"/>
      <c r="N1647" s="20"/>
      <c r="O1647" s="20"/>
      <c r="P1647" s="20"/>
      <c r="Q1647" s="20"/>
      <c r="R1647" s="101"/>
    </row>
    <row r="1648" spans="1:18" ht="10.5" customHeight="1" x14ac:dyDescent="0.3">
      <c r="A1648" s="18"/>
      <c r="B1648" s="20"/>
      <c r="C1648" s="20"/>
      <c r="D1648" s="20"/>
      <c r="E1648" s="20"/>
      <c r="F1648" s="20"/>
      <c r="G1648" s="20"/>
      <c r="H1648" s="101"/>
      <c r="I1648" s="20"/>
      <c r="J1648" s="18"/>
      <c r="K1648" s="20"/>
      <c r="L1648" s="20"/>
      <c r="M1648" s="20"/>
      <c r="N1648" s="20"/>
      <c r="O1648" s="20"/>
      <c r="P1648" s="20"/>
      <c r="Q1648" s="20"/>
      <c r="R1648" s="101"/>
    </row>
    <row r="1649" spans="1:18" ht="10.5" customHeight="1" x14ac:dyDescent="0.3">
      <c r="A1649" s="18"/>
      <c r="B1649" s="20"/>
      <c r="C1649" s="20"/>
      <c r="D1649" s="20"/>
      <c r="E1649" s="20"/>
      <c r="F1649" s="20"/>
      <c r="G1649" s="20"/>
      <c r="H1649" s="101"/>
      <c r="I1649" s="20"/>
      <c r="J1649" s="18"/>
      <c r="K1649" s="20"/>
      <c r="L1649" s="20"/>
      <c r="M1649" s="20"/>
      <c r="N1649" s="20"/>
      <c r="O1649" s="20"/>
      <c r="P1649" s="20"/>
      <c r="Q1649" s="20"/>
      <c r="R1649" s="101"/>
    </row>
    <row r="1650" spans="1:18" ht="10.5" customHeight="1" x14ac:dyDescent="0.3">
      <c r="A1650" s="446" t="s">
        <v>78</v>
      </c>
      <c r="B1650" s="446" t="s">
        <v>79</v>
      </c>
      <c r="C1650" s="446"/>
      <c r="D1650" s="446"/>
      <c r="E1650" s="447" t="s">
        <v>80</v>
      </c>
      <c r="F1650" s="15"/>
      <c r="G1650" s="16" t="s">
        <v>81</v>
      </c>
      <c r="H1650" s="17" t="s">
        <v>82</v>
      </c>
      <c r="I1650" s="20"/>
      <c r="J1650" s="446" t="s">
        <v>78</v>
      </c>
      <c r="K1650" s="446" t="s">
        <v>79</v>
      </c>
      <c r="L1650" s="446"/>
      <c r="M1650" s="446"/>
      <c r="N1650" s="447" t="s">
        <v>80</v>
      </c>
      <c r="O1650" s="14"/>
      <c r="P1650" s="15"/>
      <c r="Q1650" s="16" t="s">
        <v>81</v>
      </c>
      <c r="R1650" s="17" t="s">
        <v>82</v>
      </c>
    </row>
    <row r="1651" spans="1:18" ht="10.5" customHeight="1" x14ac:dyDescent="0.3">
      <c r="A1651" s="446"/>
      <c r="B1651" s="446"/>
      <c r="C1651" s="446"/>
      <c r="D1651" s="446"/>
      <c r="E1651" s="447"/>
      <c r="F1651" s="19"/>
      <c r="G1651" s="15" t="s">
        <v>375</v>
      </c>
      <c r="H1651" s="15" t="s">
        <v>375</v>
      </c>
      <c r="I1651" s="20"/>
      <c r="J1651" s="446"/>
      <c r="K1651" s="446"/>
      <c r="L1651" s="446"/>
      <c r="M1651" s="446"/>
      <c r="N1651" s="447"/>
      <c r="O1651" s="14"/>
      <c r="P1651" s="19"/>
      <c r="Q1651" s="15" t="s">
        <v>375</v>
      </c>
      <c r="R1651" s="15" t="s">
        <v>375</v>
      </c>
    </row>
    <row r="1652" spans="1:18" ht="10.5" customHeight="1" x14ac:dyDescent="0.3">
      <c r="A1652" s="263" t="s">
        <v>1880</v>
      </c>
      <c r="B1652" s="167"/>
      <c r="C1652" s="344">
        <v>4</v>
      </c>
      <c r="D1652" s="272" t="s">
        <v>874</v>
      </c>
      <c r="E1652" s="87">
        <v>1</v>
      </c>
      <c r="F1652" s="78">
        <v>0.25887385365853655</v>
      </c>
      <c r="G1652" s="72">
        <f t="shared" ref="G1652:G1657" si="229">F1652*$F$10</f>
        <v>11.131575707317072</v>
      </c>
      <c r="H1652" s="28">
        <f t="shared" ref="H1652:H1657" si="230">G1652-G1652*0.2</f>
        <v>8.9052605658536574</v>
      </c>
      <c r="I1652" s="20"/>
      <c r="J1652" s="263" t="s">
        <v>1881</v>
      </c>
      <c r="K1652" s="74"/>
      <c r="L1652" s="344">
        <v>4</v>
      </c>
      <c r="M1652" s="334" t="s">
        <v>874</v>
      </c>
      <c r="N1652" s="237">
        <v>1</v>
      </c>
      <c r="O1652" s="237"/>
      <c r="P1652" s="78">
        <v>1.023180487804878</v>
      </c>
      <c r="Q1652" s="72">
        <f>P1652*$F$10</f>
        <v>43.996760975609753</v>
      </c>
      <c r="R1652" s="72">
        <f>Q1652-Q1652*0.2</f>
        <v>35.197408780487805</v>
      </c>
    </row>
    <row r="1653" spans="1:18" ht="10.5" customHeight="1" x14ac:dyDescent="0.3">
      <c r="A1653" s="307" t="s">
        <v>1882</v>
      </c>
      <c r="B1653" s="51"/>
      <c r="C1653" s="343">
        <v>5</v>
      </c>
      <c r="D1653" s="312" t="s">
        <v>874</v>
      </c>
      <c r="E1653" s="94">
        <v>1</v>
      </c>
      <c r="F1653" s="26">
        <v>0.27551968292682927</v>
      </c>
      <c r="G1653" s="28">
        <f t="shared" si="229"/>
        <v>11.847346365853658</v>
      </c>
      <c r="H1653" s="28">
        <f t="shared" si="230"/>
        <v>9.4778770926829274</v>
      </c>
      <c r="I1653" s="20"/>
      <c r="J1653" s="307" t="s">
        <v>1883</v>
      </c>
      <c r="K1653" s="22"/>
      <c r="L1653" s="343">
        <v>5</v>
      </c>
      <c r="M1653" s="218" t="s">
        <v>874</v>
      </c>
      <c r="N1653" s="239">
        <v>1</v>
      </c>
      <c r="O1653" s="239"/>
      <c r="P1653" s="26">
        <v>1.0917243902439024</v>
      </c>
      <c r="Q1653" s="28">
        <f>P1653*$F$10</f>
        <v>46.944148780487808</v>
      </c>
      <c r="R1653" s="28">
        <f>Q1653-Q1653*0.2</f>
        <v>37.555319024390243</v>
      </c>
    </row>
    <row r="1654" spans="1:18" ht="10.5" customHeight="1" x14ac:dyDescent="0.3">
      <c r="A1654" s="307" t="s">
        <v>1884</v>
      </c>
      <c r="B1654" s="167"/>
      <c r="C1654" s="344">
        <v>6</v>
      </c>
      <c r="D1654" s="272" t="s">
        <v>874</v>
      </c>
      <c r="E1654" s="94">
        <v>1</v>
      </c>
      <c r="F1654" s="26">
        <v>0.30012656097560975</v>
      </c>
      <c r="G1654" s="28">
        <f t="shared" si="229"/>
        <v>12.90544212195122</v>
      </c>
      <c r="H1654" s="28">
        <f t="shared" si="230"/>
        <v>10.324353697560976</v>
      </c>
      <c r="I1654" s="20"/>
      <c r="J1654" s="307" t="s">
        <v>1885</v>
      </c>
      <c r="K1654" s="22"/>
      <c r="L1654" s="343">
        <v>6</v>
      </c>
      <c r="M1654" s="218" t="s">
        <v>874</v>
      </c>
      <c r="N1654" s="239">
        <v>1</v>
      </c>
      <c r="O1654" s="239"/>
      <c r="P1654" s="26">
        <v>1.3662829268292682</v>
      </c>
      <c r="Q1654" s="28">
        <f>P1654*$F$10</f>
        <v>58.750165853658537</v>
      </c>
      <c r="R1654" s="28">
        <f>Q1654-Q1654*0.2</f>
        <v>47.000132682926832</v>
      </c>
    </row>
    <row r="1655" spans="1:18" ht="10.5" customHeight="1" x14ac:dyDescent="0.3">
      <c r="A1655" s="307" t="s">
        <v>1886</v>
      </c>
      <c r="B1655" s="51"/>
      <c r="C1655" s="343">
        <v>8</v>
      </c>
      <c r="D1655" s="312" t="s">
        <v>874</v>
      </c>
      <c r="E1655" s="94">
        <v>1</v>
      </c>
      <c r="F1655" s="26">
        <v>0.5280560975609756</v>
      </c>
      <c r="G1655" s="28">
        <f t="shared" si="229"/>
        <v>22.706412195121949</v>
      </c>
      <c r="H1655" s="28">
        <f t="shared" si="230"/>
        <v>18.16512975609756</v>
      </c>
      <c r="I1655" s="20"/>
      <c r="J1655" s="20"/>
      <c r="K1655" s="20"/>
      <c r="L1655" s="20"/>
      <c r="M1655" s="20"/>
      <c r="N1655" s="20"/>
      <c r="O1655" s="20"/>
      <c r="P1655" s="20"/>
      <c r="Q1655" s="20"/>
      <c r="R1655" s="101"/>
    </row>
    <row r="1656" spans="1:18" ht="10.5" customHeight="1" x14ac:dyDescent="0.3">
      <c r="A1656" s="307" t="s">
        <v>1887</v>
      </c>
      <c r="B1656" s="167"/>
      <c r="C1656" s="344">
        <v>10</v>
      </c>
      <c r="D1656" s="272" t="s">
        <v>874</v>
      </c>
      <c r="E1656" s="94">
        <v>1</v>
      </c>
      <c r="F1656" s="26">
        <v>0.75819512195121952</v>
      </c>
      <c r="G1656" s="28">
        <f t="shared" si="229"/>
        <v>32.602390243902441</v>
      </c>
      <c r="H1656" s="28">
        <f t="shared" si="230"/>
        <v>26.081912195121951</v>
      </c>
      <c r="I1656" s="20"/>
      <c r="J1656" s="20"/>
      <c r="K1656" s="20"/>
      <c r="L1656" s="20"/>
      <c r="M1656" s="20"/>
      <c r="N1656" s="20"/>
      <c r="O1656" s="20"/>
      <c r="P1656" s="20"/>
      <c r="Q1656" s="20"/>
      <c r="R1656" s="101"/>
    </row>
    <row r="1657" spans="1:18" ht="10.5" customHeight="1" x14ac:dyDescent="0.3">
      <c r="A1657" s="307" t="s">
        <v>1888</v>
      </c>
      <c r="B1657" s="51"/>
      <c r="C1657" s="343">
        <v>12</v>
      </c>
      <c r="D1657" s="218" t="s">
        <v>874</v>
      </c>
      <c r="E1657" s="94">
        <v>1</v>
      </c>
      <c r="F1657" s="26">
        <v>1.5267292682926827</v>
      </c>
      <c r="G1657" s="28">
        <f t="shared" si="229"/>
        <v>65.649358536585353</v>
      </c>
      <c r="H1657" s="28">
        <f t="shared" si="230"/>
        <v>52.519486829268281</v>
      </c>
      <c r="I1657" s="83"/>
      <c r="J1657" s="83"/>
      <c r="K1657" s="83"/>
      <c r="L1657" s="83"/>
      <c r="M1657" s="83"/>
      <c r="N1657" s="83"/>
      <c r="O1657" s="83"/>
      <c r="P1657" s="83"/>
      <c r="Q1657" s="83"/>
      <c r="R1657" s="116"/>
    </row>
    <row r="1658" spans="1:18" ht="10.5" customHeight="1" x14ac:dyDescent="0.3">
      <c r="A1658" s="20"/>
      <c r="B1658" s="20"/>
      <c r="C1658" s="20"/>
      <c r="D1658" s="20"/>
      <c r="E1658" s="20"/>
      <c r="F1658" s="20"/>
      <c r="G1658" s="20"/>
      <c r="H1658" s="20"/>
      <c r="I1658" s="20"/>
      <c r="J1658" s="20"/>
      <c r="K1658" s="20"/>
      <c r="L1658" s="20"/>
      <c r="M1658" s="20"/>
      <c r="N1658" s="20"/>
      <c r="O1658" s="20"/>
      <c r="P1658" s="20"/>
      <c r="Q1658" s="20"/>
      <c r="R1658" s="20"/>
    </row>
    <row r="1659" spans="1:18" ht="10.5" customHeight="1" x14ac:dyDescent="0.3">
      <c r="A1659" s="166" t="s">
        <v>1889</v>
      </c>
      <c r="B1659" s="308" t="s">
        <v>1890</v>
      </c>
      <c r="C1659" s="49"/>
      <c r="D1659" s="49"/>
      <c r="E1659" s="49"/>
      <c r="F1659" s="49"/>
      <c r="G1659" s="49"/>
      <c r="H1659" s="50"/>
      <c r="I1659" s="20"/>
      <c r="J1659" s="346">
        <v>20022</v>
      </c>
      <c r="K1659" s="308" t="s">
        <v>1891</v>
      </c>
      <c r="L1659" s="49"/>
      <c r="M1659" s="49"/>
      <c r="N1659" s="49"/>
      <c r="O1659" s="49"/>
      <c r="P1659" s="49"/>
      <c r="Q1659" s="49"/>
      <c r="R1659" s="50"/>
    </row>
    <row r="1660" spans="1:18" ht="10.5" customHeight="1" x14ac:dyDescent="0.3">
      <c r="A1660" s="18"/>
      <c r="B1660" s="20"/>
      <c r="C1660" s="20"/>
      <c r="D1660" s="20"/>
      <c r="E1660" s="20"/>
      <c r="F1660" s="20"/>
      <c r="G1660" s="20"/>
      <c r="H1660" s="101"/>
      <c r="I1660" s="20"/>
      <c r="J1660" s="18"/>
      <c r="K1660" s="20"/>
      <c r="L1660" s="20"/>
      <c r="M1660" s="20"/>
      <c r="N1660" s="20"/>
      <c r="O1660" s="20"/>
      <c r="P1660" s="20"/>
      <c r="Q1660" s="20"/>
      <c r="R1660" s="101"/>
    </row>
    <row r="1661" spans="1:18" ht="10.5" customHeight="1" x14ac:dyDescent="0.3">
      <c r="A1661" s="18"/>
      <c r="B1661" s="20"/>
      <c r="C1661" s="20"/>
      <c r="D1661" s="20"/>
      <c r="E1661" s="20"/>
      <c r="F1661" s="20"/>
      <c r="G1661" s="20"/>
      <c r="H1661" s="101"/>
      <c r="I1661" s="20"/>
      <c r="J1661" s="18"/>
      <c r="K1661" s="20"/>
      <c r="L1661" s="20"/>
      <c r="M1661" s="20"/>
      <c r="N1661" s="20"/>
      <c r="O1661" s="20"/>
      <c r="P1661" s="20"/>
      <c r="Q1661" s="20"/>
      <c r="R1661" s="101"/>
    </row>
    <row r="1662" spans="1:18" ht="10.5" customHeight="1" x14ac:dyDescent="0.3">
      <c r="A1662" s="18"/>
      <c r="B1662" s="20"/>
      <c r="C1662" s="20"/>
      <c r="D1662" s="20"/>
      <c r="E1662" s="20"/>
      <c r="F1662" s="20"/>
      <c r="G1662" s="20"/>
      <c r="H1662" s="101"/>
      <c r="I1662" s="20"/>
      <c r="J1662" s="18"/>
      <c r="K1662" s="20"/>
      <c r="L1662" s="20"/>
      <c r="M1662" s="20"/>
      <c r="N1662" s="20"/>
      <c r="O1662" s="20"/>
      <c r="P1662" s="20"/>
      <c r="Q1662" s="20"/>
      <c r="R1662" s="101"/>
    </row>
    <row r="1663" spans="1:18" ht="10.5" customHeight="1" x14ac:dyDescent="0.3">
      <c r="A1663" s="18"/>
      <c r="B1663" s="20"/>
      <c r="C1663" s="20"/>
      <c r="D1663" s="20"/>
      <c r="E1663" s="20"/>
      <c r="F1663" s="20"/>
      <c r="G1663" s="20"/>
      <c r="H1663" s="101"/>
      <c r="I1663" s="20"/>
      <c r="J1663" s="18"/>
      <c r="K1663" s="20"/>
      <c r="L1663" s="20"/>
      <c r="M1663" s="20"/>
      <c r="N1663" s="20"/>
      <c r="O1663" s="20"/>
      <c r="P1663" s="20"/>
      <c r="Q1663" s="20"/>
      <c r="R1663" s="101"/>
    </row>
    <row r="1664" spans="1:18" ht="10.5" customHeight="1" x14ac:dyDescent="0.3">
      <c r="A1664" s="18"/>
      <c r="B1664" s="20"/>
      <c r="C1664" s="20"/>
      <c r="D1664" s="20"/>
      <c r="E1664" s="20"/>
      <c r="F1664" s="20"/>
      <c r="G1664" s="20"/>
      <c r="H1664" s="101"/>
      <c r="I1664" s="20"/>
      <c r="J1664" s="18"/>
      <c r="K1664" s="20"/>
      <c r="L1664" s="20"/>
      <c r="M1664" s="20"/>
      <c r="N1664" s="20"/>
      <c r="O1664" s="20"/>
      <c r="P1664" s="20"/>
      <c r="Q1664" s="20"/>
      <c r="R1664" s="101"/>
    </row>
    <row r="1665" spans="1:18" ht="10.5" customHeight="1" x14ac:dyDescent="0.3">
      <c r="A1665" s="446" t="s">
        <v>78</v>
      </c>
      <c r="B1665" s="446" t="s">
        <v>79</v>
      </c>
      <c r="C1665" s="446"/>
      <c r="D1665" s="446"/>
      <c r="E1665" s="447" t="s">
        <v>80</v>
      </c>
      <c r="F1665" s="15"/>
      <c r="G1665" s="16" t="s">
        <v>81</v>
      </c>
      <c r="H1665" s="17" t="s">
        <v>82</v>
      </c>
      <c r="I1665" s="20"/>
      <c r="J1665" s="446" t="s">
        <v>78</v>
      </c>
      <c r="K1665" s="446" t="s">
        <v>79</v>
      </c>
      <c r="L1665" s="446"/>
      <c r="M1665" s="446"/>
      <c r="N1665" s="447" t="s">
        <v>80</v>
      </c>
      <c r="O1665" s="14"/>
      <c r="P1665" s="15"/>
      <c r="Q1665" s="16" t="s">
        <v>81</v>
      </c>
      <c r="R1665" s="17" t="s">
        <v>82</v>
      </c>
    </row>
    <row r="1666" spans="1:18" ht="10.5" customHeight="1" x14ac:dyDescent="0.3">
      <c r="A1666" s="446"/>
      <c r="B1666" s="446"/>
      <c r="C1666" s="446"/>
      <c r="D1666" s="446"/>
      <c r="E1666" s="447"/>
      <c r="F1666" s="19"/>
      <c r="G1666" s="15" t="s">
        <v>375</v>
      </c>
      <c r="H1666" s="15" t="s">
        <v>375</v>
      </c>
      <c r="I1666" s="20"/>
      <c r="J1666" s="446"/>
      <c r="K1666" s="446"/>
      <c r="L1666" s="446"/>
      <c r="M1666" s="446"/>
      <c r="N1666" s="447"/>
      <c r="O1666" s="14"/>
      <c r="P1666" s="19"/>
      <c r="Q1666" s="15" t="s">
        <v>375</v>
      </c>
      <c r="R1666" s="15" t="s">
        <v>375</v>
      </c>
    </row>
    <row r="1667" spans="1:18" ht="10.5" customHeight="1" x14ac:dyDescent="0.3">
      <c r="A1667" s="263" t="s">
        <v>1892</v>
      </c>
      <c r="B1667" s="167"/>
      <c r="C1667" s="271" t="s">
        <v>1693</v>
      </c>
      <c r="D1667" s="272">
        <v>4</v>
      </c>
      <c r="E1667" s="87">
        <v>1</v>
      </c>
      <c r="F1667" s="78">
        <v>0.25380773170731702</v>
      </c>
      <c r="G1667" s="72">
        <f t="shared" ref="G1667:G1672" si="231">F1667*$F$10</f>
        <v>10.913732463414632</v>
      </c>
      <c r="H1667" s="72">
        <f t="shared" ref="H1667:H1672" si="232">G1667-G1667*0.2</f>
        <v>8.7309859707317052</v>
      </c>
      <c r="I1667" s="20"/>
      <c r="J1667" s="263" t="s">
        <v>1893</v>
      </c>
      <c r="K1667" s="347"/>
      <c r="L1667" s="271" t="s">
        <v>1693</v>
      </c>
      <c r="M1667" s="272">
        <v>6</v>
      </c>
      <c r="N1667" s="87">
        <v>1</v>
      </c>
      <c r="O1667" s="87"/>
      <c r="P1667" s="78">
        <v>0.40743414634146341</v>
      </c>
      <c r="Q1667" s="72">
        <f>P1667*$F$10</f>
        <v>17.519668292682926</v>
      </c>
      <c r="R1667" s="72">
        <f>Q1667-Q1667*0.2</f>
        <v>14.015734634146341</v>
      </c>
    </row>
    <row r="1668" spans="1:18" ht="10.5" customHeight="1" x14ac:dyDescent="0.3">
      <c r="A1668" s="307" t="s">
        <v>1894</v>
      </c>
      <c r="B1668" s="51"/>
      <c r="C1668" s="277" t="s">
        <v>1693</v>
      </c>
      <c r="D1668" s="312">
        <v>5</v>
      </c>
      <c r="E1668" s="94">
        <v>1</v>
      </c>
      <c r="F1668" s="26">
        <v>0.28565192682926827</v>
      </c>
      <c r="G1668" s="28">
        <f t="shared" si="231"/>
        <v>12.283032853658536</v>
      </c>
      <c r="H1668" s="28">
        <f t="shared" si="232"/>
        <v>9.8264262829268283</v>
      </c>
      <c r="I1668" s="20"/>
      <c r="J1668" s="263" t="s">
        <v>1895</v>
      </c>
      <c r="K1668" s="347"/>
      <c r="L1668" s="271" t="s">
        <v>1693</v>
      </c>
      <c r="M1668" s="272">
        <v>8</v>
      </c>
      <c r="N1668" s="87">
        <v>1</v>
      </c>
      <c r="O1668" s="87"/>
      <c r="P1668" s="26">
        <v>0.62110731707317057</v>
      </c>
      <c r="Q1668" s="28">
        <f>P1668*$F$10</f>
        <v>26.707614634146335</v>
      </c>
      <c r="R1668" s="28">
        <f>Q1668-Q1668*0.2</f>
        <v>21.366091707317068</v>
      </c>
    </row>
    <row r="1669" spans="1:18" ht="10.5" customHeight="1" x14ac:dyDescent="0.3">
      <c r="A1669" s="307" t="s">
        <v>1896</v>
      </c>
      <c r="B1669" s="167"/>
      <c r="C1669" s="271" t="s">
        <v>1693</v>
      </c>
      <c r="D1669" s="272">
        <v>6</v>
      </c>
      <c r="E1669" s="94">
        <v>1</v>
      </c>
      <c r="F1669" s="26">
        <v>0.40130731707317069</v>
      </c>
      <c r="G1669" s="28">
        <f t="shared" si="231"/>
        <v>17.256214634146339</v>
      </c>
      <c r="H1669" s="28">
        <f t="shared" si="232"/>
        <v>13.804971707317071</v>
      </c>
      <c r="I1669" s="20"/>
      <c r="J1669" s="307" t="s">
        <v>1897</v>
      </c>
      <c r="K1669" s="348"/>
      <c r="L1669" s="277" t="s">
        <v>1693</v>
      </c>
      <c r="M1669" s="312">
        <v>10</v>
      </c>
      <c r="N1669" s="94">
        <v>1</v>
      </c>
      <c r="O1669" s="94"/>
      <c r="P1669" s="26">
        <v>1.0002048780487804</v>
      </c>
      <c r="Q1669" s="28">
        <f>P1669*$F$10</f>
        <v>43.008809756097563</v>
      </c>
      <c r="R1669" s="28">
        <f>Q1669-Q1669*0.2</f>
        <v>34.407047804878047</v>
      </c>
    </row>
    <row r="1670" spans="1:18" ht="10.5" customHeight="1" x14ac:dyDescent="0.3">
      <c r="A1670" s="307" t="s">
        <v>1898</v>
      </c>
      <c r="B1670" s="51"/>
      <c r="C1670" s="277" t="s">
        <v>1693</v>
      </c>
      <c r="D1670" s="312">
        <v>8</v>
      </c>
      <c r="E1670" s="94">
        <v>1</v>
      </c>
      <c r="F1670" s="26">
        <v>0.66782439024390239</v>
      </c>
      <c r="G1670" s="28">
        <f t="shared" si="231"/>
        <v>28.716448780487802</v>
      </c>
      <c r="H1670" s="28">
        <f t="shared" si="232"/>
        <v>22.973159024390242</v>
      </c>
      <c r="I1670" s="20"/>
      <c r="J1670" s="307" t="s">
        <v>1899</v>
      </c>
      <c r="K1670" s="348"/>
      <c r="L1670" s="277" t="s">
        <v>1693</v>
      </c>
      <c r="M1670" s="312">
        <v>13</v>
      </c>
      <c r="N1670" s="94">
        <v>1</v>
      </c>
      <c r="O1670" s="94"/>
      <c r="P1670" s="26">
        <v>3.5353157949999998</v>
      </c>
      <c r="Q1670" s="28">
        <f>P1670*$F$10</f>
        <v>152.01857918499999</v>
      </c>
      <c r="R1670" s="28">
        <f>Q1670-Q1670*0.2</f>
        <v>121.614863348</v>
      </c>
    </row>
    <row r="1671" spans="1:18" ht="10.5" customHeight="1" x14ac:dyDescent="0.3">
      <c r="A1671" s="307" t="s">
        <v>1900</v>
      </c>
      <c r="B1671" s="167"/>
      <c r="C1671" s="271" t="s">
        <v>1693</v>
      </c>
      <c r="D1671" s="272">
        <v>10</v>
      </c>
      <c r="E1671" s="94">
        <v>1</v>
      </c>
      <c r="F1671" s="26">
        <v>1.0911396407054099</v>
      </c>
      <c r="G1671" s="28">
        <f t="shared" si="231"/>
        <v>46.919004550332623</v>
      </c>
      <c r="H1671" s="28">
        <f t="shared" si="232"/>
        <v>37.535203640266097</v>
      </c>
      <c r="I1671" s="20"/>
      <c r="J1671" s="20"/>
      <c r="K1671" s="20"/>
      <c r="L1671" s="20"/>
      <c r="M1671" s="20"/>
      <c r="N1671" s="20"/>
      <c r="O1671" s="20"/>
      <c r="P1671" s="20"/>
      <c r="Q1671" s="20"/>
      <c r="R1671" s="20"/>
    </row>
    <row r="1672" spans="1:18" ht="10.5" customHeight="1" x14ac:dyDescent="0.3">
      <c r="A1672" s="307" t="s">
        <v>1901</v>
      </c>
      <c r="B1672" s="167"/>
      <c r="C1672" s="271" t="s">
        <v>1693</v>
      </c>
      <c r="D1672" s="272">
        <v>12</v>
      </c>
      <c r="E1672" s="94">
        <v>1</v>
      </c>
      <c r="F1672" s="26">
        <v>1.883139790379607</v>
      </c>
      <c r="G1672" s="28">
        <f t="shared" si="231"/>
        <v>80.975010986323099</v>
      </c>
      <c r="H1672" s="28">
        <f t="shared" si="232"/>
        <v>64.780008789058485</v>
      </c>
      <c r="I1672" s="20"/>
      <c r="J1672" s="20"/>
      <c r="K1672" s="20"/>
      <c r="L1672" s="20"/>
      <c r="M1672" s="20"/>
      <c r="N1672" s="20"/>
      <c r="O1672" s="20"/>
      <c r="P1672" s="20"/>
      <c r="Q1672" s="20"/>
      <c r="R1672" s="20"/>
    </row>
    <row r="1673" spans="1:18" ht="10.5" customHeight="1" x14ac:dyDescent="0.3">
      <c r="A1673" s="20"/>
      <c r="B1673" s="20"/>
      <c r="C1673" s="20"/>
      <c r="D1673" s="20"/>
      <c r="E1673" s="20"/>
      <c r="F1673" s="20"/>
      <c r="G1673" s="20"/>
      <c r="H1673" s="20"/>
      <c r="I1673" s="20"/>
      <c r="J1673" s="20"/>
      <c r="K1673" s="20"/>
      <c r="L1673" s="20"/>
      <c r="M1673" s="20"/>
      <c r="N1673" s="20"/>
      <c r="O1673" s="20"/>
      <c r="P1673" s="20"/>
      <c r="Q1673" s="20"/>
      <c r="R1673" s="20"/>
    </row>
    <row r="1674" spans="1:18" ht="10.5" customHeight="1" x14ac:dyDescent="0.3">
      <c r="A1674" s="346">
        <v>20023</v>
      </c>
      <c r="B1674" s="301" t="s">
        <v>1902</v>
      </c>
      <c r="C1674" s="49"/>
      <c r="D1674" s="49"/>
      <c r="E1674" s="49"/>
      <c r="F1674" s="49"/>
      <c r="G1674" s="49"/>
      <c r="H1674" s="50"/>
      <c r="I1674" s="20"/>
      <c r="J1674" s="346">
        <v>20024</v>
      </c>
      <c r="K1674" s="308" t="s">
        <v>1903</v>
      </c>
      <c r="L1674" s="49"/>
      <c r="M1674" s="49"/>
      <c r="N1674" s="49"/>
      <c r="O1674" s="49"/>
      <c r="P1674" s="49"/>
      <c r="Q1674" s="49"/>
      <c r="R1674" s="50"/>
    </row>
    <row r="1675" spans="1:18" ht="10.5" customHeight="1" x14ac:dyDescent="0.3">
      <c r="A1675" s="18"/>
      <c r="B1675" s="20"/>
      <c r="C1675" s="20"/>
      <c r="D1675" s="20"/>
      <c r="E1675" s="20"/>
      <c r="F1675" s="20"/>
      <c r="G1675" s="20"/>
      <c r="H1675" s="101"/>
      <c r="I1675" s="20"/>
      <c r="J1675" s="18"/>
      <c r="K1675" s="20"/>
      <c r="L1675" s="20"/>
      <c r="M1675" s="20"/>
      <c r="N1675" s="20"/>
      <c r="O1675" s="20"/>
      <c r="P1675" s="20"/>
      <c r="Q1675" s="20"/>
      <c r="R1675" s="101"/>
    </row>
    <row r="1676" spans="1:18" ht="10.5" customHeight="1" x14ac:dyDescent="0.3">
      <c r="A1676" s="306"/>
      <c r="B1676" s="20"/>
      <c r="C1676" s="20"/>
      <c r="D1676" s="20"/>
      <c r="E1676" s="20"/>
      <c r="F1676" s="20"/>
      <c r="G1676" s="20"/>
      <c r="H1676" s="101"/>
      <c r="I1676" s="20"/>
      <c r="J1676" s="306"/>
      <c r="K1676" s="20"/>
      <c r="L1676" s="20"/>
      <c r="M1676" s="20"/>
      <c r="N1676" s="20"/>
      <c r="O1676" s="20"/>
      <c r="P1676" s="20"/>
      <c r="Q1676" s="20"/>
      <c r="R1676" s="101"/>
    </row>
    <row r="1677" spans="1:18" ht="10.5" customHeight="1" x14ac:dyDescent="0.3">
      <c r="A1677" s="306" t="s">
        <v>457</v>
      </c>
      <c r="B1677" s="20"/>
      <c r="C1677" s="20"/>
      <c r="D1677" s="20"/>
      <c r="E1677" s="20"/>
      <c r="F1677" s="20"/>
      <c r="G1677" s="20"/>
      <c r="H1677" s="101"/>
      <c r="I1677" s="20"/>
      <c r="J1677" s="18"/>
      <c r="K1677" s="20"/>
      <c r="L1677" s="20"/>
      <c r="M1677" s="20"/>
      <c r="N1677" s="20"/>
      <c r="O1677" s="20"/>
      <c r="P1677" s="20"/>
      <c r="Q1677" s="20"/>
      <c r="R1677" s="101"/>
    </row>
    <row r="1678" spans="1:18" ht="10.5" customHeight="1" x14ac:dyDescent="0.3">
      <c r="A1678" s="18"/>
      <c r="B1678" s="20"/>
      <c r="C1678" s="20"/>
      <c r="D1678" s="20"/>
      <c r="E1678" s="20"/>
      <c r="F1678" s="20"/>
      <c r="G1678" s="20"/>
      <c r="H1678" s="101"/>
      <c r="I1678" s="20"/>
      <c r="J1678" s="18"/>
      <c r="K1678" s="20"/>
      <c r="L1678" s="20"/>
      <c r="M1678" s="20"/>
      <c r="N1678" s="20"/>
      <c r="O1678" s="20"/>
      <c r="P1678" s="20"/>
      <c r="Q1678" s="20"/>
      <c r="R1678" s="101"/>
    </row>
    <row r="1679" spans="1:18" ht="10.5" customHeight="1" x14ac:dyDescent="0.3">
      <c r="A1679" s="446" t="s">
        <v>78</v>
      </c>
      <c r="B1679" s="446" t="s">
        <v>79</v>
      </c>
      <c r="C1679" s="446"/>
      <c r="D1679" s="446"/>
      <c r="E1679" s="447" t="s">
        <v>80</v>
      </c>
      <c r="F1679" s="15"/>
      <c r="G1679" s="16" t="s">
        <v>81</v>
      </c>
      <c r="H1679" s="17" t="s">
        <v>82</v>
      </c>
      <c r="I1679" s="20"/>
      <c r="J1679" s="446" t="s">
        <v>78</v>
      </c>
      <c r="K1679" s="446" t="s">
        <v>79</v>
      </c>
      <c r="L1679" s="446"/>
      <c r="M1679" s="446"/>
      <c r="N1679" s="447" t="s">
        <v>80</v>
      </c>
      <c r="O1679" s="14"/>
      <c r="P1679" s="15"/>
      <c r="Q1679" s="16" t="s">
        <v>81</v>
      </c>
      <c r="R1679" s="17" t="s">
        <v>82</v>
      </c>
    </row>
    <row r="1680" spans="1:18" ht="10.5" customHeight="1" x14ac:dyDescent="0.3">
      <c r="A1680" s="446"/>
      <c r="B1680" s="446"/>
      <c r="C1680" s="446"/>
      <c r="D1680" s="446"/>
      <c r="E1680" s="447"/>
      <c r="F1680" s="19"/>
      <c r="G1680" s="15" t="s">
        <v>375</v>
      </c>
      <c r="H1680" s="15" t="s">
        <v>375</v>
      </c>
      <c r="I1680" s="20"/>
      <c r="J1680" s="446"/>
      <c r="K1680" s="446"/>
      <c r="L1680" s="446"/>
      <c r="M1680" s="446"/>
      <c r="N1680" s="447"/>
      <c r="O1680" s="14"/>
      <c r="P1680" s="19"/>
      <c r="Q1680" s="15" t="s">
        <v>375</v>
      </c>
      <c r="R1680" s="15" t="s">
        <v>375</v>
      </c>
    </row>
    <row r="1681" spans="1:18" ht="10.5" customHeight="1" x14ac:dyDescent="0.3">
      <c r="A1681" s="349" t="s">
        <v>1904</v>
      </c>
      <c r="B1681" s="350">
        <v>40</v>
      </c>
      <c r="C1681" s="274"/>
      <c r="D1681" s="275" t="s">
        <v>874</v>
      </c>
      <c r="E1681" s="87">
        <v>1</v>
      </c>
      <c r="F1681" s="78">
        <v>0.2519996237558309</v>
      </c>
      <c r="G1681" s="72">
        <f>F1681*$F$10</f>
        <v>10.835983821500729</v>
      </c>
      <c r="H1681" s="72">
        <f>G1681-G1681*0.2</f>
        <v>8.6687870572005838</v>
      </c>
      <c r="I1681" s="20"/>
      <c r="J1681" s="263" t="s">
        <v>1905</v>
      </c>
      <c r="K1681" s="347">
        <v>12</v>
      </c>
      <c r="L1681" s="271" t="s">
        <v>86</v>
      </c>
      <c r="M1681" s="272">
        <v>67</v>
      </c>
      <c r="N1681" s="87">
        <v>1</v>
      </c>
      <c r="O1681" s="87"/>
      <c r="P1681" s="78">
        <v>0.74</v>
      </c>
      <c r="Q1681" s="72">
        <f>P1681*$F$10</f>
        <v>31.82</v>
      </c>
      <c r="R1681" s="72">
        <f>Q1681-Q1681*0.2</f>
        <v>25.456</v>
      </c>
    </row>
    <row r="1682" spans="1:18" ht="10.5" customHeight="1" x14ac:dyDescent="0.3">
      <c r="A1682" s="307" t="s">
        <v>1906</v>
      </c>
      <c r="B1682" s="348">
        <v>60</v>
      </c>
      <c r="C1682" s="277"/>
      <c r="D1682" s="218" t="s">
        <v>874</v>
      </c>
      <c r="E1682" s="94">
        <v>1</v>
      </c>
      <c r="F1682" s="26">
        <v>0.53099854569961502</v>
      </c>
      <c r="G1682" s="28">
        <f>F1682*$F$10</f>
        <v>22.832937465083447</v>
      </c>
      <c r="H1682" s="28">
        <f>G1682-G1682*0.2</f>
        <v>18.266349972066756</v>
      </c>
      <c r="I1682" s="20"/>
      <c r="J1682" s="20"/>
      <c r="K1682" s="20"/>
      <c r="L1682" s="20"/>
      <c r="M1682" s="20"/>
      <c r="N1682" s="20"/>
      <c r="O1682" s="20"/>
      <c r="P1682" s="20"/>
      <c r="Q1682" s="20"/>
      <c r="R1682" s="20"/>
    </row>
    <row r="1683" spans="1:18" ht="10.5" customHeight="1" x14ac:dyDescent="0.3">
      <c r="A1683" s="307" t="s">
        <v>1907</v>
      </c>
      <c r="B1683" s="348">
        <v>80</v>
      </c>
      <c r="C1683" s="277"/>
      <c r="D1683" s="218" t="s">
        <v>874</v>
      </c>
      <c r="E1683" s="94">
        <v>1</v>
      </c>
      <c r="F1683" s="26">
        <v>0.97199746522493335</v>
      </c>
      <c r="G1683" s="28">
        <f>F1683*$F$10</f>
        <v>41.795891004672136</v>
      </c>
      <c r="H1683" s="28">
        <f>G1683-G1683*0.2</f>
        <v>33.436712803737706</v>
      </c>
      <c r="I1683" s="20"/>
      <c r="J1683" s="20"/>
      <c r="K1683" s="20"/>
      <c r="L1683" s="20"/>
      <c r="M1683" s="20"/>
      <c r="N1683" s="20"/>
      <c r="O1683" s="20"/>
      <c r="P1683" s="20"/>
      <c r="Q1683" s="20"/>
      <c r="R1683" s="20"/>
    </row>
    <row r="1684" spans="1:18" ht="10.5" customHeight="1" x14ac:dyDescent="0.3">
      <c r="A1684" s="263" t="s">
        <v>1908</v>
      </c>
      <c r="B1684" s="347">
        <v>100</v>
      </c>
      <c r="C1684" s="271"/>
      <c r="D1684" s="272" t="s">
        <v>874</v>
      </c>
      <c r="E1684" s="94">
        <v>1</v>
      </c>
      <c r="F1684" s="26">
        <v>1.3139968880799122</v>
      </c>
      <c r="G1684" s="28">
        <f>F1684*$F$10</f>
        <v>56.501866187436228</v>
      </c>
      <c r="H1684" s="28">
        <f>G1684-G1684*0.2</f>
        <v>45.201492949948985</v>
      </c>
      <c r="I1684" s="20"/>
      <c r="J1684" s="20"/>
      <c r="K1684" s="20"/>
      <c r="L1684" s="20"/>
      <c r="M1684" s="20"/>
      <c r="N1684" s="20"/>
      <c r="O1684" s="20"/>
      <c r="P1684" s="20"/>
      <c r="Q1684" s="20"/>
      <c r="R1684" s="20"/>
    </row>
    <row r="1685" spans="1:18" ht="10.5" customHeight="1" x14ac:dyDescent="0.3">
      <c r="A1685" s="20"/>
      <c r="B1685" s="20"/>
      <c r="C1685" s="20"/>
      <c r="D1685" s="20"/>
      <c r="E1685" s="20"/>
      <c r="F1685" s="20"/>
      <c r="G1685" s="20"/>
      <c r="H1685" s="20"/>
      <c r="I1685" s="20"/>
      <c r="J1685" s="20"/>
      <c r="K1685" s="20"/>
      <c r="L1685" s="20"/>
      <c r="M1685" s="20"/>
      <c r="N1685" s="20"/>
      <c r="O1685" s="20"/>
      <c r="P1685" s="20"/>
      <c r="Q1685" s="20"/>
      <c r="R1685" s="20"/>
    </row>
    <row r="1686" spans="1:18" ht="10.5" customHeight="1" x14ac:dyDescent="0.3">
      <c r="A1686" s="166" t="s">
        <v>1909</v>
      </c>
      <c r="B1686" s="308" t="s">
        <v>1910</v>
      </c>
      <c r="C1686" s="49"/>
      <c r="D1686" s="49"/>
      <c r="E1686" s="49"/>
      <c r="F1686" s="49"/>
      <c r="G1686" s="49"/>
      <c r="H1686" s="50"/>
      <c r="I1686" s="49"/>
      <c r="J1686" s="166" t="s">
        <v>1911</v>
      </c>
      <c r="K1686" s="351" t="s">
        <v>1912</v>
      </c>
      <c r="L1686" s="49"/>
      <c r="M1686" s="49"/>
      <c r="N1686" s="49"/>
      <c r="O1686" s="49"/>
      <c r="P1686" s="49"/>
      <c r="Q1686" s="49"/>
      <c r="R1686" s="50"/>
    </row>
    <row r="1687" spans="1:18" ht="10.5" customHeight="1" x14ac:dyDescent="0.3">
      <c r="A1687" s="18"/>
      <c r="B1687" s="20"/>
      <c r="C1687" s="20"/>
      <c r="D1687" s="20"/>
      <c r="E1687" s="20"/>
      <c r="F1687" s="20"/>
      <c r="G1687" s="20"/>
      <c r="H1687" s="101"/>
      <c r="I1687" s="20"/>
      <c r="J1687" s="18"/>
      <c r="K1687" s="20"/>
      <c r="L1687" s="20"/>
      <c r="M1687" s="20"/>
      <c r="N1687" s="20"/>
      <c r="O1687" s="20"/>
      <c r="P1687" s="20"/>
      <c r="Q1687" s="20"/>
      <c r="R1687" s="101"/>
    </row>
    <row r="1688" spans="1:18" ht="10.5" customHeight="1" x14ac:dyDescent="0.3">
      <c r="A1688" s="306"/>
      <c r="B1688" s="20"/>
      <c r="C1688" s="20"/>
      <c r="D1688" s="20"/>
      <c r="E1688" s="20"/>
      <c r="F1688" s="20"/>
      <c r="G1688" s="20"/>
      <c r="H1688" s="101"/>
      <c r="I1688" s="20"/>
      <c r="J1688" s="294"/>
      <c r="K1688" s="20"/>
      <c r="L1688" s="20"/>
      <c r="M1688" s="20"/>
      <c r="N1688" s="20"/>
      <c r="O1688" s="20"/>
      <c r="P1688" s="20"/>
      <c r="Q1688" s="20"/>
      <c r="R1688" s="101"/>
    </row>
    <row r="1689" spans="1:18" ht="10.5" customHeight="1" x14ac:dyDescent="0.3">
      <c r="A1689" s="18"/>
      <c r="B1689" s="20"/>
      <c r="C1689" s="20"/>
      <c r="D1689" s="20"/>
      <c r="E1689" s="20"/>
      <c r="F1689" s="20"/>
      <c r="G1689" s="20"/>
      <c r="H1689" s="101"/>
      <c r="I1689" s="20"/>
      <c r="J1689" s="18"/>
      <c r="K1689" s="20"/>
      <c r="L1689" s="20"/>
      <c r="M1689" s="20"/>
      <c r="N1689" s="20"/>
      <c r="O1689" s="20"/>
      <c r="P1689" s="20"/>
      <c r="Q1689" s="20"/>
      <c r="R1689" s="101"/>
    </row>
    <row r="1690" spans="1:18" ht="10.5" customHeight="1" x14ac:dyDescent="0.3">
      <c r="A1690" s="18"/>
      <c r="B1690" s="20"/>
      <c r="C1690" s="20"/>
      <c r="D1690" s="20"/>
      <c r="E1690" s="20"/>
      <c r="F1690" s="20"/>
      <c r="G1690" s="20"/>
      <c r="H1690" s="101"/>
      <c r="I1690" s="20"/>
      <c r="J1690" s="18"/>
      <c r="K1690" s="20"/>
      <c r="L1690" s="20"/>
      <c r="M1690" s="20"/>
      <c r="N1690" s="20"/>
      <c r="O1690" s="20"/>
      <c r="P1690" s="20"/>
      <c r="Q1690" s="20"/>
      <c r="R1690" s="101"/>
    </row>
    <row r="1691" spans="1:18" ht="10.5" customHeight="1" x14ac:dyDescent="0.3">
      <c r="A1691" s="18"/>
      <c r="B1691" s="20"/>
      <c r="C1691" s="20"/>
      <c r="D1691" s="20"/>
      <c r="E1691" s="20"/>
      <c r="F1691" s="20"/>
      <c r="G1691" s="20"/>
      <c r="H1691" s="101"/>
      <c r="I1691" s="20"/>
      <c r="J1691" s="18"/>
      <c r="K1691" s="20"/>
      <c r="L1691" s="20"/>
      <c r="M1691" s="20"/>
      <c r="N1691" s="20"/>
      <c r="O1691" s="20"/>
      <c r="P1691" s="20"/>
      <c r="Q1691" s="20"/>
      <c r="R1691" s="101"/>
    </row>
    <row r="1692" spans="1:18" ht="10.5" customHeight="1" x14ac:dyDescent="0.3">
      <c r="A1692" s="18"/>
      <c r="B1692" s="20"/>
      <c r="C1692" s="20"/>
      <c r="D1692" s="20"/>
      <c r="E1692" s="20"/>
      <c r="F1692" s="20"/>
      <c r="G1692" s="20"/>
      <c r="H1692" s="101"/>
      <c r="I1692" s="20"/>
      <c r="J1692" s="18"/>
      <c r="K1692" s="20"/>
      <c r="L1692" s="20"/>
      <c r="M1692" s="20"/>
      <c r="N1692" s="20"/>
      <c r="O1692" s="20"/>
      <c r="P1692" s="20"/>
      <c r="Q1692" s="20"/>
      <c r="R1692" s="101"/>
    </row>
    <row r="1693" spans="1:18" ht="10.5" customHeight="1" x14ac:dyDescent="0.3">
      <c r="A1693" s="18"/>
      <c r="B1693" s="20"/>
      <c r="C1693" s="20"/>
      <c r="D1693" s="20"/>
      <c r="E1693" s="20"/>
      <c r="F1693" s="20"/>
      <c r="G1693" s="20"/>
      <c r="H1693" s="101"/>
      <c r="I1693" s="20"/>
      <c r="J1693" s="18"/>
      <c r="K1693" s="20"/>
      <c r="L1693" s="20"/>
      <c r="M1693" s="20"/>
      <c r="N1693" s="20"/>
      <c r="O1693" s="20"/>
      <c r="P1693" s="20"/>
      <c r="Q1693" s="20"/>
      <c r="R1693" s="101"/>
    </row>
    <row r="1694" spans="1:18" ht="10.5" customHeight="1" x14ac:dyDescent="0.3">
      <c r="A1694" s="446" t="s">
        <v>78</v>
      </c>
      <c r="B1694" s="446" t="s">
        <v>79</v>
      </c>
      <c r="C1694" s="446"/>
      <c r="D1694" s="446"/>
      <c r="E1694" s="447" t="s">
        <v>80</v>
      </c>
      <c r="F1694" s="15"/>
      <c r="G1694" s="16" t="s">
        <v>81</v>
      </c>
      <c r="H1694" s="17" t="s">
        <v>82</v>
      </c>
      <c r="I1694" s="20"/>
      <c r="J1694" s="446" t="s">
        <v>78</v>
      </c>
      <c r="K1694" s="446" t="s">
        <v>79</v>
      </c>
      <c r="L1694" s="446"/>
      <c r="M1694" s="446"/>
      <c r="N1694" s="447" t="s">
        <v>80</v>
      </c>
      <c r="O1694" s="14"/>
      <c r="P1694" s="15"/>
      <c r="Q1694" s="16" t="s">
        <v>81</v>
      </c>
      <c r="R1694" s="17" t="s">
        <v>82</v>
      </c>
    </row>
    <row r="1695" spans="1:18" ht="10.5" customHeight="1" x14ac:dyDescent="0.3">
      <c r="A1695" s="446"/>
      <c r="B1695" s="446"/>
      <c r="C1695" s="446"/>
      <c r="D1695" s="446"/>
      <c r="E1695" s="447"/>
      <c r="F1695" s="19"/>
      <c r="G1695" s="15" t="s">
        <v>375</v>
      </c>
      <c r="H1695" s="15" t="s">
        <v>375</v>
      </c>
      <c r="I1695" s="20"/>
      <c r="J1695" s="446"/>
      <c r="K1695" s="446"/>
      <c r="L1695" s="446"/>
      <c r="M1695" s="446"/>
      <c r="N1695" s="447"/>
      <c r="O1695" s="14"/>
      <c r="P1695" s="19"/>
      <c r="Q1695" s="15" t="s">
        <v>375</v>
      </c>
      <c r="R1695" s="15" t="s">
        <v>375</v>
      </c>
    </row>
    <row r="1696" spans="1:18" ht="10.5" customHeight="1" x14ac:dyDescent="0.3">
      <c r="A1696" s="263" t="s">
        <v>1913</v>
      </c>
      <c r="B1696" s="167"/>
      <c r="C1696" s="344">
        <v>5</v>
      </c>
      <c r="D1696" s="272" t="s">
        <v>874</v>
      </c>
      <c r="E1696" s="87">
        <v>1</v>
      </c>
      <c r="F1696" s="78">
        <v>0.32</v>
      </c>
      <c r="G1696" s="72">
        <f>F1696*$F$10</f>
        <v>13.76</v>
      </c>
      <c r="H1696" s="72">
        <f>G1696-G1696*0.2</f>
        <v>11.007999999999999</v>
      </c>
      <c r="I1696" s="20"/>
      <c r="J1696" s="263" t="s">
        <v>1914</v>
      </c>
      <c r="K1696" s="347"/>
      <c r="L1696" s="352">
        <v>4</v>
      </c>
      <c r="M1696" s="272" t="s">
        <v>874</v>
      </c>
      <c r="N1696" s="87">
        <v>1</v>
      </c>
      <c r="O1696" s="87"/>
      <c r="P1696" s="78">
        <v>0.56000000000000005</v>
      </c>
      <c r="Q1696" s="72">
        <f>P1696*$F$10</f>
        <v>24.080000000000002</v>
      </c>
      <c r="R1696" s="340">
        <f>Q1696-Q1696*0.2</f>
        <v>19.264000000000003</v>
      </c>
    </row>
    <row r="1697" spans="1:18" ht="10.5" customHeight="1" x14ac:dyDescent="0.3">
      <c r="A1697" s="307" t="s">
        <v>1915</v>
      </c>
      <c r="B1697" s="51"/>
      <c r="C1697" s="343">
        <v>6</v>
      </c>
      <c r="D1697" s="312" t="s">
        <v>874</v>
      </c>
      <c r="E1697" s="94">
        <v>1</v>
      </c>
      <c r="F1697" s="26">
        <v>0.33</v>
      </c>
      <c r="G1697" s="28">
        <f>F1697*$F$10</f>
        <v>14.190000000000001</v>
      </c>
      <c r="H1697" s="28">
        <f>G1697-G1697*0.2</f>
        <v>11.352</v>
      </c>
      <c r="I1697" s="20"/>
      <c r="J1697" s="307" t="s">
        <v>1916</v>
      </c>
      <c r="K1697" s="348"/>
      <c r="L1697" s="353">
        <v>5</v>
      </c>
      <c r="M1697" s="312" t="s">
        <v>874</v>
      </c>
      <c r="N1697" s="94">
        <v>1</v>
      </c>
      <c r="O1697" s="94"/>
      <c r="P1697" s="26">
        <v>0.82</v>
      </c>
      <c r="Q1697" s="28">
        <f>P1697*$F$10</f>
        <v>35.26</v>
      </c>
      <c r="R1697" s="341">
        <f>Q1697-Q1697*0.2</f>
        <v>28.207999999999998</v>
      </c>
    </row>
    <row r="1698" spans="1:18" ht="10.5" customHeight="1" x14ac:dyDescent="0.3">
      <c r="A1698" s="307" t="s">
        <v>1917</v>
      </c>
      <c r="B1698" s="167"/>
      <c r="C1698" s="344">
        <v>8</v>
      </c>
      <c r="D1698" s="272" t="s">
        <v>874</v>
      </c>
      <c r="E1698" s="94">
        <v>1</v>
      </c>
      <c r="F1698" s="26">
        <v>0.52</v>
      </c>
      <c r="G1698" s="28">
        <f>F1698*$F$10</f>
        <v>22.36</v>
      </c>
      <c r="H1698" s="28">
        <f>G1698-G1698*0.2</f>
        <v>17.887999999999998</v>
      </c>
      <c r="I1698" s="20"/>
      <c r="J1698" s="263" t="s">
        <v>1918</v>
      </c>
      <c r="K1698" s="347"/>
      <c r="L1698" s="352">
        <v>6</v>
      </c>
      <c r="M1698" s="272" t="s">
        <v>874</v>
      </c>
      <c r="N1698" s="87">
        <v>1</v>
      </c>
      <c r="O1698" s="87"/>
      <c r="P1698" s="78">
        <v>1.04</v>
      </c>
      <c r="Q1698" s="72">
        <f>P1698*$F$10</f>
        <v>44.72</v>
      </c>
      <c r="R1698" s="341">
        <f>Q1698-Q1698*0.2</f>
        <v>35.775999999999996</v>
      </c>
    </row>
    <row r="1699" spans="1:18" ht="10.5" customHeight="1" x14ac:dyDescent="0.3">
      <c r="A1699" s="307" t="s">
        <v>1919</v>
      </c>
      <c r="B1699" s="51"/>
      <c r="C1699" s="343">
        <v>10</v>
      </c>
      <c r="D1699" s="312" t="s">
        <v>874</v>
      </c>
      <c r="E1699" s="94">
        <v>1</v>
      </c>
      <c r="F1699" s="26">
        <v>0.71</v>
      </c>
      <c r="G1699" s="28">
        <f>F1699*$F$10</f>
        <v>30.529999999999998</v>
      </c>
      <c r="H1699" s="28">
        <f>G1699-G1699*0.2</f>
        <v>24.423999999999999</v>
      </c>
      <c r="I1699" s="20"/>
      <c r="J1699" s="20"/>
      <c r="K1699" s="20"/>
      <c r="L1699" s="20"/>
      <c r="M1699" s="20"/>
      <c r="N1699" s="20"/>
      <c r="O1699" s="20"/>
      <c r="P1699" s="20"/>
      <c r="Q1699" s="20"/>
      <c r="R1699" s="20"/>
    </row>
    <row r="1700" spans="1:18" ht="10.5" customHeight="1" x14ac:dyDescent="0.3">
      <c r="A1700" s="307" t="s">
        <v>1920</v>
      </c>
      <c r="B1700" s="167"/>
      <c r="C1700" s="344">
        <v>12</v>
      </c>
      <c r="D1700" s="272" t="s">
        <v>874</v>
      </c>
      <c r="E1700" s="94">
        <v>1</v>
      </c>
      <c r="F1700" s="26">
        <v>1.1200000000000001</v>
      </c>
      <c r="G1700" s="28">
        <f>F1700*$F$10</f>
        <v>48.160000000000004</v>
      </c>
      <c r="H1700" s="28">
        <f>G1700-G1700*0.2</f>
        <v>38.528000000000006</v>
      </c>
      <c r="I1700" s="20"/>
      <c r="J1700" s="20"/>
      <c r="K1700" s="20"/>
      <c r="L1700" s="20"/>
      <c r="M1700" s="20"/>
      <c r="N1700" s="20"/>
      <c r="O1700" s="20"/>
      <c r="P1700" s="20"/>
      <c r="Q1700" s="20"/>
      <c r="R1700" s="20"/>
    </row>
    <row r="1701" spans="1:18" ht="10.5" customHeight="1" x14ac:dyDescent="0.3">
      <c r="A1701" s="20"/>
      <c r="B1701" s="20"/>
      <c r="C1701" s="20"/>
      <c r="D1701" s="20"/>
      <c r="E1701" s="20"/>
      <c r="F1701" s="20"/>
      <c r="G1701" s="20"/>
      <c r="H1701" s="20"/>
      <c r="I1701" s="20"/>
      <c r="J1701" s="20"/>
      <c r="K1701" s="20"/>
      <c r="L1701" s="20"/>
      <c r="M1701" s="20"/>
      <c r="N1701" s="20"/>
      <c r="O1701" s="20"/>
      <c r="P1701" s="20"/>
      <c r="Q1701" s="20"/>
      <c r="R1701" s="20"/>
    </row>
    <row r="1702" spans="1:18" ht="10.5" customHeight="1" x14ac:dyDescent="0.3">
      <c r="A1702" s="166" t="s">
        <v>1921</v>
      </c>
      <c r="B1702" s="351" t="s">
        <v>1922</v>
      </c>
      <c r="C1702" s="49"/>
      <c r="D1702" s="49"/>
      <c r="E1702" s="49"/>
      <c r="F1702" s="49"/>
      <c r="G1702" s="49"/>
      <c r="H1702" s="50"/>
      <c r="I1702" s="49"/>
      <c r="J1702" s="166" t="s">
        <v>1923</v>
      </c>
      <c r="K1702" s="351" t="s">
        <v>1924</v>
      </c>
      <c r="L1702" s="49"/>
      <c r="M1702" s="49"/>
      <c r="N1702" s="49"/>
      <c r="O1702" s="49"/>
      <c r="P1702" s="49"/>
      <c r="Q1702" s="49"/>
      <c r="R1702" s="50"/>
    </row>
    <row r="1703" spans="1:18" ht="10.5" customHeight="1" x14ac:dyDescent="0.3">
      <c r="A1703" s="18"/>
      <c r="B1703" s="20"/>
      <c r="C1703" s="20"/>
      <c r="D1703" s="20"/>
      <c r="E1703" s="20"/>
      <c r="F1703" s="20"/>
      <c r="G1703" s="20"/>
      <c r="H1703" s="101"/>
      <c r="I1703" s="20"/>
      <c r="J1703" s="18"/>
      <c r="K1703" s="20"/>
      <c r="L1703" s="20"/>
      <c r="M1703" s="20"/>
      <c r="N1703" s="20"/>
      <c r="O1703" s="20"/>
      <c r="P1703" s="20"/>
      <c r="Q1703" s="20"/>
      <c r="R1703" s="101"/>
    </row>
    <row r="1704" spans="1:18" ht="10.5" customHeight="1" x14ac:dyDescent="0.3">
      <c r="A1704" s="354"/>
      <c r="B1704" s="20"/>
      <c r="C1704" s="20"/>
      <c r="D1704" s="20"/>
      <c r="E1704" s="20"/>
      <c r="F1704" s="20"/>
      <c r="G1704" s="20"/>
      <c r="H1704" s="101"/>
      <c r="I1704" s="20"/>
      <c r="J1704" s="294" t="s">
        <v>457</v>
      </c>
      <c r="K1704" s="20"/>
      <c r="L1704" s="20"/>
      <c r="M1704" s="20"/>
      <c r="N1704" s="20"/>
      <c r="O1704" s="20"/>
      <c r="P1704" s="20"/>
      <c r="Q1704" s="20"/>
      <c r="R1704" s="101"/>
    </row>
    <row r="1705" spans="1:18" ht="10.5" customHeight="1" x14ac:dyDescent="0.3">
      <c r="A1705" s="18"/>
      <c r="B1705" s="20"/>
      <c r="C1705" s="20"/>
      <c r="D1705" s="20"/>
      <c r="E1705" s="20"/>
      <c r="F1705" s="20"/>
      <c r="G1705" s="20"/>
      <c r="H1705" s="101"/>
      <c r="I1705" s="20"/>
      <c r="J1705" s="18"/>
      <c r="K1705" s="20"/>
      <c r="L1705" s="20"/>
      <c r="M1705" s="20"/>
      <c r="N1705" s="20"/>
      <c r="O1705" s="20"/>
      <c r="P1705" s="20"/>
      <c r="Q1705" s="20"/>
      <c r="R1705" s="101"/>
    </row>
    <row r="1706" spans="1:18" ht="10.5" customHeight="1" x14ac:dyDescent="0.3">
      <c r="A1706" s="18"/>
      <c r="B1706" s="20"/>
      <c r="C1706" s="20"/>
      <c r="D1706" s="20"/>
      <c r="E1706" s="20"/>
      <c r="F1706" s="20"/>
      <c r="G1706" s="20"/>
      <c r="H1706" s="101"/>
      <c r="I1706" s="20"/>
      <c r="J1706" s="18"/>
      <c r="K1706" s="20"/>
      <c r="L1706" s="20"/>
      <c r="M1706" s="20"/>
      <c r="N1706" s="20"/>
      <c r="O1706" s="20"/>
      <c r="P1706" s="20"/>
      <c r="Q1706" s="20"/>
      <c r="R1706" s="101"/>
    </row>
    <row r="1707" spans="1:18" ht="10.5" customHeight="1" x14ac:dyDescent="0.3">
      <c r="A1707" s="446" t="s">
        <v>78</v>
      </c>
      <c r="B1707" s="446" t="s">
        <v>79</v>
      </c>
      <c r="C1707" s="446"/>
      <c r="D1707" s="446"/>
      <c r="E1707" s="447" t="s">
        <v>80</v>
      </c>
      <c r="F1707" s="15"/>
      <c r="G1707" s="16" t="s">
        <v>81</v>
      </c>
      <c r="H1707" s="17" t="s">
        <v>82</v>
      </c>
      <c r="I1707" s="20"/>
      <c r="J1707" s="446" t="s">
        <v>78</v>
      </c>
      <c r="K1707" s="446" t="s">
        <v>79</v>
      </c>
      <c r="L1707" s="446"/>
      <c r="M1707" s="446"/>
      <c r="N1707" s="447" t="s">
        <v>80</v>
      </c>
      <c r="O1707" s="14"/>
      <c r="P1707" s="15"/>
      <c r="Q1707" s="16" t="s">
        <v>81</v>
      </c>
      <c r="R1707" s="17" t="s">
        <v>82</v>
      </c>
    </row>
    <row r="1708" spans="1:18" ht="10.5" customHeight="1" x14ac:dyDescent="0.3">
      <c r="A1708" s="446"/>
      <c r="B1708" s="446"/>
      <c r="C1708" s="446"/>
      <c r="D1708" s="446"/>
      <c r="E1708" s="447"/>
      <c r="F1708" s="19"/>
      <c r="G1708" s="15" t="s">
        <v>375</v>
      </c>
      <c r="H1708" s="15" t="s">
        <v>375</v>
      </c>
      <c r="I1708" s="20"/>
      <c r="J1708" s="446"/>
      <c r="K1708" s="446"/>
      <c r="L1708" s="446"/>
      <c r="M1708" s="446"/>
      <c r="N1708" s="447"/>
      <c r="O1708" s="14"/>
      <c r="P1708" s="19"/>
      <c r="Q1708" s="15" t="s">
        <v>375</v>
      </c>
      <c r="R1708" s="15" t="s">
        <v>375</v>
      </c>
    </row>
    <row r="1709" spans="1:18" ht="10.5" customHeight="1" x14ac:dyDescent="0.3">
      <c r="A1709" s="263" t="s">
        <v>1925</v>
      </c>
      <c r="B1709" s="347"/>
      <c r="C1709" s="352">
        <v>4</v>
      </c>
      <c r="D1709" s="272" t="s">
        <v>874</v>
      </c>
      <c r="E1709" s="87">
        <v>1</v>
      </c>
      <c r="F1709" s="78">
        <v>0.16</v>
      </c>
      <c r="G1709" s="72">
        <f>F1709*$F$10</f>
        <v>6.88</v>
      </c>
      <c r="H1709" s="72">
        <f>G1709-G1709*0.2</f>
        <v>5.5039999999999996</v>
      </c>
      <c r="I1709" s="20"/>
      <c r="J1709" s="263" t="s">
        <v>1926</v>
      </c>
      <c r="K1709" s="347"/>
      <c r="L1709" s="352">
        <v>3</v>
      </c>
      <c r="M1709" s="272" t="s">
        <v>874</v>
      </c>
      <c r="N1709" s="87">
        <v>1</v>
      </c>
      <c r="O1709" s="87"/>
      <c r="P1709" s="78">
        <v>4.7044092682926822E-2</v>
      </c>
      <c r="Q1709" s="72">
        <f>P1709*$F$10</f>
        <v>2.0228959853658535</v>
      </c>
      <c r="R1709" s="72">
        <f>Q1709-Q1709*0.2</f>
        <v>1.6183167882926828</v>
      </c>
    </row>
    <row r="1710" spans="1:18" ht="10.5" customHeight="1" x14ac:dyDescent="0.3">
      <c r="A1710" s="263" t="s">
        <v>1927</v>
      </c>
      <c r="B1710" s="347"/>
      <c r="C1710" s="352">
        <v>5</v>
      </c>
      <c r="D1710" s="312" t="s">
        <v>874</v>
      </c>
      <c r="E1710" s="87">
        <v>1</v>
      </c>
      <c r="F1710" s="78">
        <v>0.28000000000000003</v>
      </c>
      <c r="G1710" s="28">
        <f>F1710*$F$10</f>
        <v>12.040000000000001</v>
      </c>
      <c r="H1710" s="28">
        <f>G1710-G1710*0.2</f>
        <v>9.6320000000000014</v>
      </c>
      <c r="I1710" s="20"/>
      <c r="J1710" s="263" t="s">
        <v>1928</v>
      </c>
      <c r="K1710" s="347"/>
      <c r="L1710" s="352">
        <v>4</v>
      </c>
      <c r="M1710" s="272" t="s">
        <v>874</v>
      </c>
      <c r="N1710" s="87">
        <v>1</v>
      </c>
      <c r="O1710" s="87"/>
      <c r="P1710" s="78">
        <v>6.7307048780487808E-2</v>
      </c>
      <c r="Q1710" s="72">
        <f>P1710*$F$10</f>
        <v>2.8942030975609758</v>
      </c>
      <c r="R1710" s="28">
        <f>Q1710-Q1710*0.2</f>
        <v>2.3153624780487805</v>
      </c>
    </row>
    <row r="1711" spans="1:18" ht="10.5" customHeight="1" x14ac:dyDescent="0.3">
      <c r="A1711" s="263" t="s">
        <v>1929</v>
      </c>
      <c r="B1711" s="347"/>
      <c r="C1711" s="352">
        <v>6</v>
      </c>
      <c r="D1711" s="312" t="s">
        <v>874</v>
      </c>
      <c r="E1711" s="87">
        <v>1</v>
      </c>
      <c r="F1711" s="78">
        <v>0.39</v>
      </c>
      <c r="G1711" s="28">
        <f>F1711*$F$10</f>
        <v>16.77</v>
      </c>
      <c r="H1711" s="28">
        <f>G1711-G1711*0.2</f>
        <v>13.416</v>
      </c>
      <c r="I1711" s="20"/>
      <c r="J1711" s="263" t="s">
        <v>1930</v>
      </c>
      <c r="K1711" s="347"/>
      <c r="L1711" s="352">
        <v>5</v>
      </c>
      <c r="M1711" s="272" t="s">
        <v>874</v>
      </c>
      <c r="N1711" s="87">
        <v>1</v>
      </c>
      <c r="O1711" s="87"/>
      <c r="P1711" s="78">
        <v>9.4199999999999992E-2</v>
      </c>
      <c r="Q1711" s="72">
        <f>P1711*$F$10</f>
        <v>4.0505999999999993</v>
      </c>
      <c r="R1711" s="28">
        <f>Q1711-Q1711*0.2</f>
        <v>3.2404799999999994</v>
      </c>
    </row>
    <row r="1712" spans="1:18" ht="10.5" customHeight="1" x14ac:dyDescent="0.3">
      <c r="A1712" s="263" t="s">
        <v>1931</v>
      </c>
      <c r="B1712" s="347"/>
      <c r="C1712" s="352">
        <v>8</v>
      </c>
      <c r="D1712" s="312" t="s">
        <v>874</v>
      </c>
      <c r="E1712" s="87">
        <v>1</v>
      </c>
      <c r="F1712" s="78">
        <v>0.7</v>
      </c>
      <c r="G1712" s="28">
        <f>F1712*$F$10</f>
        <v>30.099999999999998</v>
      </c>
      <c r="H1712" s="28">
        <f>G1712-G1712*0.2</f>
        <v>24.08</v>
      </c>
      <c r="I1712" s="20"/>
      <c r="J1712" s="263" t="s">
        <v>1932</v>
      </c>
      <c r="K1712" s="347"/>
      <c r="L1712" s="352">
        <v>6</v>
      </c>
      <c r="M1712" s="272" t="s">
        <v>874</v>
      </c>
      <c r="N1712" s="87">
        <v>1</v>
      </c>
      <c r="O1712" s="87"/>
      <c r="P1712" s="78">
        <v>0.14619380487804878</v>
      </c>
      <c r="Q1712" s="72">
        <f>P1712*$F$10</f>
        <v>6.286333609756098</v>
      </c>
      <c r="R1712" s="28">
        <f>Q1712-Q1712*0.2</f>
        <v>5.0290668878048788</v>
      </c>
    </row>
    <row r="1713" spans="1:18" ht="10.5" customHeight="1" x14ac:dyDescent="0.3">
      <c r="A1713" s="20"/>
      <c r="B1713" s="20"/>
      <c r="C1713" s="20"/>
      <c r="D1713" s="20"/>
      <c r="E1713" s="20"/>
      <c r="F1713" s="20"/>
      <c r="G1713" s="20"/>
      <c r="H1713" s="20"/>
      <c r="I1713" s="20"/>
      <c r="J1713" s="263" t="s">
        <v>1933</v>
      </c>
      <c r="K1713" s="347"/>
      <c r="L1713" s="352">
        <v>8</v>
      </c>
      <c r="M1713" s="272" t="s">
        <v>874</v>
      </c>
      <c r="N1713" s="87">
        <v>1</v>
      </c>
      <c r="O1713" s="87"/>
      <c r="P1713" s="78">
        <v>0.34696999999999995</v>
      </c>
      <c r="Q1713" s="72">
        <f>P1713*$F$10</f>
        <v>14.919709999999998</v>
      </c>
      <c r="R1713" s="28">
        <f>Q1713-Q1713*0.2</f>
        <v>11.935767999999999</v>
      </c>
    </row>
    <row r="1714" spans="1:18" ht="10.5" customHeight="1" x14ac:dyDescent="0.3">
      <c r="A1714" s="20"/>
      <c r="B1714" s="20"/>
      <c r="C1714" s="20"/>
      <c r="D1714" s="20"/>
      <c r="E1714" s="20"/>
      <c r="F1714" s="20"/>
      <c r="G1714" s="20"/>
      <c r="H1714" s="20"/>
      <c r="I1714" s="20"/>
      <c r="J1714" s="275"/>
      <c r="K1714" s="350"/>
      <c r="L1714" s="355"/>
      <c r="M1714" s="275"/>
      <c r="N1714" s="97"/>
      <c r="O1714" s="97"/>
      <c r="P1714" s="44"/>
      <c r="Q1714" s="46"/>
      <c r="R1714" s="46"/>
    </row>
    <row r="1715" spans="1:18" ht="10.5" customHeight="1" x14ac:dyDescent="0.3">
      <c r="A1715" s="20"/>
      <c r="B1715" s="20"/>
      <c r="C1715" s="20"/>
      <c r="D1715" s="20"/>
      <c r="E1715" s="20"/>
      <c r="F1715" s="20"/>
      <c r="G1715" s="20"/>
      <c r="H1715" s="20"/>
      <c r="I1715" s="20"/>
      <c r="J1715" s="275"/>
      <c r="K1715" s="350"/>
      <c r="L1715" s="355"/>
      <c r="M1715" s="275"/>
      <c r="N1715" s="97"/>
      <c r="O1715" s="97"/>
      <c r="P1715" s="44"/>
      <c r="Q1715" s="46"/>
      <c r="R1715" s="46"/>
    </row>
    <row r="1716" spans="1:18" ht="10.5" customHeight="1" x14ac:dyDescent="0.3">
      <c r="A1716" s="20"/>
      <c r="B1716" s="20"/>
      <c r="C1716" s="20"/>
      <c r="D1716" s="20"/>
      <c r="E1716" s="20"/>
      <c r="F1716" s="20"/>
      <c r="G1716" s="20"/>
      <c r="H1716" s="20"/>
      <c r="I1716" s="20"/>
      <c r="J1716" s="20"/>
      <c r="K1716" s="20"/>
      <c r="L1716" s="20"/>
      <c r="M1716" s="20"/>
      <c r="N1716" s="20"/>
      <c r="O1716" s="20"/>
      <c r="P1716" s="20"/>
      <c r="Q1716" s="20"/>
      <c r="R1716" s="20"/>
    </row>
    <row r="1717" spans="1:18" ht="10.5" customHeight="1" x14ac:dyDescent="0.3">
      <c r="A1717" s="166" t="s">
        <v>1934</v>
      </c>
      <c r="B1717" s="308" t="s">
        <v>1935</v>
      </c>
      <c r="C1717" s="49"/>
      <c r="D1717" s="49"/>
      <c r="E1717" s="49"/>
      <c r="F1717" s="49"/>
      <c r="G1717" s="49"/>
      <c r="H1717" s="50"/>
      <c r="I1717" s="49"/>
      <c r="J1717" s="166" t="s">
        <v>1936</v>
      </c>
      <c r="K1717" s="308" t="s">
        <v>1935</v>
      </c>
      <c r="L1717" s="49"/>
      <c r="M1717" s="49"/>
      <c r="N1717" s="49"/>
      <c r="O1717" s="49"/>
      <c r="P1717" s="49"/>
      <c r="Q1717" s="49"/>
      <c r="R1717" s="50"/>
    </row>
    <row r="1718" spans="1:18" ht="10.5" customHeight="1" x14ac:dyDescent="0.3">
      <c r="A1718" s="18"/>
      <c r="B1718" s="20"/>
      <c r="C1718" s="20"/>
      <c r="D1718" s="20"/>
      <c r="E1718" s="20"/>
      <c r="F1718" s="20"/>
      <c r="G1718" s="20"/>
      <c r="H1718" s="101"/>
      <c r="I1718" s="20"/>
      <c r="J1718" s="18"/>
      <c r="K1718" s="20"/>
      <c r="L1718" s="20"/>
      <c r="M1718" s="20"/>
      <c r="N1718" s="20"/>
      <c r="O1718" s="20"/>
      <c r="P1718" s="20"/>
      <c r="Q1718" s="20"/>
      <c r="R1718" s="101"/>
    </row>
    <row r="1719" spans="1:18" ht="10.5" customHeight="1" x14ac:dyDescent="0.3">
      <c r="A1719" s="306"/>
      <c r="B1719" s="20"/>
      <c r="C1719" s="20"/>
      <c r="D1719" s="20"/>
      <c r="E1719" s="20"/>
      <c r="F1719" s="20"/>
      <c r="G1719" s="20"/>
      <c r="H1719" s="101"/>
      <c r="I1719" s="20"/>
      <c r="J1719" s="306"/>
      <c r="K1719" s="20"/>
      <c r="L1719" s="20"/>
      <c r="M1719" s="20"/>
      <c r="N1719" s="20"/>
      <c r="O1719" s="20"/>
      <c r="P1719" s="20"/>
      <c r="Q1719" s="20"/>
      <c r="R1719" s="101"/>
    </row>
    <row r="1720" spans="1:18" ht="10.5" customHeight="1" x14ac:dyDescent="0.3">
      <c r="A1720" s="262"/>
      <c r="B1720" s="20"/>
      <c r="C1720" s="20"/>
      <c r="D1720" s="20"/>
      <c r="E1720" s="20"/>
      <c r="F1720" s="20"/>
      <c r="G1720" s="20"/>
      <c r="H1720" s="101"/>
      <c r="I1720" s="20"/>
      <c r="J1720" s="262"/>
      <c r="K1720" s="20"/>
      <c r="L1720" s="20"/>
      <c r="M1720" s="20"/>
      <c r="N1720" s="20"/>
      <c r="O1720" s="20"/>
      <c r="P1720" s="20"/>
      <c r="Q1720" s="20"/>
      <c r="R1720" s="101"/>
    </row>
    <row r="1721" spans="1:18" ht="10.5" customHeight="1" x14ac:dyDescent="0.3">
      <c r="A1721" s="18"/>
      <c r="B1721" s="20"/>
      <c r="C1721" s="20"/>
      <c r="D1721" s="20"/>
      <c r="E1721" s="20"/>
      <c r="F1721" s="20"/>
      <c r="G1721" s="20"/>
      <c r="H1721" s="101"/>
      <c r="I1721" s="20"/>
      <c r="J1721" s="18"/>
      <c r="K1721" s="20"/>
      <c r="L1721" s="20"/>
      <c r="M1721" s="20"/>
      <c r="N1721" s="20"/>
      <c r="O1721" s="20"/>
      <c r="P1721" s="20"/>
      <c r="Q1721" s="20"/>
      <c r="R1721" s="101"/>
    </row>
    <row r="1722" spans="1:18" ht="10.5" customHeight="1" x14ac:dyDescent="0.3">
      <c r="A1722" s="18"/>
      <c r="B1722" s="20"/>
      <c r="C1722" s="20"/>
      <c r="D1722" s="20"/>
      <c r="E1722" s="20"/>
      <c r="F1722" s="20"/>
      <c r="G1722" s="20"/>
      <c r="H1722" s="101"/>
      <c r="I1722" s="20"/>
      <c r="J1722" s="18"/>
      <c r="K1722" s="20"/>
      <c r="L1722" s="20"/>
      <c r="M1722" s="20"/>
      <c r="N1722" s="20"/>
      <c r="O1722" s="20"/>
      <c r="P1722" s="20"/>
      <c r="Q1722" s="20"/>
      <c r="R1722" s="101"/>
    </row>
    <row r="1723" spans="1:18" ht="10.5" customHeight="1" x14ac:dyDescent="0.3">
      <c r="A1723" s="18"/>
      <c r="B1723" s="20"/>
      <c r="C1723" s="20"/>
      <c r="D1723" s="20"/>
      <c r="E1723" s="20"/>
      <c r="F1723" s="20"/>
      <c r="G1723" s="20"/>
      <c r="H1723" s="101"/>
      <c r="I1723" s="20"/>
      <c r="J1723" s="262" t="s">
        <v>1825</v>
      </c>
      <c r="K1723" s="20"/>
      <c r="L1723" s="20"/>
      <c r="M1723" s="20"/>
      <c r="N1723" s="20"/>
      <c r="O1723" s="20"/>
      <c r="P1723" s="20"/>
      <c r="Q1723" s="20"/>
      <c r="R1723" s="101"/>
    </row>
    <row r="1724" spans="1:18" ht="10.5" customHeight="1" x14ac:dyDescent="0.3">
      <c r="A1724" s="18"/>
      <c r="B1724" s="20"/>
      <c r="C1724" s="20"/>
      <c r="D1724" s="20"/>
      <c r="E1724" s="20"/>
      <c r="F1724" s="20"/>
      <c r="G1724" s="20"/>
      <c r="H1724" s="101"/>
      <c r="I1724" s="20"/>
      <c r="J1724" s="18"/>
      <c r="K1724" s="20"/>
      <c r="L1724" s="20"/>
      <c r="M1724" s="20"/>
      <c r="N1724" s="20"/>
      <c r="O1724" s="20"/>
      <c r="P1724" s="20"/>
      <c r="Q1724" s="20"/>
      <c r="R1724" s="101"/>
    </row>
    <row r="1725" spans="1:18" ht="10.5" customHeight="1" x14ac:dyDescent="0.3">
      <c r="A1725" s="446" t="s">
        <v>78</v>
      </c>
      <c r="B1725" s="446" t="s">
        <v>79</v>
      </c>
      <c r="C1725" s="446"/>
      <c r="D1725" s="446"/>
      <c r="E1725" s="447" t="s">
        <v>80</v>
      </c>
      <c r="F1725" s="15"/>
      <c r="G1725" s="16" t="s">
        <v>81</v>
      </c>
      <c r="H1725" s="17" t="s">
        <v>82</v>
      </c>
      <c r="I1725" s="20"/>
      <c r="J1725" s="446" t="s">
        <v>78</v>
      </c>
      <c r="K1725" s="446" t="s">
        <v>79</v>
      </c>
      <c r="L1725" s="446"/>
      <c r="M1725" s="446"/>
      <c r="N1725" s="447" t="s">
        <v>80</v>
      </c>
      <c r="O1725" s="14"/>
      <c r="P1725" s="15"/>
      <c r="Q1725" s="16" t="s">
        <v>81</v>
      </c>
      <c r="R1725" s="17" t="s">
        <v>82</v>
      </c>
    </row>
    <row r="1726" spans="1:18" ht="10.5" customHeight="1" x14ac:dyDescent="0.3">
      <c r="A1726" s="446"/>
      <c r="B1726" s="446"/>
      <c r="C1726" s="446"/>
      <c r="D1726" s="446"/>
      <c r="E1726" s="447"/>
      <c r="F1726" s="19"/>
      <c r="G1726" s="15" t="s">
        <v>375</v>
      </c>
      <c r="H1726" s="15" t="s">
        <v>375</v>
      </c>
      <c r="I1726" s="20"/>
      <c r="J1726" s="446"/>
      <c r="K1726" s="446"/>
      <c r="L1726" s="446"/>
      <c r="M1726" s="446"/>
      <c r="N1726" s="447"/>
      <c r="O1726" s="14"/>
      <c r="P1726" s="19"/>
      <c r="Q1726" s="15" t="s">
        <v>375</v>
      </c>
      <c r="R1726" s="15" t="s">
        <v>375</v>
      </c>
    </row>
    <row r="1727" spans="1:18" ht="10.5" customHeight="1" x14ac:dyDescent="0.3">
      <c r="A1727" s="263" t="s">
        <v>1937</v>
      </c>
      <c r="B1727" s="167"/>
      <c r="C1727" s="352">
        <v>3</v>
      </c>
      <c r="D1727" s="272" t="s">
        <v>874</v>
      </c>
      <c r="E1727" s="87">
        <v>1</v>
      </c>
      <c r="F1727" s="78">
        <v>7.9999358095022746E-2</v>
      </c>
      <c r="G1727" s="28">
        <f t="shared" ref="G1727:G1733" si="233">F1727*$F$10</f>
        <v>3.439972398085978</v>
      </c>
      <c r="H1727" s="72">
        <f t="shared" ref="H1727:H1733" si="234">G1727-G1727*0.2</f>
        <v>2.7519779184687825</v>
      </c>
      <c r="I1727" s="20"/>
      <c r="J1727" s="263" t="s">
        <v>1938</v>
      </c>
      <c r="K1727" s="167"/>
      <c r="L1727" s="352">
        <v>2</v>
      </c>
      <c r="M1727" s="272" t="s">
        <v>874</v>
      </c>
      <c r="N1727" s="87">
        <v>1</v>
      </c>
      <c r="O1727" s="87"/>
      <c r="P1727" s="78">
        <v>0.1718208</v>
      </c>
      <c r="Q1727" s="319">
        <f>P1727*$F$10</f>
        <v>7.3882943999999995</v>
      </c>
      <c r="R1727" s="72">
        <f>Q1727-Q1727*0.2</f>
        <v>5.9106355199999996</v>
      </c>
    </row>
    <row r="1728" spans="1:18" ht="10.5" customHeight="1" x14ac:dyDescent="0.3">
      <c r="A1728" s="263" t="s">
        <v>1937</v>
      </c>
      <c r="B1728" s="167"/>
      <c r="C1728" s="352">
        <v>4</v>
      </c>
      <c r="D1728" s="272" t="s">
        <v>874</v>
      </c>
      <c r="E1728" s="87">
        <v>1</v>
      </c>
      <c r="F1728" s="78">
        <v>0.08</v>
      </c>
      <c r="G1728" s="28">
        <f t="shared" si="233"/>
        <v>3.44</v>
      </c>
      <c r="H1728" s="72">
        <f t="shared" si="234"/>
        <v>2.7519999999999998</v>
      </c>
      <c r="I1728" s="20"/>
      <c r="J1728" s="307" t="s">
        <v>1939</v>
      </c>
      <c r="K1728" s="51"/>
      <c r="L1728" s="352">
        <v>3</v>
      </c>
      <c r="M1728" s="272" t="s">
        <v>874</v>
      </c>
      <c r="N1728" s="94">
        <v>1</v>
      </c>
      <c r="O1728" s="94"/>
      <c r="P1728" s="26">
        <v>0.19329839999999998</v>
      </c>
      <c r="Q1728" s="38">
        <f>P1728*$F$10</f>
        <v>8.3118311999999985</v>
      </c>
      <c r="R1728" s="28">
        <f>Q1728-Q1728*0.2</f>
        <v>6.6494649599999986</v>
      </c>
    </row>
    <row r="1729" spans="1:18" ht="10.5" customHeight="1" x14ac:dyDescent="0.3">
      <c r="A1729" s="307">
        <v>200390002</v>
      </c>
      <c r="B1729" s="51"/>
      <c r="C1729" s="352">
        <v>5</v>
      </c>
      <c r="D1729" s="272" t="s">
        <v>874</v>
      </c>
      <c r="E1729" s="94">
        <v>1</v>
      </c>
      <c r="F1729" s="26">
        <v>0.10399999999999818</v>
      </c>
      <c r="G1729" s="28">
        <f t="shared" si="233"/>
        <v>4.4719999999999214</v>
      </c>
      <c r="H1729" s="28">
        <f t="shared" si="234"/>
        <v>3.5775999999999373</v>
      </c>
      <c r="I1729" s="20"/>
      <c r="J1729" s="307" t="s">
        <v>1940</v>
      </c>
      <c r="K1729" s="167"/>
      <c r="L1729" s="352">
        <v>4</v>
      </c>
      <c r="M1729" s="272" t="s">
        <v>874</v>
      </c>
      <c r="N1729" s="94">
        <v>1</v>
      </c>
      <c r="O1729" s="94"/>
      <c r="P1729" s="26">
        <v>0.21477599999999999</v>
      </c>
      <c r="Q1729" s="38">
        <f>P1729*$F$10</f>
        <v>9.2353679999999994</v>
      </c>
      <c r="R1729" s="28">
        <f>Q1729-Q1729*0.2</f>
        <v>7.3882943999999995</v>
      </c>
    </row>
    <row r="1730" spans="1:18" ht="10.5" customHeight="1" x14ac:dyDescent="0.3">
      <c r="A1730" s="307">
        <v>200390003</v>
      </c>
      <c r="B1730" s="167"/>
      <c r="C1730" s="352">
        <v>6</v>
      </c>
      <c r="D1730" s="272" t="s">
        <v>874</v>
      </c>
      <c r="E1730" s="94">
        <v>1</v>
      </c>
      <c r="F1730" s="26">
        <v>0.12000000000000001</v>
      </c>
      <c r="G1730" s="28">
        <f t="shared" si="233"/>
        <v>5.16</v>
      </c>
      <c r="H1730" s="28">
        <f t="shared" si="234"/>
        <v>4.1280000000000001</v>
      </c>
      <c r="I1730" s="20"/>
      <c r="J1730" s="307" t="s">
        <v>1941</v>
      </c>
      <c r="K1730" s="51"/>
      <c r="L1730" s="355">
        <v>5</v>
      </c>
      <c r="M1730" s="275" t="s">
        <v>874</v>
      </c>
      <c r="N1730" s="94">
        <v>1</v>
      </c>
      <c r="O1730" s="94"/>
      <c r="P1730" s="26">
        <v>0.27920879999999998</v>
      </c>
      <c r="Q1730" s="38">
        <f>P1730*$F$10</f>
        <v>12.005978399999998</v>
      </c>
      <c r="R1730" s="28">
        <f>Q1730-Q1730*0.2</f>
        <v>9.6047827199999993</v>
      </c>
    </row>
    <row r="1731" spans="1:18" ht="10.5" customHeight="1" x14ac:dyDescent="0.3">
      <c r="A1731" s="307">
        <v>200390004</v>
      </c>
      <c r="B1731" s="51"/>
      <c r="C1731" s="355">
        <v>8</v>
      </c>
      <c r="D1731" s="275" t="s">
        <v>874</v>
      </c>
      <c r="E1731" s="94">
        <v>1</v>
      </c>
      <c r="F1731" s="26">
        <v>0.15199999999988542</v>
      </c>
      <c r="G1731" s="28">
        <f t="shared" si="233"/>
        <v>6.5359999999950729</v>
      </c>
      <c r="H1731" s="28">
        <f t="shared" si="234"/>
        <v>5.2287999999960579</v>
      </c>
      <c r="I1731" s="20"/>
      <c r="J1731" s="307" t="s">
        <v>1942</v>
      </c>
      <c r="K1731" s="167"/>
      <c r="L1731" s="343">
        <v>6</v>
      </c>
      <c r="M1731" s="218" t="s">
        <v>874</v>
      </c>
      <c r="N1731" s="94">
        <v>1</v>
      </c>
      <c r="O1731" s="94"/>
      <c r="P1731" s="26">
        <v>0.32785046341463409</v>
      </c>
      <c r="Q1731" s="28">
        <f>P1731*$F$10</f>
        <v>14.097569926829266</v>
      </c>
      <c r="R1731" s="28">
        <f>Q1731-Q1731*0.2</f>
        <v>11.278055941463412</v>
      </c>
    </row>
    <row r="1732" spans="1:18" ht="10.5" customHeight="1" x14ac:dyDescent="0.3">
      <c r="A1732" s="307">
        <v>200390005</v>
      </c>
      <c r="B1732" s="167"/>
      <c r="C1732" s="343">
        <v>10</v>
      </c>
      <c r="D1732" s="218" t="s">
        <v>874</v>
      </c>
      <c r="E1732" s="94">
        <v>1</v>
      </c>
      <c r="F1732" s="26">
        <v>0.21599999999988759</v>
      </c>
      <c r="G1732" s="28">
        <f t="shared" si="233"/>
        <v>9.2879999999951668</v>
      </c>
      <c r="H1732" s="28">
        <f t="shared" si="234"/>
        <v>7.4303999999961334</v>
      </c>
      <c r="I1732" s="83"/>
      <c r="J1732" s="83"/>
      <c r="K1732" s="83"/>
      <c r="L1732" s="83"/>
      <c r="M1732" s="83"/>
      <c r="N1732" s="83"/>
      <c r="O1732" s="83"/>
      <c r="P1732" s="83"/>
      <c r="Q1732" s="83"/>
      <c r="R1732" s="116"/>
    </row>
    <row r="1733" spans="1:18" ht="10.5" customHeight="1" x14ac:dyDescent="0.3">
      <c r="A1733" s="307">
        <v>200390006</v>
      </c>
      <c r="B1733" s="51"/>
      <c r="C1733" s="343">
        <v>12</v>
      </c>
      <c r="D1733" s="312" t="s">
        <v>874</v>
      </c>
      <c r="E1733" s="94">
        <v>1</v>
      </c>
      <c r="F1733" s="26">
        <v>0.29599999999999094</v>
      </c>
      <c r="G1733" s="28">
        <f t="shared" si="233"/>
        <v>12.727999999999611</v>
      </c>
      <c r="H1733" s="28">
        <f t="shared" si="234"/>
        <v>10.182399999999689</v>
      </c>
      <c r="I1733" s="20"/>
      <c r="J1733" s="20"/>
      <c r="K1733" s="20"/>
      <c r="L1733" s="20"/>
      <c r="M1733" s="20"/>
      <c r="N1733" s="20"/>
      <c r="O1733" s="20"/>
      <c r="P1733" s="20"/>
      <c r="Q1733" s="20"/>
      <c r="R1733" s="20"/>
    </row>
    <row r="1734" spans="1:18" ht="10.5" customHeight="1" x14ac:dyDescent="0.3">
      <c r="A1734" s="20"/>
      <c r="B1734" s="20"/>
      <c r="C1734" s="20"/>
      <c r="D1734" s="20"/>
      <c r="E1734" s="20"/>
      <c r="F1734" s="20"/>
      <c r="G1734" s="20"/>
      <c r="H1734" s="20"/>
      <c r="I1734" s="20"/>
      <c r="J1734" s="20"/>
      <c r="K1734" s="20"/>
      <c r="L1734" s="20"/>
      <c r="M1734" s="20"/>
      <c r="N1734" s="20"/>
      <c r="O1734" s="20"/>
      <c r="P1734" s="20"/>
      <c r="Q1734" s="20"/>
      <c r="R1734" s="20"/>
    </row>
    <row r="1735" spans="1:18" ht="10.5" customHeight="1" x14ac:dyDescent="0.3">
      <c r="A1735" s="346">
        <v>20040</v>
      </c>
      <c r="B1735" s="301" t="s">
        <v>1943</v>
      </c>
      <c r="C1735" s="49"/>
      <c r="D1735" s="49"/>
      <c r="E1735" s="49"/>
      <c r="F1735" s="49"/>
      <c r="G1735" s="49"/>
      <c r="H1735" s="50"/>
      <c r="I1735" s="49"/>
      <c r="J1735" s="346">
        <v>20042</v>
      </c>
      <c r="K1735" s="308" t="s">
        <v>1944</v>
      </c>
      <c r="L1735" s="49"/>
      <c r="M1735" s="49"/>
      <c r="N1735" s="49"/>
      <c r="O1735" s="49"/>
      <c r="P1735" s="49"/>
      <c r="Q1735" s="49"/>
      <c r="R1735" s="50"/>
    </row>
    <row r="1736" spans="1:18" ht="10.5" customHeight="1" x14ac:dyDescent="0.3">
      <c r="A1736" s="18"/>
      <c r="B1736" s="20"/>
      <c r="C1736" s="20"/>
      <c r="D1736" s="20"/>
      <c r="E1736" s="20"/>
      <c r="F1736" s="20"/>
      <c r="G1736" s="20"/>
      <c r="H1736" s="101"/>
      <c r="I1736" s="20"/>
      <c r="J1736" s="18"/>
      <c r="K1736" s="20"/>
      <c r="L1736" s="20"/>
      <c r="M1736" s="20"/>
      <c r="N1736" s="20"/>
      <c r="O1736" s="20"/>
      <c r="P1736" s="20"/>
      <c r="Q1736" s="20"/>
      <c r="R1736" s="101"/>
    </row>
    <row r="1737" spans="1:18" ht="10.5" customHeight="1" x14ac:dyDescent="0.3">
      <c r="A1737" s="18"/>
      <c r="B1737" s="20"/>
      <c r="C1737" s="20"/>
      <c r="D1737" s="20"/>
      <c r="E1737" s="20"/>
      <c r="F1737" s="20"/>
      <c r="G1737" s="20"/>
      <c r="H1737" s="101"/>
      <c r="I1737" s="20"/>
      <c r="J1737" s="18"/>
      <c r="K1737" s="20"/>
      <c r="L1737" s="20"/>
      <c r="M1737" s="20"/>
      <c r="N1737" s="20"/>
      <c r="O1737" s="20"/>
      <c r="P1737" s="20"/>
      <c r="Q1737" s="20"/>
      <c r="R1737" s="101"/>
    </row>
    <row r="1738" spans="1:18" ht="10.5" customHeight="1" x14ac:dyDescent="0.3">
      <c r="A1738" s="18"/>
      <c r="B1738" s="20"/>
      <c r="C1738" s="20"/>
      <c r="D1738" s="20"/>
      <c r="E1738" s="20"/>
      <c r="F1738" s="20"/>
      <c r="G1738" s="20"/>
      <c r="H1738" s="101"/>
      <c r="I1738" s="20"/>
      <c r="J1738" s="18"/>
      <c r="K1738" s="20"/>
      <c r="L1738" s="20"/>
      <c r="M1738" s="20"/>
      <c r="N1738" s="20"/>
      <c r="O1738" s="20"/>
      <c r="P1738" s="20"/>
      <c r="Q1738" s="20"/>
      <c r="R1738" s="101"/>
    </row>
    <row r="1739" spans="1:18" ht="10.5" customHeight="1" x14ac:dyDescent="0.3">
      <c r="A1739" s="18"/>
      <c r="B1739" s="20"/>
      <c r="C1739" s="20"/>
      <c r="D1739" s="20"/>
      <c r="E1739" s="20"/>
      <c r="F1739" s="20"/>
      <c r="G1739" s="20"/>
      <c r="H1739" s="101"/>
      <c r="I1739" s="20"/>
      <c r="J1739" s="18"/>
      <c r="K1739" s="20"/>
      <c r="L1739" s="20"/>
      <c r="M1739" s="20"/>
      <c r="N1739" s="20"/>
      <c r="O1739" s="20"/>
      <c r="P1739" s="20"/>
      <c r="Q1739" s="20"/>
      <c r="R1739" s="101"/>
    </row>
    <row r="1740" spans="1:18" ht="10.5" customHeight="1" x14ac:dyDescent="0.3">
      <c r="A1740" s="18"/>
      <c r="B1740" s="20"/>
      <c r="C1740" s="20"/>
      <c r="D1740" s="20"/>
      <c r="E1740" s="20"/>
      <c r="F1740" s="20"/>
      <c r="G1740" s="20"/>
      <c r="H1740" s="101"/>
      <c r="I1740" s="20"/>
      <c r="J1740" s="18"/>
      <c r="K1740" s="20"/>
      <c r="L1740" s="20"/>
      <c r="M1740" s="20"/>
      <c r="N1740" s="20"/>
      <c r="O1740" s="20"/>
      <c r="P1740" s="20"/>
      <c r="Q1740" s="20"/>
      <c r="R1740" s="101"/>
    </row>
    <row r="1741" spans="1:18" ht="10.5" customHeight="1" x14ac:dyDescent="0.3">
      <c r="A1741" s="446" t="s">
        <v>78</v>
      </c>
      <c r="B1741" s="446" t="s">
        <v>79</v>
      </c>
      <c r="C1741" s="446"/>
      <c r="D1741" s="446"/>
      <c r="E1741" s="447" t="s">
        <v>80</v>
      </c>
      <c r="F1741" s="15"/>
      <c r="G1741" s="16" t="s">
        <v>81</v>
      </c>
      <c r="H1741" s="17" t="s">
        <v>82</v>
      </c>
      <c r="I1741" s="20"/>
      <c r="J1741" s="446" t="s">
        <v>78</v>
      </c>
      <c r="K1741" s="446" t="s">
        <v>79</v>
      </c>
      <c r="L1741" s="446"/>
      <c r="M1741" s="446"/>
      <c r="N1741" s="447" t="s">
        <v>80</v>
      </c>
      <c r="O1741" s="14"/>
      <c r="P1741" s="15"/>
      <c r="Q1741" s="16" t="s">
        <v>81</v>
      </c>
      <c r="R1741" s="17" t="s">
        <v>82</v>
      </c>
    </row>
    <row r="1742" spans="1:18" ht="10.5" customHeight="1" x14ac:dyDescent="0.3">
      <c r="A1742" s="446"/>
      <c r="B1742" s="446"/>
      <c r="C1742" s="446"/>
      <c r="D1742" s="446"/>
      <c r="E1742" s="447"/>
      <c r="F1742" s="19"/>
      <c r="G1742" s="15" t="s">
        <v>375</v>
      </c>
      <c r="H1742" s="15" t="s">
        <v>375</v>
      </c>
      <c r="I1742" s="20"/>
      <c r="J1742" s="446"/>
      <c r="K1742" s="446"/>
      <c r="L1742" s="446"/>
      <c r="M1742" s="446"/>
      <c r="N1742" s="447"/>
      <c r="O1742" s="14"/>
      <c r="P1742" s="19"/>
      <c r="Q1742" s="15" t="s">
        <v>375</v>
      </c>
      <c r="R1742" s="15" t="s">
        <v>375</v>
      </c>
    </row>
    <row r="1743" spans="1:18" ht="10.5" customHeight="1" x14ac:dyDescent="0.3">
      <c r="A1743" s="263" t="s">
        <v>1945</v>
      </c>
      <c r="B1743" s="128"/>
      <c r="C1743" s="277" t="s">
        <v>1693</v>
      </c>
      <c r="D1743" s="312">
        <v>6</v>
      </c>
      <c r="E1743" s="94">
        <v>1</v>
      </c>
      <c r="F1743" s="26">
        <v>0.37599999677883938</v>
      </c>
      <c r="G1743" s="28">
        <f t="shared" ref="G1743:G1748" si="235">F1743*$F$10</f>
        <v>16.167999861490095</v>
      </c>
      <c r="H1743" s="72">
        <f t="shared" ref="H1743:H1748" si="236">G1743-G1743*0.2</f>
        <v>12.934399889192076</v>
      </c>
      <c r="I1743" s="20"/>
      <c r="J1743" s="263" t="s">
        <v>1946</v>
      </c>
      <c r="K1743" s="350"/>
      <c r="L1743" s="274" t="s">
        <v>1693</v>
      </c>
      <c r="M1743" s="275">
        <v>8</v>
      </c>
      <c r="N1743" s="106">
        <v>1</v>
      </c>
      <c r="O1743" s="106"/>
      <c r="P1743" s="155">
        <v>0.43999799109057736</v>
      </c>
      <c r="Q1743" s="319">
        <f>P1743*$F$10</f>
        <v>18.919913616894828</v>
      </c>
      <c r="R1743" s="72">
        <f>Q1743-Q1743*0.2</f>
        <v>15.135930893515862</v>
      </c>
    </row>
    <row r="1744" spans="1:18" ht="10.5" customHeight="1" x14ac:dyDescent="0.3">
      <c r="A1744" s="263" t="s">
        <v>1945</v>
      </c>
      <c r="B1744" s="350"/>
      <c r="C1744" s="274" t="s">
        <v>1693</v>
      </c>
      <c r="D1744" s="275">
        <v>8</v>
      </c>
      <c r="E1744" s="106">
        <v>1</v>
      </c>
      <c r="F1744" s="155">
        <v>0.43199802761620315</v>
      </c>
      <c r="G1744" s="319">
        <f t="shared" si="235"/>
        <v>18.575915187496737</v>
      </c>
      <c r="H1744" s="72">
        <f t="shared" si="236"/>
        <v>14.860732149997389</v>
      </c>
      <c r="I1744" s="20"/>
      <c r="J1744" s="307" t="s">
        <v>1947</v>
      </c>
      <c r="K1744" s="128"/>
      <c r="L1744" s="277" t="s">
        <v>1693</v>
      </c>
      <c r="M1744" s="312">
        <v>10</v>
      </c>
      <c r="N1744" s="94">
        <v>1</v>
      </c>
      <c r="O1744" s="94"/>
      <c r="P1744" s="26">
        <v>0.68798598372637032</v>
      </c>
      <c r="Q1744" s="38">
        <f>P1744*$F$10</f>
        <v>29.583397300233923</v>
      </c>
      <c r="R1744" s="28">
        <f>Q1744-Q1744*0.2</f>
        <v>23.66671784018714</v>
      </c>
    </row>
    <row r="1745" spans="1:18" ht="10.5" customHeight="1" x14ac:dyDescent="0.3">
      <c r="A1745" s="307" t="s">
        <v>1948</v>
      </c>
      <c r="B1745" s="128"/>
      <c r="C1745" s="277" t="s">
        <v>1693</v>
      </c>
      <c r="D1745" s="312">
        <v>10</v>
      </c>
      <c r="E1745" s="94">
        <v>1</v>
      </c>
      <c r="F1745" s="26">
        <v>0.62399915092717373</v>
      </c>
      <c r="G1745" s="38">
        <f t="shared" si="235"/>
        <v>26.831963489868471</v>
      </c>
      <c r="H1745" s="28">
        <f t="shared" si="236"/>
        <v>21.465570791894777</v>
      </c>
      <c r="I1745" s="20"/>
      <c r="J1745" s="307" t="s">
        <v>1949</v>
      </c>
      <c r="K1745" s="128"/>
      <c r="L1745" s="277" t="s">
        <v>1693</v>
      </c>
      <c r="M1745" s="312">
        <v>12</v>
      </c>
      <c r="N1745" s="94">
        <v>1</v>
      </c>
      <c r="O1745" s="94"/>
      <c r="P1745" s="26">
        <v>0.991983356129025</v>
      </c>
      <c r="Q1745" s="28">
        <f>P1745*$F$10</f>
        <v>42.655284313548073</v>
      </c>
      <c r="R1745" s="28">
        <f>Q1745-Q1745*0.2</f>
        <v>34.124227450838461</v>
      </c>
    </row>
    <row r="1746" spans="1:18" ht="10.5" customHeight="1" x14ac:dyDescent="0.3">
      <c r="A1746" s="307" t="s">
        <v>1950</v>
      </c>
      <c r="B1746" s="128"/>
      <c r="C1746" s="277" t="s">
        <v>1693</v>
      </c>
      <c r="D1746" s="312">
        <v>12</v>
      </c>
      <c r="E1746" s="94">
        <v>1</v>
      </c>
      <c r="F1746" s="26">
        <v>0.99998641293578572</v>
      </c>
      <c r="G1746" s="28">
        <f t="shared" si="235"/>
        <v>42.999415756238783</v>
      </c>
      <c r="H1746" s="28">
        <f t="shared" si="236"/>
        <v>34.399532604991023</v>
      </c>
      <c r="I1746" s="20"/>
      <c r="J1746" s="307" t="s">
        <v>1951</v>
      </c>
      <c r="K1746" s="128"/>
      <c r="L1746" s="277" t="s">
        <v>1693</v>
      </c>
      <c r="M1746" s="312">
        <v>16</v>
      </c>
      <c r="N1746" s="94">
        <v>1</v>
      </c>
      <c r="O1746" s="94"/>
      <c r="P1746" s="26">
        <v>1.4719970033632053</v>
      </c>
      <c r="Q1746" s="28">
        <f>P1746*$F$10</f>
        <v>63.295871144617827</v>
      </c>
      <c r="R1746" s="28">
        <f>Q1746-Q1746*0.2</f>
        <v>50.636696915694259</v>
      </c>
    </row>
    <row r="1747" spans="1:18" ht="10.5" customHeight="1" x14ac:dyDescent="0.3">
      <c r="A1747" s="307" t="s">
        <v>1952</v>
      </c>
      <c r="B1747" s="128"/>
      <c r="C1747" s="277" t="s">
        <v>1693</v>
      </c>
      <c r="D1747" s="312">
        <v>16</v>
      </c>
      <c r="E1747" s="94">
        <v>1</v>
      </c>
      <c r="F1747" s="26">
        <v>1.4559979587140974</v>
      </c>
      <c r="G1747" s="28">
        <f t="shared" si="235"/>
        <v>62.60791222470619</v>
      </c>
      <c r="H1747" s="28">
        <f t="shared" si="236"/>
        <v>50.086329779764952</v>
      </c>
      <c r="I1747" s="20"/>
      <c r="J1747" s="307" t="s">
        <v>1953</v>
      </c>
      <c r="K1747" s="128"/>
      <c r="L1747" s="277" t="s">
        <v>1693</v>
      </c>
      <c r="M1747" s="312">
        <v>20</v>
      </c>
      <c r="N1747" s="94">
        <v>1</v>
      </c>
      <c r="O1747" s="94"/>
      <c r="P1747" s="26">
        <v>2.231993170916152</v>
      </c>
      <c r="Q1747" s="28">
        <f>P1747*$F$10</f>
        <v>95.975706349394542</v>
      </c>
      <c r="R1747" s="28">
        <f>Q1747-Q1747*0.2</f>
        <v>76.78056507951564</v>
      </c>
    </row>
    <row r="1748" spans="1:18" ht="10.5" customHeight="1" x14ac:dyDescent="0.3">
      <c r="A1748" s="307" t="s">
        <v>1952</v>
      </c>
      <c r="B1748" s="128"/>
      <c r="C1748" s="277" t="s">
        <v>1693</v>
      </c>
      <c r="D1748" s="312">
        <v>20</v>
      </c>
      <c r="E1748" s="94">
        <v>1</v>
      </c>
      <c r="F1748" s="26">
        <v>2.6</v>
      </c>
      <c r="G1748" s="28">
        <f t="shared" si="235"/>
        <v>111.8</v>
      </c>
      <c r="H1748" s="28">
        <f t="shared" si="236"/>
        <v>89.44</v>
      </c>
      <c r="I1748" s="20"/>
      <c r="J1748" s="20"/>
      <c r="K1748" s="20"/>
      <c r="L1748" s="20"/>
      <c r="M1748" s="20"/>
      <c r="N1748" s="20"/>
      <c r="O1748" s="20"/>
      <c r="P1748" s="20"/>
      <c r="Q1748" s="20"/>
      <c r="R1748" s="20"/>
    </row>
    <row r="1749" spans="1:18" ht="10.5" customHeight="1" x14ac:dyDescent="0.3">
      <c r="A1749" s="20"/>
      <c r="B1749" s="20"/>
      <c r="C1749" s="20"/>
      <c r="D1749" s="20"/>
      <c r="E1749" s="20"/>
      <c r="F1749" s="20"/>
      <c r="G1749" s="20"/>
      <c r="H1749" s="20"/>
      <c r="I1749" s="20"/>
      <c r="J1749" s="20"/>
      <c r="K1749" s="20"/>
      <c r="L1749" s="20"/>
      <c r="M1749" s="20"/>
      <c r="N1749" s="20"/>
      <c r="O1749" s="20"/>
      <c r="P1749" s="20"/>
      <c r="Q1749" s="20"/>
      <c r="R1749" s="20"/>
    </row>
    <row r="1750" spans="1:18" ht="10.5" customHeight="1" x14ac:dyDescent="0.3">
      <c r="A1750" s="166" t="s">
        <v>1954</v>
      </c>
      <c r="B1750" s="351" t="s">
        <v>1955</v>
      </c>
      <c r="C1750" s="49"/>
      <c r="D1750" s="49"/>
      <c r="E1750" s="49"/>
      <c r="F1750" s="49"/>
      <c r="G1750" s="49"/>
      <c r="H1750" s="49"/>
      <c r="I1750" s="50"/>
      <c r="J1750" s="477" t="s">
        <v>78</v>
      </c>
      <c r="K1750" s="446" t="s">
        <v>79</v>
      </c>
      <c r="L1750" s="446"/>
      <c r="M1750" s="446"/>
      <c r="N1750" s="447" t="s">
        <v>80</v>
      </c>
      <c r="O1750" s="14"/>
      <c r="P1750" s="15"/>
      <c r="Q1750" s="16" t="s">
        <v>81</v>
      </c>
      <c r="R1750" s="17" t="s">
        <v>82</v>
      </c>
    </row>
    <row r="1751" spans="1:18" ht="10.5" customHeight="1" x14ac:dyDescent="0.3">
      <c r="A1751" s="18"/>
      <c r="B1751" s="20"/>
      <c r="C1751" s="20"/>
      <c r="D1751" s="20"/>
      <c r="E1751" s="20"/>
      <c r="F1751" s="20"/>
      <c r="G1751" s="20"/>
      <c r="H1751" s="20"/>
      <c r="I1751" s="101"/>
      <c r="J1751" s="477"/>
      <c r="K1751" s="446"/>
      <c r="L1751" s="446"/>
      <c r="M1751" s="446"/>
      <c r="N1751" s="447"/>
      <c r="O1751" s="14"/>
      <c r="P1751" s="19"/>
      <c r="Q1751" s="15" t="s">
        <v>375</v>
      </c>
      <c r="R1751" s="15" t="s">
        <v>375</v>
      </c>
    </row>
    <row r="1752" spans="1:18" ht="10.5" customHeight="1" x14ac:dyDescent="0.3">
      <c r="A1752" s="294" t="s">
        <v>457</v>
      </c>
      <c r="B1752" s="20"/>
      <c r="C1752" s="20"/>
      <c r="D1752" s="20"/>
      <c r="E1752" s="20"/>
      <c r="F1752" s="20"/>
      <c r="G1752" s="20"/>
      <c r="H1752" s="20"/>
      <c r="I1752" s="101"/>
      <c r="J1752" s="334">
        <v>200500001</v>
      </c>
      <c r="K1752" s="347">
        <v>25</v>
      </c>
      <c r="L1752" s="352"/>
      <c r="M1752" s="272" t="s">
        <v>874</v>
      </c>
      <c r="N1752" s="87">
        <v>1</v>
      </c>
      <c r="O1752" s="87"/>
      <c r="P1752" s="78">
        <v>1.0623666666666665</v>
      </c>
      <c r="Q1752" s="72">
        <f>P1752*F$10</f>
        <v>45.681766666666661</v>
      </c>
      <c r="R1752" s="72">
        <f>Q1752-Q1752*0.2</f>
        <v>36.545413333333329</v>
      </c>
    </row>
    <row r="1753" spans="1:18" ht="10.5" customHeight="1" x14ac:dyDescent="0.3">
      <c r="A1753" s="18"/>
      <c r="B1753" s="20"/>
      <c r="C1753" s="20"/>
      <c r="D1753" s="20"/>
      <c r="E1753" s="20"/>
      <c r="F1753" s="20"/>
      <c r="G1753" s="20"/>
      <c r="H1753" s="20"/>
      <c r="I1753" s="101"/>
      <c r="J1753" s="334">
        <v>200500002</v>
      </c>
      <c r="K1753" s="347">
        <v>50</v>
      </c>
      <c r="L1753" s="352"/>
      <c r="M1753" s="272" t="s">
        <v>874</v>
      </c>
      <c r="N1753" s="87">
        <v>1</v>
      </c>
      <c r="O1753" s="87"/>
      <c r="P1753" s="78">
        <v>4.3174999999999999</v>
      </c>
      <c r="Q1753" s="72">
        <f>P1753*F$10</f>
        <v>185.6525</v>
      </c>
      <c r="R1753" s="28">
        <f>Q1753-Q1753*0.2</f>
        <v>148.52199999999999</v>
      </c>
    </row>
    <row r="1754" spans="1:18" ht="10.5" customHeight="1" x14ac:dyDescent="0.3">
      <c r="A1754" s="18"/>
      <c r="B1754" s="20"/>
      <c r="C1754" s="20"/>
      <c r="D1754" s="20"/>
      <c r="E1754" s="20"/>
      <c r="F1754" s="20"/>
      <c r="G1754" s="20"/>
      <c r="H1754" s="20"/>
      <c r="I1754" s="101"/>
      <c r="J1754" s="334">
        <v>200500003</v>
      </c>
      <c r="K1754" s="347">
        <v>65</v>
      </c>
      <c r="L1754" s="352"/>
      <c r="M1754" s="272" t="s">
        <v>874</v>
      </c>
      <c r="N1754" s="87">
        <v>1</v>
      </c>
      <c r="O1754" s="87"/>
      <c r="P1754" s="78">
        <v>7.6589085714285714</v>
      </c>
      <c r="Q1754" s="72">
        <f>P1754*F$10</f>
        <v>329.33306857142856</v>
      </c>
      <c r="R1754" s="28">
        <f>Q1754-Q1754*0.2</f>
        <v>263.46645485714282</v>
      </c>
    </row>
    <row r="1755" spans="1:18" ht="10.5" customHeight="1" x14ac:dyDescent="0.3">
      <c r="A1755" s="18"/>
      <c r="B1755" s="20"/>
      <c r="C1755" s="20"/>
      <c r="D1755" s="20"/>
      <c r="E1755" s="20"/>
      <c r="F1755" s="20"/>
      <c r="G1755" s="20"/>
      <c r="H1755" s="20"/>
      <c r="I1755" s="101"/>
      <c r="J1755" s="20"/>
      <c r="K1755" s="20"/>
      <c r="L1755" s="20"/>
      <c r="M1755" s="20"/>
      <c r="N1755" s="20"/>
      <c r="O1755" s="20"/>
      <c r="P1755" s="20"/>
      <c r="Q1755" s="20"/>
      <c r="R1755" s="101"/>
    </row>
    <row r="1756" spans="1:18" ht="10.5" customHeight="1" x14ac:dyDescent="0.3">
      <c r="A1756" s="55"/>
      <c r="B1756" s="83"/>
      <c r="C1756" s="83"/>
      <c r="D1756" s="83"/>
      <c r="E1756" s="83"/>
      <c r="F1756" s="83"/>
      <c r="G1756" s="83"/>
      <c r="H1756" s="83"/>
      <c r="I1756" s="116"/>
      <c r="J1756" s="83"/>
      <c r="K1756" s="83"/>
      <c r="L1756" s="83"/>
      <c r="M1756" s="83"/>
      <c r="N1756" s="83"/>
      <c r="O1756" s="83"/>
      <c r="P1756" s="83"/>
      <c r="Q1756" s="83"/>
      <c r="R1756" s="116"/>
    </row>
    <row r="1757" spans="1:18" ht="10.5" customHeight="1" x14ac:dyDescent="0.3">
      <c r="A1757" s="20"/>
      <c r="B1757" s="20"/>
      <c r="C1757" s="20"/>
      <c r="D1757" s="20"/>
      <c r="E1757" s="20"/>
      <c r="F1757" s="20"/>
      <c r="G1757" s="20"/>
      <c r="H1757" s="20"/>
      <c r="I1757" s="20"/>
      <c r="J1757" s="20"/>
      <c r="K1757" s="20"/>
      <c r="L1757" s="20"/>
      <c r="M1757" s="20"/>
      <c r="N1757" s="20"/>
      <c r="O1757" s="20"/>
      <c r="P1757" s="20"/>
      <c r="Q1757" s="20"/>
      <c r="R1757" s="20"/>
    </row>
    <row r="1758" spans="1:18" ht="10.5" customHeight="1" x14ac:dyDescent="0.3">
      <c r="A1758" s="166" t="s">
        <v>1956</v>
      </c>
      <c r="B1758" s="351" t="s">
        <v>1957</v>
      </c>
      <c r="C1758" s="49"/>
      <c r="D1758" s="49"/>
      <c r="E1758" s="49"/>
      <c r="F1758" s="49"/>
      <c r="G1758" s="49"/>
      <c r="H1758" s="50"/>
      <c r="I1758" s="49"/>
      <c r="J1758" s="166" t="s">
        <v>1958</v>
      </c>
      <c r="K1758" s="351" t="s">
        <v>1959</v>
      </c>
      <c r="L1758" s="49"/>
      <c r="M1758" s="49"/>
      <c r="N1758" s="49"/>
      <c r="O1758" s="49"/>
      <c r="P1758" s="49"/>
      <c r="Q1758" s="49"/>
      <c r="R1758" s="50"/>
    </row>
    <row r="1759" spans="1:18" ht="10.5" customHeight="1" x14ac:dyDescent="0.3">
      <c r="A1759" s="18"/>
      <c r="B1759" s="20"/>
      <c r="C1759" s="20"/>
      <c r="D1759" s="20"/>
      <c r="E1759" s="20"/>
      <c r="F1759" s="20"/>
      <c r="G1759" s="20"/>
      <c r="H1759" s="101"/>
      <c r="I1759" s="20"/>
      <c r="J1759" s="18"/>
      <c r="K1759" s="20"/>
      <c r="L1759" s="20"/>
      <c r="M1759" s="20"/>
      <c r="N1759" s="20"/>
      <c r="O1759" s="20"/>
      <c r="P1759" s="20"/>
      <c r="Q1759" s="20"/>
      <c r="R1759" s="101"/>
    </row>
    <row r="1760" spans="1:18" ht="10.5" customHeight="1" x14ac:dyDescent="0.3">
      <c r="A1760" s="294"/>
      <c r="B1760" s="20"/>
      <c r="C1760" s="20"/>
      <c r="D1760" s="20"/>
      <c r="E1760" s="20"/>
      <c r="F1760" s="20"/>
      <c r="G1760" s="20"/>
      <c r="H1760" s="101"/>
      <c r="I1760" s="20"/>
      <c r="J1760" s="18"/>
      <c r="K1760" s="20"/>
      <c r="L1760" s="20"/>
      <c r="M1760" s="20"/>
      <c r="N1760" s="20"/>
      <c r="O1760" s="20"/>
      <c r="P1760" s="20"/>
      <c r="Q1760" s="20"/>
      <c r="R1760" s="101"/>
    </row>
    <row r="1761" spans="1:18" ht="10.5" customHeight="1" x14ac:dyDescent="0.3">
      <c r="A1761" s="18"/>
      <c r="B1761" s="20"/>
      <c r="C1761" s="20"/>
      <c r="D1761" s="20"/>
      <c r="E1761" s="20"/>
      <c r="F1761" s="20"/>
      <c r="G1761" s="20"/>
      <c r="H1761" s="101"/>
      <c r="I1761" s="20"/>
      <c r="J1761" s="18"/>
      <c r="K1761" s="20"/>
      <c r="L1761" s="20"/>
      <c r="M1761" s="20"/>
      <c r="N1761" s="20"/>
      <c r="O1761" s="20"/>
      <c r="P1761" s="20"/>
      <c r="Q1761" s="20"/>
      <c r="R1761" s="101"/>
    </row>
    <row r="1762" spans="1:18" ht="10.5" customHeight="1" x14ac:dyDescent="0.3">
      <c r="A1762" s="18"/>
      <c r="B1762" s="20"/>
      <c r="C1762" s="20"/>
      <c r="D1762" s="20"/>
      <c r="E1762" s="20"/>
      <c r="F1762" s="20"/>
      <c r="G1762" s="20"/>
      <c r="H1762" s="101"/>
      <c r="I1762" s="20"/>
      <c r="J1762" s="18"/>
      <c r="K1762" s="20"/>
      <c r="L1762" s="20"/>
      <c r="M1762" s="20"/>
      <c r="N1762" s="20"/>
      <c r="O1762" s="20"/>
      <c r="P1762" s="20"/>
      <c r="Q1762" s="20"/>
      <c r="R1762" s="101"/>
    </row>
    <row r="1763" spans="1:18" ht="10.5" customHeight="1" x14ac:dyDescent="0.3">
      <c r="A1763" s="18"/>
      <c r="B1763" s="20"/>
      <c r="C1763" s="20"/>
      <c r="D1763" s="20"/>
      <c r="E1763" s="20"/>
      <c r="F1763" s="20"/>
      <c r="G1763" s="20"/>
      <c r="H1763" s="101"/>
      <c r="I1763" s="20"/>
      <c r="J1763" s="18"/>
      <c r="K1763" s="20"/>
      <c r="L1763" s="20"/>
      <c r="M1763" s="20"/>
      <c r="N1763" s="20"/>
      <c r="O1763" s="20"/>
      <c r="P1763" s="20"/>
      <c r="Q1763" s="20"/>
      <c r="R1763" s="101"/>
    </row>
    <row r="1764" spans="1:18" ht="10.5" customHeight="1" x14ac:dyDescent="0.3">
      <c r="A1764" s="18"/>
      <c r="B1764" s="20"/>
      <c r="C1764" s="20"/>
      <c r="D1764" s="20"/>
      <c r="E1764" s="20"/>
      <c r="F1764" s="20"/>
      <c r="G1764" s="20"/>
      <c r="H1764" s="101"/>
      <c r="I1764" s="20"/>
      <c r="J1764" s="18"/>
      <c r="K1764" s="20"/>
      <c r="L1764" s="20"/>
      <c r="M1764" s="20"/>
      <c r="N1764" s="20"/>
      <c r="O1764" s="20"/>
      <c r="P1764" s="20"/>
      <c r="Q1764" s="20"/>
      <c r="R1764" s="101"/>
    </row>
    <row r="1765" spans="1:18" ht="10.5" customHeight="1" x14ac:dyDescent="0.3">
      <c r="A1765" s="446" t="s">
        <v>78</v>
      </c>
      <c r="B1765" s="446" t="s">
        <v>79</v>
      </c>
      <c r="C1765" s="446"/>
      <c r="D1765" s="446"/>
      <c r="E1765" s="447" t="s">
        <v>80</v>
      </c>
      <c r="F1765" s="15"/>
      <c r="G1765" s="16" t="s">
        <v>81</v>
      </c>
      <c r="H1765" s="17" t="s">
        <v>82</v>
      </c>
      <c r="I1765" s="20"/>
      <c r="J1765" s="446" t="s">
        <v>78</v>
      </c>
      <c r="K1765" s="446" t="s">
        <v>79</v>
      </c>
      <c r="L1765" s="446"/>
      <c r="M1765" s="446"/>
      <c r="N1765" s="447" t="s">
        <v>80</v>
      </c>
      <c r="O1765" s="14"/>
      <c r="P1765" s="15"/>
      <c r="Q1765" s="16" t="s">
        <v>81</v>
      </c>
      <c r="R1765" s="17" t="s">
        <v>82</v>
      </c>
    </row>
    <row r="1766" spans="1:18" ht="10.5" customHeight="1" x14ac:dyDescent="0.3">
      <c r="A1766" s="446"/>
      <c r="B1766" s="446"/>
      <c r="C1766" s="446"/>
      <c r="D1766" s="446"/>
      <c r="E1766" s="447"/>
      <c r="F1766" s="19"/>
      <c r="G1766" s="15" t="s">
        <v>375</v>
      </c>
      <c r="H1766" s="15" t="s">
        <v>375</v>
      </c>
      <c r="I1766" s="20"/>
      <c r="J1766" s="446"/>
      <c r="K1766" s="446"/>
      <c r="L1766" s="446"/>
      <c r="M1766" s="446"/>
      <c r="N1766" s="447"/>
      <c r="O1766" s="14"/>
      <c r="P1766" s="19"/>
      <c r="Q1766" s="15" t="s">
        <v>375</v>
      </c>
      <c r="R1766" s="15" t="s">
        <v>375</v>
      </c>
    </row>
    <row r="1767" spans="1:18" ht="10.5" customHeight="1" x14ac:dyDescent="0.3">
      <c r="A1767" s="356">
        <v>200520001</v>
      </c>
      <c r="B1767" s="55">
        <v>5</v>
      </c>
      <c r="C1767" s="357"/>
      <c r="D1767" s="116" t="s">
        <v>874</v>
      </c>
      <c r="E1767" s="58">
        <v>1</v>
      </c>
      <c r="F1767" s="78">
        <v>0.85407999999999995</v>
      </c>
      <c r="G1767" s="72">
        <f>F1767*F$10</f>
        <v>36.725439999999999</v>
      </c>
      <c r="H1767" s="72">
        <f>G1767-G1767*0.2</f>
        <v>29.380351999999998</v>
      </c>
      <c r="I1767" s="20"/>
      <c r="J1767" s="263">
        <v>200530001</v>
      </c>
      <c r="K1767" s="347">
        <v>5</v>
      </c>
      <c r="L1767" s="352"/>
      <c r="M1767" s="272" t="s">
        <v>874</v>
      </c>
      <c r="N1767" s="87">
        <v>1</v>
      </c>
      <c r="O1767" s="87"/>
      <c r="P1767" s="78">
        <v>1.2276634146341463</v>
      </c>
      <c r="Q1767" s="72">
        <f>P1767*F$10</f>
        <v>52.78952682926829</v>
      </c>
      <c r="R1767" s="72">
        <f>Q1767-Q1767*0.2</f>
        <v>42.231621463414633</v>
      </c>
    </row>
    <row r="1768" spans="1:18" ht="10.5" customHeight="1" x14ac:dyDescent="0.3">
      <c r="A1768" s="358">
        <v>200520002</v>
      </c>
      <c r="B1768" s="348">
        <v>7</v>
      </c>
      <c r="C1768" s="348"/>
      <c r="D1768" s="312" t="s">
        <v>874</v>
      </c>
      <c r="E1768" s="94">
        <v>1</v>
      </c>
      <c r="F1768" s="26">
        <v>1.4967333333333332</v>
      </c>
      <c r="G1768" s="28">
        <f>F1768*F$10</f>
        <v>64.359533333333331</v>
      </c>
      <c r="H1768" s="28">
        <f>G1768-G1768*0.2</f>
        <v>51.487626666666664</v>
      </c>
      <c r="I1768" s="83"/>
      <c r="J1768" s="263">
        <v>200530002</v>
      </c>
      <c r="K1768" s="347">
        <v>7</v>
      </c>
      <c r="L1768" s="352"/>
      <c r="M1768" s="272" t="s">
        <v>874</v>
      </c>
      <c r="N1768" s="87">
        <v>1</v>
      </c>
      <c r="O1768" s="87"/>
      <c r="P1768" s="78">
        <v>2.128222222222222</v>
      </c>
      <c r="Q1768" s="72">
        <f>P1768*F$10</f>
        <v>91.513555555555541</v>
      </c>
      <c r="R1768" s="28">
        <f>Q1768-Q1768*0.2</f>
        <v>73.210844444444433</v>
      </c>
    </row>
    <row r="1769" spans="1:18" ht="10.5" customHeight="1" x14ac:dyDescent="0.3">
      <c r="A1769" s="20"/>
      <c r="B1769" s="20"/>
      <c r="C1769" s="20"/>
      <c r="D1769" s="20"/>
      <c r="E1769" s="20"/>
      <c r="F1769" s="20"/>
      <c r="G1769" s="20"/>
      <c r="H1769" s="20"/>
      <c r="I1769" s="20"/>
      <c r="J1769" s="20"/>
      <c r="K1769" s="20"/>
      <c r="L1769" s="20"/>
      <c r="M1769" s="20"/>
      <c r="N1769" s="20"/>
      <c r="O1769" s="20"/>
      <c r="P1769" s="20"/>
      <c r="Q1769" s="20"/>
      <c r="R1769" s="20"/>
    </row>
    <row r="1770" spans="1:18" ht="10.5" customHeight="1" x14ac:dyDescent="0.3">
      <c r="A1770" s="166" t="s">
        <v>1960</v>
      </c>
      <c r="B1770" s="308" t="s">
        <v>1961</v>
      </c>
      <c r="C1770" s="49"/>
      <c r="D1770" s="49"/>
      <c r="E1770" s="49"/>
      <c r="F1770" s="49"/>
      <c r="G1770" s="49"/>
      <c r="H1770" s="49"/>
      <c r="I1770" s="49"/>
      <c r="J1770" s="446" t="s">
        <v>78</v>
      </c>
      <c r="K1770" s="446" t="s">
        <v>79</v>
      </c>
      <c r="L1770" s="446"/>
      <c r="M1770" s="446"/>
      <c r="N1770" s="447" t="s">
        <v>1962</v>
      </c>
      <c r="O1770" s="14"/>
      <c r="P1770" s="15"/>
      <c r="Q1770" s="16" t="s">
        <v>81</v>
      </c>
      <c r="R1770" s="17" t="s">
        <v>82</v>
      </c>
    </row>
    <row r="1771" spans="1:18" ht="10.5" customHeight="1" x14ac:dyDescent="0.3">
      <c r="A1771" s="18"/>
      <c r="B1771" s="20"/>
      <c r="C1771" s="20"/>
      <c r="D1771" s="20"/>
      <c r="E1771" s="20"/>
      <c r="F1771" s="20"/>
      <c r="G1771" s="20"/>
      <c r="H1771" s="20"/>
      <c r="I1771" s="20"/>
      <c r="J1771" s="446"/>
      <c r="K1771" s="446"/>
      <c r="L1771" s="446"/>
      <c r="M1771" s="446"/>
      <c r="N1771" s="447"/>
      <c r="O1771" s="14"/>
      <c r="P1771" s="19"/>
      <c r="Q1771" s="15" t="s">
        <v>1963</v>
      </c>
      <c r="R1771" s="15" t="s">
        <v>1963</v>
      </c>
    </row>
    <row r="1772" spans="1:18" ht="10.5" customHeight="1" x14ac:dyDescent="0.3">
      <c r="A1772" s="306" t="s">
        <v>457</v>
      </c>
      <c r="B1772" s="20"/>
      <c r="C1772" s="20"/>
      <c r="D1772" s="20"/>
      <c r="E1772" s="20"/>
      <c r="F1772" s="20"/>
      <c r="G1772" s="20"/>
      <c r="H1772" s="20"/>
      <c r="I1772" s="20"/>
      <c r="J1772" s="263">
        <v>210010003</v>
      </c>
      <c r="K1772" s="74" t="s">
        <v>1125</v>
      </c>
      <c r="L1772" s="75" t="s">
        <v>1113</v>
      </c>
      <c r="M1772" s="76">
        <v>2</v>
      </c>
      <c r="N1772" s="87">
        <v>200</v>
      </c>
      <c r="O1772" s="87"/>
      <c r="P1772" s="78">
        <v>0.18899999041591814</v>
      </c>
      <c r="Q1772" s="72">
        <f t="shared" ref="Q1772:Q1779" si="237">P1772*$F$10</f>
        <v>8.1269995878844803</v>
      </c>
      <c r="R1772" s="72">
        <f t="shared" ref="R1772:R1779" si="238">Q1772-Q1772*0.2</f>
        <v>6.5015996703075842</v>
      </c>
    </row>
    <row r="1773" spans="1:18" ht="10.5" customHeight="1" x14ac:dyDescent="0.3">
      <c r="A1773" s="18"/>
      <c r="B1773" s="20"/>
      <c r="C1773" s="20"/>
      <c r="D1773" s="20"/>
      <c r="E1773" s="20"/>
      <c r="F1773" s="20"/>
      <c r="G1773" s="20"/>
      <c r="H1773" s="20"/>
      <c r="I1773" s="20"/>
      <c r="J1773" s="307">
        <v>210010004</v>
      </c>
      <c r="K1773" s="22" t="s">
        <v>1125</v>
      </c>
      <c r="L1773" s="23" t="s">
        <v>1113</v>
      </c>
      <c r="M1773" s="24">
        <v>3</v>
      </c>
      <c r="N1773" s="94">
        <v>200</v>
      </c>
      <c r="O1773" s="94"/>
      <c r="P1773" s="26">
        <v>0.29699990008583843</v>
      </c>
      <c r="Q1773" s="28">
        <f t="shared" si="237"/>
        <v>12.770995703691053</v>
      </c>
      <c r="R1773" s="28">
        <f t="shared" si="238"/>
        <v>10.216796562952842</v>
      </c>
    </row>
    <row r="1774" spans="1:18" ht="10.5" customHeight="1" x14ac:dyDescent="0.3">
      <c r="A1774" s="18"/>
      <c r="B1774" s="20"/>
      <c r="C1774" s="20"/>
      <c r="D1774" s="20"/>
      <c r="E1774" s="20"/>
      <c r="F1774" s="20"/>
      <c r="G1774" s="20"/>
      <c r="H1774" s="20"/>
      <c r="I1774" s="20"/>
      <c r="J1774" s="307">
        <v>210010005</v>
      </c>
      <c r="K1774" s="22" t="s">
        <v>1125</v>
      </c>
      <c r="L1774" s="23" t="s">
        <v>1113</v>
      </c>
      <c r="M1774" s="24">
        <v>4</v>
      </c>
      <c r="N1774" s="94">
        <v>200</v>
      </c>
      <c r="O1774" s="94"/>
      <c r="P1774" s="26">
        <v>0.45453414634146333</v>
      </c>
      <c r="Q1774" s="28">
        <f t="shared" si="237"/>
        <v>19.544968292682924</v>
      </c>
      <c r="R1774" s="28">
        <f t="shared" si="238"/>
        <v>15.63597463414634</v>
      </c>
    </row>
    <row r="1775" spans="1:18" ht="10.5" customHeight="1" x14ac:dyDescent="0.3">
      <c r="A1775" s="18"/>
      <c r="B1775" s="20"/>
      <c r="C1775" s="20"/>
      <c r="D1775" s="20"/>
      <c r="E1775" s="20"/>
      <c r="F1775" s="20"/>
      <c r="G1775" s="20"/>
      <c r="H1775" s="20"/>
      <c r="I1775" s="20"/>
      <c r="J1775" s="307">
        <v>210010006</v>
      </c>
      <c r="K1775" s="22" t="s">
        <v>1125</v>
      </c>
      <c r="L1775" s="23" t="s">
        <v>1113</v>
      </c>
      <c r="M1775" s="24">
        <v>5</v>
      </c>
      <c r="N1775" s="94">
        <v>100</v>
      </c>
      <c r="O1775" s="94"/>
      <c r="P1775" s="26">
        <v>0.71224390243902436</v>
      </c>
      <c r="Q1775" s="28">
        <f t="shared" si="237"/>
        <v>30.626487804878046</v>
      </c>
      <c r="R1775" s="28">
        <f t="shared" si="238"/>
        <v>24.501190243902435</v>
      </c>
    </row>
    <row r="1776" spans="1:18" ht="10.5" customHeight="1" x14ac:dyDescent="0.3">
      <c r="A1776" s="446" t="s">
        <v>78</v>
      </c>
      <c r="B1776" s="446" t="s">
        <v>79</v>
      </c>
      <c r="C1776" s="446"/>
      <c r="D1776" s="446"/>
      <c r="E1776" s="447" t="s">
        <v>1962</v>
      </c>
      <c r="F1776" s="15"/>
      <c r="G1776" s="16" t="s">
        <v>81</v>
      </c>
      <c r="H1776" s="17" t="s">
        <v>82</v>
      </c>
      <c r="I1776" s="20"/>
      <c r="J1776" s="307">
        <v>210010007</v>
      </c>
      <c r="K1776" s="22" t="s">
        <v>1125</v>
      </c>
      <c r="L1776" s="23" t="s">
        <v>1113</v>
      </c>
      <c r="M1776" s="24">
        <v>6</v>
      </c>
      <c r="N1776" s="94">
        <v>100</v>
      </c>
      <c r="O1776" s="94"/>
      <c r="P1776" s="26">
        <v>1.1339993852903507</v>
      </c>
      <c r="Q1776" s="28">
        <f t="shared" si="237"/>
        <v>48.761973567485079</v>
      </c>
      <c r="R1776" s="28">
        <f t="shared" si="238"/>
        <v>39.00957885398806</v>
      </c>
    </row>
    <row r="1777" spans="1:18" ht="10.5" customHeight="1" x14ac:dyDescent="0.3">
      <c r="A1777" s="446"/>
      <c r="B1777" s="446"/>
      <c r="C1777" s="446"/>
      <c r="D1777" s="446"/>
      <c r="E1777" s="447"/>
      <c r="F1777" s="19"/>
      <c r="G1777" s="15" t="s">
        <v>1963</v>
      </c>
      <c r="H1777" s="15" t="s">
        <v>1963</v>
      </c>
      <c r="I1777" s="20"/>
      <c r="J1777" s="307">
        <v>210010008</v>
      </c>
      <c r="K1777" s="22" t="s">
        <v>1125</v>
      </c>
      <c r="L1777" s="23" t="s">
        <v>1113</v>
      </c>
      <c r="M1777" s="24">
        <v>8</v>
      </c>
      <c r="N1777" s="94">
        <v>100</v>
      </c>
      <c r="O1777" s="94"/>
      <c r="P1777" s="26">
        <v>1.448999999991299</v>
      </c>
      <c r="Q1777" s="28">
        <f t="shared" si="237"/>
        <v>62.306999999625859</v>
      </c>
      <c r="R1777" s="28">
        <f t="shared" si="238"/>
        <v>49.845599999700688</v>
      </c>
    </row>
    <row r="1778" spans="1:18" ht="10.5" customHeight="1" x14ac:dyDescent="0.3">
      <c r="A1778" s="263">
        <v>210010001</v>
      </c>
      <c r="B1778" s="74" t="s">
        <v>1125</v>
      </c>
      <c r="C1778" s="75" t="s">
        <v>1113</v>
      </c>
      <c r="D1778" s="76">
        <v>1</v>
      </c>
      <c r="E1778" s="87">
        <v>200</v>
      </c>
      <c r="F1778" s="78">
        <v>8.9999999989095095E-2</v>
      </c>
      <c r="G1778" s="319">
        <f>F1778*$F$10</f>
        <v>3.869999999531089</v>
      </c>
      <c r="H1778" s="28">
        <f>G1778-G1778*0.2</f>
        <v>3.0959999996248713</v>
      </c>
      <c r="I1778" s="20"/>
      <c r="J1778" s="307">
        <v>210010009</v>
      </c>
      <c r="K1778" s="22" t="s">
        <v>1125</v>
      </c>
      <c r="L1778" s="23" t="s">
        <v>1113</v>
      </c>
      <c r="M1778" s="24">
        <v>10</v>
      </c>
      <c r="N1778" s="94">
        <v>100</v>
      </c>
      <c r="O1778" s="94"/>
      <c r="P1778" s="26">
        <v>2.0969999999852824</v>
      </c>
      <c r="Q1778" s="28">
        <f t="shared" si="237"/>
        <v>90.17099999936714</v>
      </c>
      <c r="R1778" s="28">
        <f t="shared" si="238"/>
        <v>72.136799999493718</v>
      </c>
    </row>
    <row r="1779" spans="1:18" ht="10.5" customHeight="1" x14ac:dyDescent="0.3">
      <c r="A1779" s="307">
        <v>210010002</v>
      </c>
      <c r="B1779" s="22" t="s">
        <v>1125</v>
      </c>
      <c r="C1779" s="23" t="s">
        <v>1113</v>
      </c>
      <c r="D1779" s="132">
        <v>1.5</v>
      </c>
      <c r="E1779" s="94">
        <v>200</v>
      </c>
      <c r="F1779" s="26">
        <v>0.14206585365853658</v>
      </c>
      <c r="G1779" s="28">
        <f>F1779*$F$10</f>
        <v>6.1088317073170728</v>
      </c>
      <c r="H1779" s="28">
        <f>G1779-G1779*0.2</f>
        <v>4.8870653658536582</v>
      </c>
      <c r="I1779" s="83"/>
      <c r="J1779" s="307">
        <v>210010010</v>
      </c>
      <c r="K1779" s="74" t="s">
        <v>1125</v>
      </c>
      <c r="L1779" s="75" t="s">
        <v>1113</v>
      </c>
      <c r="M1779" s="76">
        <v>12</v>
      </c>
      <c r="N1779" s="87">
        <v>100</v>
      </c>
      <c r="O1779" s="87"/>
      <c r="P1779" s="78">
        <v>4.148991427824047</v>
      </c>
      <c r="Q1779" s="28">
        <f t="shared" si="237"/>
        <v>178.40663139643402</v>
      </c>
      <c r="R1779" s="72">
        <f t="shared" si="238"/>
        <v>142.72530511714723</v>
      </c>
    </row>
    <row r="1780" spans="1:18" ht="10.5" customHeight="1" x14ac:dyDescent="0.3">
      <c r="A1780" s="20"/>
      <c r="B1780" s="20"/>
      <c r="C1780" s="20"/>
      <c r="D1780" s="20"/>
      <c r="E1780" s="20"/>
      <c r="F1780" s="20"/>
      <c r="G1780" s="20"/>
      <c r="H1780" s="20"/>
      <c r="I1780" s="20"/>
      <c r="J1780" s="20"/>
      <c r="K1780" s="20"/>
      <c r="L1780" s="20"/>
      <c r="M1780" s="20"/>
      <c r="N1780" s="20"/>
      <c r="O1780" s="20"/>
      <c r="P1780" s="20"/>
      <c r="Q1780" s="20"/>
      <c r="R1780" s="20"/>
    </row>
    <row r="1781" spans="1:18" ht="10.5" customHeight="1" x14ac:dyDescent="0.3">
      <c r="A1781" s="166" t="s">
        <v>1964</v>
      </c>
      <c r="B1781" s="308" t="s">
        <v>1965</v>
      </c>
      <c r="C1781" s="49"/>
      <c r="D1781" s="49"/>
      <c r="E1781" s="49"/>
      <c r="F1781" s="49"/>
      <c r="G1781" s="49"/>
      <c r="H1781" s="49"/>
      <c r="I1781" s="49"/>
      <c r="J1781" s="446" t="s">
        <v>78</v>
      </c>
      <c r="K1781" s="446" t="s">
        <v>79</v>
      </c>
      <c r="L1781" s="446"/>
      <c r="M1781" s="446"/>
      <c r="N1781" s="447" t="s">
        <v>1962</v>
      </c>
      <c r="O1781" s="14"/>
      <c r="P1781" s="15"/>
      <c r="Q1781" s="16" t="s">
        <v>81</v>
      </c>
      <c r="R1781" s="17" t="s">
        <v>82</v>
      </c>
    </row>
    <row r="1782" spans="1:18" ht="10.5" customHeight="1" x14ac:dyDescent="0.3">
      <c r="A1782" s="18"/>
      <c r="B1782" s="20"/>
      <c r="C1782" s="20"/>
      <c r="D1782" s="20"/>
      <c r="E1782" s="20"/>
      <c r="F1782" s="20"/>
      <c r="G1782" s="20"/>
      <c r="H1782" s="20"/>
      <c r="I1782" s="20"/>
      <c r="J1782" s="446"/>
      <c r="K1782" s="446"/>
      <c r="L1782" s="446"/>
      <c r="M1782" s="446"/>
      <c r="N1782" s="447"/>
      <c r="O1782" s="14"/>
      <c r="P1782" s="19"/>
      <c r="Q1782" s="15" t="s">
        <v>1963</v>
      </c>
      <c r="R1782" s="15" t="s">
        <v>1963</v>
      </c>
    </row>
    <row r="1783" spans="1:18" ht="10.5" customHeight="1" x14ac:dyDescent="0.3">
      <c r="A1783" s="306"/>
      <c r="B1783" s="20"/>
      <c r="C1783" s="20"/>
      <c r="D1783" s="20"/>
      <c r="E1783" s="20"/>
      <c r="F1783" s="20"/>
      <c r="G1783" s="20"/>
      <c r="H1783" s="20"/>
      <c r="I1783" s="20"/>
      <c r="J1783" s="263">
        <v>210020001</v>
      </c>
      <c r="K1783" s="74" t="s">
        <v>1125</v>
      </c>
      <c r="L1783" s="75" t="s">
        <v>1113</v>
      </c>
      <c r="M1783" s="76">
        <v>3</v>
      </c>
      <c r="N1783" s="87">
        <v>200</v>
      </c>
      <c r="O1783" s="87"/>
      <c r="P1783" s="78">
        <v>0.28000000000000003</v>
      </c>
      <c r="Q1783" s="319">
        <f>P1783*$F$10</f>
        <v>12.040000000000001</v>
      </c>
      <c r="R1783" s="72">
        <f>Q1783-Q1783*0.2</f>
        <v>9.6320000000000014</v>
      </c>
    </row>
    <row r="1784" spans="1:18" ht="10.5" customHeight="1" x14ac:dyDescent="0.3">
      <c r="A1784" s="18"/>
      <c r="B1784" s="20"/>
      <c r="C1784" s="20"/>
      <c r="D1784" s="20"/>
      <c r="E1784" s="20"/>
      <c r="F1784" s="20"/>
      <c r="G1784" s="20"/>
      <c r="H1784" s="20"/>
      <c r="I1784" s="20"/>
      <c r="J1784" s="307">
        <v>210020002</v>
      </c>
      <c r="K1784" s="22" t="s">
        <v>1125</v>
      </c>
      <c r="L1784" s="23" t="s">
        <v>1113</v>
      </c>
      <c r="M1784" s="24">
        <v>4</v>
      </c>
      <c r="N1784" s="94">
        <v>200</v>
      </c>
      <c r="O1784" s="94"/>
      <c r="P1784" s="26">
        <v>0.42</v>
      </c>
      <c r="Q1784" s="28">
        <f>P1784*$F$10</f>
        <v>18.059999999999999</v>
      </c>
      <c r="R1784" s="28">
        <f>Q1784-Q1784*0.2</f>
        <v>14.447999999999999</v>
      </c>
    </row>
    <row r="1785" spans="1:18" ht="10.5" customHeight="1" x14ac:dyDescent="0.3">
      <c r="A1785" s="18"/>
      <c r="B1785" s="20"/>
      <c r="C1785" s="20"/>
      <c r="D1785" s="20"/>
      <c r="E1785" s="20"/>
      <c r="F1785" s="20"/>
      <c r="G1785" s="20"/>
      <c r="H1785" s="20"/>
      <c r="I1785" s="20"/>
      <c r="J1785" s="307">
        <v>210020003</v>
      </c>
      <c r="K1785" s="22" t="s">
        <v>1125</v>
      </c>
      <c r="L1785" s="23" t="s">
        <v>1113</v>
      </c>
      <c r="M1785" s="24">
        <v>5</v>
      </c>
      <c r="N1785" s="94">
        <v>100</v>
      </c>
      <c r="O1785" s="94"/>
      <c r="P1785" s="26">
        <v>0.68</v>
      </c>
      <c r="Q1785" s="28">
        <f>P1785*$F$10</f>
        <v>29.240000000000002</v>
      </c>
      <c r="R1785" s="28">
        <f>Q1785-Q1785*0.2</f>
        <v>23.392000000000003</v>
      </c>
    </row>
    <row r="1786" spans="1:18" ht="10.5" customHeight="1" x14ac:dyDescent="0.3">
      <c r="A1786" s="55"/>
      <c r="B1786" s="83"/>
      <c r="C1786" s="83"/>
      <c r="D1786" s="83"/>
      <c r="E1786" s="83"/>
      <c r="F1786" s="83"/>
      <c r="G1786" s="83"/>
      <c r="H1786" s="83"/>
      <c r="I1786" s="83"/>
      <c r="J1786" s="307">
        <v>210020004</v>
      </c>
      <c r="K1786" s="22" t="s">
        <v>1125</v>
      </c>
      <c r="L1786" s="23" t="s">
        <v>1113</v>
      </c>
      <c r="M1786" s="24">
        <v>6</v>
      </c>
      <c r="N1786" s="94">
        <v>100</v>
      </c>
      <c r="O1786" s="94"/>
      <c r="P1786" s="26">
        <v>0.96</v>
      </c>
      <c r="Q1786" s="28">
        <f>P1786*$F$10</f>
        <v>41.28</v>
      </c>
      <c r="R1786" s="28">
        <f>Q1786-Q1786*0.2</f>
        <v>33.024000000000001</v>
      </c>
    </row>
    <row r="1787" spans="1:18" ht="10.5" customHeight="1" x14ac:dyDescent="0.3">
      <c r="A1787" s="20"/>
      <c r="B1787" s="20"/>
      <c r="C1787" s="20"/>
      <c r="D1787" s="20"/>
      <c r="E1787" s="20"/>
      <c r="F1787" s="20"/>
      <c r="G1787" s="20"/>
      <c r="H1787" s="20"/>
      <c r="I1787" s="20"/>
      <c r="J1787" s="275"/>
      <c r="K1787" s="40"/>
      <c r="L1787" s="41"/>
      <c r="M1787" s="42"/>
      <c r="N1787" s="97"/>
      <c r="O1787" s="97"/>
      <c r="P1787" s="44"/>
      <c r="Q1787" s="46"/>
      <c r="R1787" s="46"/>
    </row>
    <row r="1788" spans="1:18" ht="10.5" customHeight="1" x14ac:dyDescent="0.3">
      <c r="A1788" s="166" t="s">
        <v>1966</v>
      </c>
      <c r="B1788" s="308" t="s">
        <v>1967</v>
      </c>
      <c r="C1788" s="49"/>
      <c r="D1788" s="49"/>
      <c r="E1788" s="49"/>
      <c r="F1788" s="49"/>
      <c r="G1788" s="49"/>
      <c r="H1788" s="49"/>
      <c r="I1788" s="49"/>
      <c r="J1788" s="446" t="s">
        <v>78</v>
      </c>
      <c r="K1788" s="446" t="s">
        <v>79</v>
      </c>
      <c r="L1788" s="446"/>
      <c r="M1788" s="446"/>
      <c r="N1788" s="447" t="s">
        <v>1962</v>
      </c>
      <c r="O1788" s="14"/>
      <c r="P1788" s="15"/>
      <c r="Q1788" s="16" t="s">
        <v>81</v>
      </c>
      <c r="R1788" s="17" t="s">
        <v>82</v>
      </c>
    </row>
    <row r="1789" spans="1:18" ht="10.5" customHeight="1" x14ac:dyDescent="0.3">
      <c r="A1789" s="18"/>
      <c r="B1789" s="20"/>
      <c r="C1789" s="20"/>
      <c r="D1789" s="20"/>
      <c r="E1789" s="20"/>
      <c r="F1789" s="20"/>
      <c r="G1789" s="20"/>
      <c r="H1789" s="20"/>
      <c r="I1789" s="20"/>
      <c r="J1789" s="446"/>
      <c r="K1789" s="446"/>
      <c r="L1789" s="446"/>
      <c r="M1789" s="446"/>
      <c r="N1789" s="447"/>
      <c r="O1789" s="14"/>
      <c r="P1789" s="19"/>
      <c r="Q1789" s="15" t="s">
        <v>1963</v>
      </c>
      <c r="R1789" s="15" t="s">
        <v>1963</v>
      </c>
    </row>
    <row r="1790" spans="1:18" ht="10.5" customHeight="1" x14ac:dyDescent="0.3">
      <c r="A1790" s="306" t="s">
        <v>457</v>
      </c>
      <c r="B1790" s="20"/>
      <c r="C1790" s="20"/>
      <c r="D1790" s="20"/>
      <c r="E1790" s="20"/>
      <c r="F1790" s="20"/>
      <c r="G1790" s="20"/>
      <c r="H1790" s="20"/>
      <c r="I1790" s="20"/>
      <c r="J1790" s="263">
        <v>210030002</v>
      </c>
      <c r="K1790" s="74" t="s">
        <v>1125</v>
      </c>
      <c r="L1790" s="75" t="s">
        <v>1113</v>
      </c>
      <c r="M1790" s="76">
        <v>2</v>
      </c>
      <c r="N1790" s="87">
        <v>250</v>
      </c>
      <c r="O1790" s="87"/>
      <c r="P1790" s="78">
        <v>0.40499858238871728</v>
      </c>
      <c r="Q1790" s="319">
        <f>P1790*$F$10</f>
        <v>17.414939042714842</v>
      </c>
      <c r="R1790" s="72">
        <f>Q1790-Q1790*0.2</f>
        <v>13.931951234171873</v>
      </c>
    </row>
    <row r="1791" spans="1:18" ht="10.5" customHeight="1" x14ac:dyDescent="0.3">
      <c r="A1791" s="18"/>
      <c r="B1791" s="20"/>
      <c r="C1791" s="20"/>
      <c r="D1791" s="20"/>
      <c r="E1791" s="20"/>
      <c r="F1791" s="20"/>
      <c r="G1791" s="20"/>
      <c r="H1791" s="20"/>
      <c r="I1791" s="20"/>
      <c r="J1791" s="307">
        <v>210030003</v>
      </c>
      <c r="K1791" s="22" t="s">
        <v>1125</v>
      </c>
      <c r="L1791" s="23" t="s">
        <v>1113</v>
      </c>
      <c r="M1791" s="24">
        <v>3</v>
      </c>
      <c r="N1791" s="94">
        <v>200</v>
      </c>
      <c r="O1791" s="94"/>
      <c r="P1791" s="26">
        <v>0.77399782529213901</v>
      </c>
      <c r="Q1791" s="28">
        <f>P1791*$F$10</f>
        <v>33.281906487561976</v>
      </c>
      <c r="R1791" s="28">
        <f>Q1791-Q1791*0.2</f>
        <v>26.625525190049579</v>
      </c>
    </row>
    <row r="1792" spans="1:18" ht="10.5" customHeight="1" x14ac:dyDescent="0.3">
      <c r="A1792" s="18"/>
      <c r="B1792" s="20"/>
      <c r="C1792" s="20"/>
      <c r="D1792" s="20"/>
      <c r="E1792" s="20"/>
      <c r="F1792" s="20"/>
      <c r="G1792" s="20"/>
      <c r="H1792" s="20"/>
      <c r="I1792" s="20"/>
      <c r="J1792" s="307">
        <v>210030004</v>
      </c>
      <c r="K1792" s="22" t="s">
        <v>1125</v>
      </c>
      <c r="L1792" s="23" t="s">
        <v>1113</v>
      </c>
      <c r="M1792" s="24">
        <v>4</v>
      </c>
      <c r="N1792" s="94">
        <v>200</v>
      </c>
      <c r="O1792" s="94"/>
      <c r="P1792" s="26">
        <v>1.3589961731011757</v>
      </c>
      <c r="Q1792" s="28">
        <f>P1792*$F$10</f>
        <v>58.436835443350553</v>
      </c>
      <c r="R1792" s="28">
        <f>Q1792-Q1792*0.2</f>
        <v>46.749468354680445</v>
      </c>
    </row>
    <row r="1793" spans="1:18" ht="10.5" customHeight="1" x14ac:dyDescent="0.3">
      <c r="A1793" s="18"/>
      <c r="B1793" s="20"/>
      <c r="C1793" s="20"/>
      <c r="D1793" s="20"/>
      <c r="E1793" s="20"/>
      <c r="F1793" s="20"/>
      <c r="G1793" s="20"/>
      <c r="H1793" s="20"/>
      <c r="I1793" s="20"/>
      <c r="J1793" s="307">
        <v>210030005</v>
      </c>
      <c r="K1793" s="22" t="s">
        <v>1125</v>
      </c>
      <c r="L1793" s="23" t="s">
        <v>1113</v>
      </c>
      <c r="M1793" s="24">
        <v>5</v>
      </c>
      <c r="N1793" s="94">
        <v>200</v>
      </c>
      <c r="O1793" s="94"/>
      <c r="P1793" s="26">
        <v>2.0159947764645638</v>
      </c>
      <c r="Q1793" s="28">
        <f>P1793*$F$10</f>
        <v>86.687775387976245</v>
      </c>
      <c r="R1793" s="28">
        <f>Q1793-Q1793*0.2</f>
        <v>69.35022031038099</v>
      </c>
    </row>
    <row r="1794" spans="1:18" ht="10.5" customHeight="1" x14ac:dyDescent="0.3">
      <c r="A1794" s="55"/>
      <c r="B1794" s="83"/>
      <c r="C1794" s="83"/>
      <c r="D1794" s="83"/>
      <c r="E1794" s="83"/>
      <c r="F1794" s="83"/>
      <c r="G1794" s="83"/>
      <c r="H1794" s="83"/>
      <c r="I1794" s="83"/>
      <c r="J1794" s="307">
        <v>210030006</v>
      </c>
      <c r="K1794" s="22" t="s">
        <v>1125</v>
      </c>
      <c r="L1794" s="23" t="s">
        <v>1113</v>
      </c>
      <c r="M1794" s="24">
        <v>6</v>
      </c>
      <c r="N1794" s="94">
        <v>200</v>
      </c>
      <c r="O1794" s="94"/>
      <c r="P1794" s="26">
        <v>2.7449928584336725</v>
      </c>
      <c r="Q1794" s="28">
        <f>P1794*$F$10</f>
        <v>118.03469291264791</v>
      </c>
      <c r="R1794" s="28">
        <f>Q1794-Q1794*0.2</f>
        <v>94.427754330118333</v>
      </c>
    </row>
    <row r="1795" spans="1:18" ht="10.5" customHeight="1" x14ac:dyDescent="0.3">
      <c r="A1795" s="20"/>
      <c r="B1795" s="20"/>
      <c r="C1795" s="20"/>
      <c r="D1795" s="20"/>
      <c r="E1795" s="20"/>
      <c r="F1795" s="20"/>
      <c r="G1795" s="20"/>
      <c r="H1795" s="20"/>
      <c r="I1795" s="20"/>
      <c r="J1795" s="20"/>
      <c r="K1795" s="20"/>
      <c r="L1795" s="20"/>
      <c r="M1795" s="20"/>
      <c r="N1795" s="20"/>
      <c r="O1795" s="20"/>
      <c r="P1795" s="20"/>
      <c r="Q1795" s="20"/>
      <c r="R1795" s="20"/>
    </row>
    <row r="1796" spans="1:18" ht="10.5" customHeight="1" x14ac:dyDescent="0.3">
      <c r="A1796" s="166" t="s">
        <v>1968</v>
      </c>
      <c r="B1796" s="301" t="s">
        <v>1969</v>
      </c>
      <c r="C1796" s="49"/>
      <c r="D1796" s="49"/>
      <c r="E1796" s="49"/>
      <c r="F1796" s="49"/>
      <c r="G1796" s="49"/>
      <c r="H1796" s="50"/>
      <c r="I1796" s="49"/>
      <c r="J1796" s="166" t="s">
        <v>1970</v>
      </c>
      <c r="K1796" s="308" t="s">
        <v>1971</v>
      </c>
      <c r="L1796" s="49"/>
      <c r="M1796" s="49"/>
      <c r="N1796" s="49"/>
      <c r="O1796" s="49"/>
      <c r="P1796" s="49"/>
      <c r="Q1796" s="49"/>
      <c r="R1796" s="50"/>
    </row>
    <row r="1797" spans="1:18" ht="10.5" customHeight="1" x14ac:dyDescent="0.3">
      <c r="A1797" s="18"/>
      <c r="B1797" s="20"/>
      <c r="C1797" s="20"/>
      <c r="D1797" s="20"/>
      <c r="E1797" s="20"/>
      <c r="F1797" s="20"/>
      <c r="G1797" s="20"/>
      <c r="H1797" s="101"/>
      <c r="I1797" s="20"/>
      <c r="J1797" s="18"/>
      <c r="K1797" s="20"/>
      <c r="L1797" s="20"/>
      <c r="M1797" s="20"/>
      <c r="N1797" s="20"/>
      <c r="O1797" s="20"/>
      <c r="P1797" s="20"/>
      <c r="Q1797" s="20"/>
      <c r="R1797" s="101"/>
    </row>
    <row r="1798" spans="1:18" ht="10.5" customHeight="1" x14ac:dyDescent="0.3">
      <c r="A1798" s="304"/>
      <c r="B1798" s="20"/>
      <c r="C1798" s="20"/>
      <c r="D1798" s="20"/>
      <c r="E1798" s="20"/>
      <c r="F1798" s="20"/>
      <c r="G1798" s="20"/>
      <c r="H1798" s="101"/>
      <c r="I1798" s="20"/>
      <c r="J1798" s="306"/>
      <c r="K1798" s="20"/>
      <c r="L1798" s="20"/>
      <c r="M1798" s="20"/>
      <c r="N1798" s="20"/>
      <c r="O1798" s="20"/>
      <c r="P1798" s="20"/>
      <c r="Q1798" s="20"/>
      <c r="R1798" s="101"/>
    </row>
    <row r="1799" spans="1:18" ht="10.5" customHeight="1" x14ac:dyDescent="0.3">
      <c r="A1799" s="18"/>
      <c r="B1799" s="20"/>
      <c r="C1799" s="20"/>
      <c r="D1799" s="20"/>
      <c r="E1799" s="20"/>
      <c r="F1799" s="20"/>
      <c r="G1799" s="20"/>
      <c r="H1799" s="101"/>
      <c r="I1799" s="20"/>
      <c r="J1799" s="18"/>
      <c r="K1799" s="20"/>
      <c r="L1799" s="20"/>
      <c r="M1799" s="20"/>
      <c r="N1799" s="20"/>
      <c r="O1799" s="20"/>
      <c r="P1799" s="20"/>
      <c r="Q1799" s="20"/>
      <c r="R1799" s="101"/>
    </row>
    <row r="1800" spans="1:18" ht="10.5" customHeight="1" x14ac:dyDescent="0.3">
      <c r="A1800" s="18"/>
      <c r="B1800" s="20"/>
      <c r="C1800" s="20"/>
      <c r="D1800" s="20"/>
      <c r="E1800" s="20"/>
      <c r="F1800" s="20"/>
      <c r="G1800" s="20"/>
      <c r="H1800" s="101"/>
      <c r="I1800" s="20"/>
      <c r="J1800" s="18"/>
      <c r="K1800" s="20"/>
      <c r="L1800" s="20"/>
      <c r="M1800" s="20"/>
      <c r="N1800" s="20"/>
      <c r="O1800" s="20"/>
      <c r="P1800" s="20"/>
      <c r="Q1800" s="20"/>
      <c r="R1800" s="101"/>
    </row>
    <row r="1801" spans="1:18" ht="10.5" customHeight="1" x14ac:dyDescent="0.3">
      <c r="A1801" s="446" t="s">
        <v>78</v>
      </c>
      <c r="B1801" s="446" t="s">
        <v>79</v>
      </c>
      <c r="C1801" s="446"/>
      <c r="D1801" s="446"/>
      <c r="E1801" s="447" t="s">
        <v>1962</v>
      </c>
      <c r="F1801" s="15"/>
      <c r="G1801" s="16" t="s">
        <v>81</v>
      </c>
      <c r="H1801" s="17" t="s">
        <v>82</v>
      </c>
      <c r="I1801" s="20"/>
      <c r="J1801" s="446" t="s">
        <v>78</v>
      </c>
      <c r="K1801" s="446" t="s">
        <v>79</v>
      </c>
      <c r="L1801" s="446"/>
      <c r="M1801" s="446"/>
      <c r="N1801" s="447" t="s">
        <v>1962</v>
      </c>
      <c r="O1801" s="14"/>
      <c r="P1801" s="15"/>
      <c r="Q1801" s="16" t="s">
        <v>81</v>
      </c>
      <c r="R1801" s="17" t="s">
        <v>82</v>
      </c>
    </row>
    <row r="1802" spans="1:18" ht="10.5" customHeight="1" x14ac:dyDescent="0.3">
      <c r="A1802" s="446"/>
      <c r="B1802" s="446"/>
      <c r="C1802" s="446"/>
      <c r="D1802" s="446"/>
      <c r="E1802" s="447"/>
      <c r="F1802" s="19"/>
      <c r="G1802" s="15" t="s">
        <v>1963</v>
      </c>
      <c r="H1802" s="15" t="s">
        <v>1963</v>
      </c>
      <c r="I1802" s="20"/>
      <c r="J1802" s="446"/>
      <c r="K1802" s="446"/>
      <c r="L1802" s="446"/>
      <c r="M1802" s="446"/>
      <c r="N1802" s="447"/>
      <c r="O1802" s="14"/>
      <c r="P1802" s="19"/>
      <c r="Q1802" s="15" t="s">
        <v>1963</v>
      </c>
      <c r="R1802" s="15" t="s">
        <v>1963</v>
      </c>
    </row>
    <row r="1803" spans="1:18" ht="10.5" customHeight="1" x14ac:dyDescent="0.3">
      <c r="A1803" s="359" t="s">
        <v>1972</v>
      </c>
      <c r="B1803" s="22" t="s">
        <v>1125</v>
      </c>
      <c r="C1803" s="23" t="s">
        <v>1113</v>
      </c>
      <c r="D1803" s="24">
        <v>2</v>
      </c>
      <c r="E1803" s="94">
        <v>80</v>
      </c>
      <c r="F1803" s="26">
        <v>0.55000000000000004</v>
      </c>
      <c r="G1803" s="28">
        <f t="shared" ref="G1803:G1809" si="239">F1803*$F$10</f>
        <v>23.650000000000002</v>
      </c>
      <c r="H1803" s="28">
        <f t="shared" ref="H1803:H1809" si="240">G1803-G1803*0.2</f>
        <v>18.920000000000002</v>
      </c>
      <c r="I1803" s="20"/>
      <c r="J1803" s="263" t="s">
        <v>1973</v>
      </c>
      <c r="K1803" s="74" t="s">
        <v>1125</v>
      </c>
      <c r="L1803" s="75" t="s">
        <v>1113</v>
      </c>
      <c r="M1803" s="76">
        <v>2</v>
      </c>
      <c r="N1803" s="87">
        <v>110</v>
      </c>
      <c r="O1803" s="87"/>
      <c r="P1803" s="78">
        <v>0.49</v>
      </c>
      <c r="Q1803" s="72">
        <f t="shared" ref="Q1803:Q1809" si="241">P1803*$F$10</f>
        <v>21.07</v>
      </c>
      <c r="R1803" s="72">
        <f t="shared" ref="R1803:R1809" si="242">Q1803-Q1803*0.2</f>
        <v>16.856000000000002</v>
      </c>
    </row>
    <row r="1804" spans="1:18" ht="10.5" customHeight="1" x14ac:dyDescent="0.3">
      <c r="A1804" s="359" t="s">
        <v>1974</v>
      </c>
      <c r="B1804" s="22" t="s">
        <v>1125</v>
      </c>
      <c r="C1804" s="23" t="s">
        <v>1113</v>
      </c>
      <c r="D1804" s="24">
        <v>3</v>
      </c>
      <c r="E1804" s="94">
        <v>60</v>
      </c>
      <c r="F1804" s="26">
        <v>0.75</v>
      </c>
      <c r="G1804" s="28">
        <f t="shared" si="239"/>
        <v>32.25</v>
      </c>
      <c r="H1804" s="72">
        <f t="shared" si="240"/>
        <v>25.8</v>
      </c>
      <c r="I1804" s="20"/>
      <c r="J1804" s="307" t="s">
        <v>1975</v>
      </c>
      <c r="K1804" s="22" t="s">
        <v>1125</v>
      </c>
      <c r="L1804" s="23" t="s">
        <v>1113</v>
      </c>
      <c r="M1804" s="24">
        <v>3</v>
      </c>
      <c r="N1804" s="94">
        <v>60</v>
      </c>
      <c r="O1804" s="94"/>
      <c r="P1804" s="26">
        <v>0.71</v>
      </c>
      <c r="Q1804" s="28">
        <f t="shared" si="241"/>
        <v>30.529999999999998</v>
      </c>
      <c r="R1804" s="72">
        <f t="shared" si="242"/>
        <v>24.423999999999999</v>
      </c>
    </row>
    <row r="1805" spans="1:18" ht="10.5" customHeight="1" x14ac:dyDescent="0.3">
      <c r="A1805" s="359" t="s">
        <v>1976</v>
      </c>
      <c r="B1805" s="22" t="s">
        <v>1125</v>
      </c>
      <c r="C1805" s="23" t="s">
        <v>1113</v>
      </c>
      <c r="D1805" s="24">
        <v>4</v>
      </c>
      <c r="E1805" s="94">
        <v>40</v>
      </c>
      <c r="F1805" s="26">
        <v>0.98</v>
      </c>
      <c r="G1805" s="28">
        <f t="shared" si="239"/>
        <v>42.14</v>
      </c>
      <c r="H1805" s="72">
        <f t="shared" si="240"/>
        <v>33.712000000000003</v>
      </c>
      <c r="I1805" s="20"/>
      <c r="J1805" s="307" t="s">
        <v>1977</v>
      </c>
      <c r="K1805" s="22" t="s">
        <v>1125</v>
      </c>
      <c r="L1805" s="23" t="s">
        <v>1113</v>
      </c>
      <c r="M1805" s="24">
        <v>4</v>
      </c>
      <c r="N1805" s="94">
        <v>40</v>
      </c>
      <c r="O1805" s="94"/>
      <c r="P1805" s="26">
        <v>1.26</v>
      </c>
      <c r="Q1805" s="28">
        <f t="shared" si="241"/>
        <v>54.18</v>
      </c>
      <c r="R1805" s="72">
        <f t="shared" si="242"/>
        <v>43.344000000000001</v>
      </c>
    </row>
    <row r="1806" spans="1:18" ht="10.5" customHeight="1" x14ac:dyDescent="0.3">
      <c r="A1806" s="359" t="s">
        <v>1978</v>
      </c>
      <c r="B1806" s="22" t="s">
        <v>1125</v>
      </c>
      <c r="C1806" s="23" t="s">
        <v>1113</v>
      </c>
      <c r="D1806" s="24">
        <v>5</v>
      </c>
      <c r="E1806" s="94">
        <v>32</v>
      </c>
      <c r="F1806" s="26">
        <v>1.72</v>
      </c>
      <c r="G1806" s="28">
        <f t="shared" si="239"/>
        <v>73.959999999999994</v>
      </c>
      <c r="H1806" s="72">
        <f t="shared" si="240"/>
        <v>59.167999999999992</v>
      </c>
      <c r="I1806" s="20"/>
      <c r="J1806" s="307" t="s">
        <v>1979</v>
      </c>
      <c r="K1806" s="22" t="s">
        <v>1125</v>
      </c>
      <c r="L1806" s="23" t="s">
        <v>1113</v>
      </c>
      <c r="M1806" s="24">
        <v>5</v>
      </c>
      <c r="N1806" s="94">
        <v>30</v>
      </c>
      <c r="O1806" s="94"/>
      <c r="P1806" s="26">
        <v>1.99</v>
      </c>
      <c r="Q1806" s="28">
        <f t="shared" si="241"/>
        <v>85.57</v>
      </c>
      <c r="R1806" s="72">
        <f t="shared" si="242"/>
        <v>68.455999999999989</v>
      </c>
    </row>
    <row r="1807" spans="1:18" ht="10.5" customHeight="1" x14ac:dyDescent="0.3">
      <c r="A1807" s="359" t="s">
        <v>1980</v>
      </c>
      <c r="B1807" s="22" t="s">
        <v>1125</v>
      </c>
      <c r="C1807" s="23" t="s">
        <v>1113</v>
      </c>
      <c r="D1807" s="24">
        <v>6</v>
      </c>
      <c r="E1807" s="94">
        <v>18</v>
      </c>
      <c r="F1807" s="26">
        <v>2.36</v>
      </c>
      <c r="G1807" s="28">
        <f t="shared" si="239"/>
        <v>101.47999999999999</v>
      </c>
      <c r="H1807" s="72">
        <f t="shared" si="240"/>
        <v>81.183999999999997</v>
      </c>
      <c r="I1807" s="20"/>
      <c r="J1807" s="307" t="s">
        <v>1981</v>
      </c>
      <c r="K1807" s="22" t="s">
        <v>1125</v>
      </c>
      <c r="L1807" s="23" t="s">
        <v>1113</v>
      </c>
      <c r="M1807" s="24">
        <v>6</v>
      </c>
      <c r="N1807" s="94">
        <v>18</v>
      </c>
      <c r="O1807" s="94"/>
      <c r="P1807" s="26">
        <v>2.79</v>
      </c>
      <c r="Q1807" s="28">
        <f t="shared" si="241"/>
        <v>119.97</v>
      </c>
      <c r="R1807" s="72">
        <f t="shared" si="242"/>
        <v>95.975999999999999</v>
      </c>
    </row>
    <row r="1808" spans="1:18" ht="10.5" customHeight="1" x14ac:dyDescent="0.3">
      <c r="A1808" s="359" t="s">
        <v>1982</v>
      </c>
      <c r="B1808" s="22" t="s">
        <v>1125</v>
      </c>
      <c r="C1808" s="23" t="s">
        <v>1113</v>
      </c>
      <c r="D1808" s="24">
        <v>8</v>
      </c>
      <c r="E1808" s="94">
        <v>10</v>
      </c>
      <c r="F1808" s="26">
        <v>5.43</v>
      </c>
      <c r="G1808" s="28">
        <f t="shared" si="239"/>
        <v>233.48999999999998</v>
      </c>
      <c r="H1808" s="72">
        <f t="shared" si="240"/>
        <v>186.79199999999997</v>
      </c>
      <c r="I1808" s="20"/>
      <c r="J1808" s="307" t="s">
        <v>1983</v>
      </c>
      <c r="K1808" s="22" t="s">
        <v>1125</v>
      </c>
      <c r="L1808" s="23" t="s">
        <v>1113</v>
      </c>
      <c r="M1808" s="24">
        <v>8</v>
      </c>
      <c r="N1808" s="94">
        <v>10</v>
      </c>
      <c r="O1808" s="94"/>
      <c r="P1808" s="26">
        <v>4.78</v>
      </c>
      <c r="Q1808" s="28">
        <f t="shared" si="241"/>
        <v>205.54000000000002</v>
      </c>
      <c r="R1808" s="72">
        <f t="shared" si="242"/>
        <v>164.43200000000002</v>
      </c>
    </row>
    <row r="1809" spans="1:18" ht="10.5" customHeight="1" x14ac:dyDescent="0.3">
      <c r="A1809" s="359" t="s">
        <v>1984</v>
      </c>
      <c r="B1809" s="22" t="s">
        <v>1125</v>
      </c>
      <c r="C1809" s="23" t="s">
        <v>1113</v>
      </c>
      <c r="D1809" s="24">
        <v>10</v>
      </c>
      <c r="E1809" s="94">
        <v>10</v>
      </c>
      <c r="F1809" s="26">
        <v>6.11</v>
      </c>
      <c r="G1809" s="28">
        <f t="shared" si="239"/>
        <v>262.73</v>
      </c>
      <c r="H1809" s="72">
        <f t="shared" si="240"/>
        <v>210.18400000000003</v>
      </c>
      <c r="I1809" s="83"/>
      <c r="J1809" s="360" t="s">
        <v>1985</v>
      </c>
      <c r="K1809" s="74" t="s">
        <v>1125</v>
      </c>
      <c r="L1809" s="75" t="s">
        <v>1113</v>
      </c>
      <c r="M1809" s="76">
        <v>10</v>
      </c>
      <c r="N1809" s="87">
        <v>10</v>
      </c>
      <c r="O1809" s="87"/>
      <c r="P1809" s="78">
        <v>7.7</v>
      </c>
      <c r="Q1809" s="28">
        <f t="shared" si="241"/>
        <v>331.1</v>
      </c>
      <c r="R1809" s="72">
        <f t="shared" si="242"/>
        <v>264.88</v>
      </c>
    </row>
    <row r="1810" spans="1:18" ht="10.5" customHeight="1" x14ac:dyDescent="0.3">
      <c r="A1810" s="20"/>
      <c r="B1810" s="20"/>
      <c r="C1810" s="20"/>
      <c r="D1810" s="20"/>
      <c r="E1810" s="20"/>
      <c r="F1810" s="20"/>
      <c r="G1810" s="20"/>
      <c r="H1810" s="20"/>
      <c r="I1810" s="20"/>
      <c r="J1810" s="20"/>
      <c r="K1810" s="20"/>
      <c r="L1810" s="20"/>
      <c r="M1810" s="20"/>
      <c r="N1810" s="20"/>
      <c r="O1810" s="20"/>
      <c r="P1810" s="20"/>
      <c r="Q1810" s="20"/>
      <c r="R1810" s="20"/>
    </row>
    <row r="1811" spans="1:18" ht="10.5" customHeight="1" x14ac:dyDescent="0.3">
      <c r="A1811" s="166" t="s">
        <v>1986</v>
      </c>
      <c r="B1811" s="308" t="s">
        <v>1987</v>
      </c>
      <c r="C1811" s="49"/>
      <c r="D1811" s="49"/>
      <c r="E1811" s="49"/>
      <c r="F1811" s="49"/>
      <c r="G1811" s="49"/>
      <c r="H1811" s="49"/>
      <c r="I1811" s="50"/>
      <c r="J1811" s="446" t="s">
        <v>78</v>
      </c>
      <c r="K1811" s="446" t="s">
        <v>79</v>
      </c>
      <c r="L1811" s="446"/>
      <c r="M1811" s="446"/>
      <c r="N1811" s="447" t="s">
        <v>1962</v>
      </c>
      <c r="O1811" s="14"/>
      <c r="P1811" s="15"/>
      <c r="Q1811" s="16" t="s">
        <v>81</v>
      </c>
      <c r="R1811" s="17" t="s">
        <v>82</v>
      </c>
    </row>
    <row r="1812" spans="1:18" ht="10.5" customHeight="1" x14ac:dyDescent="0.3">
      <c r="A1812" s="18"/>
      <c r="B1812" s="20"/>
      <c r="C1812" s="20"/>
      <c r="D1812" s="20"/>
      <c r="E1812" s="20"/>
      <c r="F1812" s="20"/>
      <c r="G1812" s="20"/>
      <c r="H1812" s="20"/>
      <c r="I1812" s="101"/>
      <c r="J1812" s="446"/>
      <c r="K1812" s="446"/>
      <c r="L1812" s="446"/>
      <c r="M1812" s="446"/>
      <c r="N1812" s="447"/>
      <c r="O1812" s="14"/>
      <c r="P1812" s="19"/>
      <c r="Q1812" s="15" t="s">
        <v>1963</v>
      </c>
      <c r="R1812" s="15" t="s">
        <v>1963</v>
      </c>
    </row>
    <row r="1813" spans="1:18" ht="10.5" customHeight="1" x14ac:dyDescent="0.3">
      <c r="A1813" s="306" t="s">
        <v>457</v>
      </c>
      <c r="B1813" s="20"/>
      <c r="C1813" s="20"/>
      <c r="D1813" s="20"/>
      <c r="E1813" s="20"/>
      <c r="F1813" s="20"/>
      <c r="G1813" s="20"/>
      <c r="H1813" s="20"/>
      <c r="I1813" s="101"/>
      <c r="J1813" s="263" t="s">
        <v>1988</v>
      </c>
      <c r="K1813" s="74" t="s">
        <v>1125</v>
      </c>
      <c r="L1813" s="75" t="s">
        <v>1113</v>
      </c>
      <c r="M1813" s="180">
        <v>1</v>
      </c>
      <c r="N1813" s="87" t="s">
        <v>101</v>
      </c>
      <c r="O1813" s="87"/>
      <c r="P1813" s="78">
        <v>0.56999999999999995</v>
      </c>
      <c r="Q1813" s="319">
        <f>P1813*$F$10</f>
        <v>24.509999999999998</v>
      </c>
      <c r="R1813" s="72">
        <f>Q1813-Q1813*0.2</f>
        <v>19.607999999999997</v>
      </c>
    </row>
    <row r="1814" spans="1:18" ht="10.5" customHeight="1" x14ac:dyDescent="0.3">
      <c r="A1814" s="18"/>
      <c r="B1814" s="20"/>
      <c r="C1814" s="20"/>
      <c r="D1814" s="20"/>
      <c r="E1814" s="20"/>
      <c r="F1814" s="20"/>
      <c r="G1814" s="20"/>
      <c r="H1814" s="20"/>
      <c r="I1814" s="101"/>
      <c r="J1814" s="307" t="s">
        <v>1989</v>
      </c>
      <c r="K1814" s="22" t="s">
        <v>1125</v>
      </c>
      <c r="L1814" s="23" t="s">
        <v>1113</v>
      </c>
      <c r="M1814" s="132">
        <v>1.2</v>
      </c>
      <c r="N1814" s="94" t="s">
        <v>101</v>
      </c>
      <c r="O1814" s="94"/>
      <c r="P1814" s="26">
        <v>0.63</v>
      </c>
      <c r="Q1814" s="28">
        <f>P1814*$F$10</f>
        <v>27.09</v>
      </c>
      <c r="R1814" s="28">
        <f>Q1814-Q1814*0.2</f>
        <v>21.672000000000001</v>
      </c>
    </row>
    <row r="1815" spans="1:18" ht="10.5" customHeight="1" x14ac:dyDescent="0.3">
      <c r="A1815" s="306" t="s">
        <v>457</v>
      </c>
      <c r="B1815" s="20"/>
      <c r="C1815" s="20"/>
      <c r="D1815" s="20"/>
      <c r="E1815" s="20"/>
      <c r="F1815" s="20"/>
      <c r="G1815" s="20"/>
      <c r="H1815" s="20"/>
      <c r="I1815" s="101"/>
      <c r="J1815" s="263" t="s">
        <v>1990</v>
      </c>
      <c r="K1815" s="74" t="s">
        <v>1125</v>
      </c>
      <c r="L1815" s="75" t="s">
        <v>1113</v>
      </c>
      <c r="M1815" s="180">
        <v>1.4</v>
      </c>
      <c r="N1815" s="87" t="s">
        <v>1434</v>
      </c>
      <c r="O1815" s="87"/>
      <c r="P1815" s="78">
        <v>0.61</v>
      </c>
      <c r="Q1815" s="319">
        <f>P1815*$F$10</f>
        <v>26.23</v>
      </c>
      <c r="R1815" s="72">
        <f>Q1815-Q1815*0.2</f>
        <v>20.984000000000002</v>
      </c>
    </row>
    <row r="1816" spans="1:18" ht="10.5" customHeight="1" x14ac:dyDescent="0.3">
      <c r="A1816" s="18"/>
      <c r="B1816" s="20"/>
      <c r="C1816" s="20"/>
      <c r="D1816" s="20"/>
      <c r="E1816" s="20"/>
      <c r="F1816" s="20"/>
      <c r="G1816" s="20"/>
      <c r="H1816" s="20"/>
      <c r="I1816" s="101"/>
      <c r="J1816" s="307" t="s">
        <v>1991</v>
      </c>
      <c r="K1816" s="22" t="s">
        <v>1125</v>
      </c>
      <c r="L1816" s="23" t="s">
        <v>1113</v>
      </c>
      <c r="M1816" s="132">
        <v>1.6</v>
      </c>
      <c r="N1816" s="94" t="s">
        <v>1434</v>
      </c>
      <c r="O1816" s="94"/>
      <c r="P1816" s="26">
        <v>0.65</v>
      </c>
      <c r="Q1816" s="28">
        <f>P1816*$F$10</f>
        <v>27.95</v>
      </c>
      <c r="R1816" s="28">
        <f>Q1816-Q1816*0.2</f>
        <v>22.36</v>
      </c>
    </row>
    <row r="1817" spans="1:18" ht="10.5" customHeight="1" x14ac:dyDescent="0.3">
      <c r="A1817" s="55"/>
      <c r="B1817" s="83"/>
      <c r="C1817" s="83"/>
      <c r="D1817" s="83"/>
      <c r="E1817" s="83"/>
      <c r="F1817" s="83"/>
      <c r="G1817" s="83"/>
      <c r="H1817" s="83"/>
      <c r="I1817" s="116"/>
      <c r="J1817" s="307" t="s">
        <v>1992</v>
      </c>
      <c r="K1817" s="22" t="s">
        <v>1125</v>
      </c>
      <c r="L1817" s="23" t="s">
        <v>1113</v>
      </c>
      <c r="M1817" s="132">
        <v>2</v>
      </c>
      <c r="N1817" s="94" t="s">
        <v>1993</v>
      </c>
      <c r="O1817" s="94"/>
      <c r="P1817" s="26">
        <v>0.82</v>
      </c>
      <c r="Q1817" s="28">
        <f>P1817*$F$10</f>
        <v>35.26</v>
      </c>
      <c r="R1817" s="28">
        <f>Q1817-Q1817*0.2</f>
        <v>28.207999999999998</v>
      </c>
    </row>
    <row r="1818" spans="1:18" ht="10.5" customHeight="1" x14ac:dyDescent="0.3">
      <c r="A1818" s="20"/>
      <c r="B1818" s="20"/>
      <c r="C1818" s="20"/>
      <c r="D1818" s="20"/>
      <c r="E1818" s="20"/>
      <c r="F1818" s="20"/>
      <c r="G1818" s="20"/>
      <c r="H1818" s="20"/>
      <c r="I1818" s="20"/>
      <c r="J1818" s="20"/>
      <c r="K1818" s="20"/>
      <c r="L1818" s="20"/>
      <c r="M1818" s="20"/>
      <c r="N1818" s="20"/>
      <c r="O1818" s="20"/>
      <c r="P1818" s="20"/>
      <c r="Q1818" s="20"/>
      <c r="R1818" s="20"/>
    </row>
    <row r="1819" spans="1:18" ht="10.5" customHeight="1" x14ac:dyDescent="0.3">
      <c r="A1819" s="209"/>
      <c r="B1819" s="309" t="s">
        <v>1994</v>
      </c>
      <c r="C1819" s="49"/>
      <c r="D1819" s="49"/>
      <c r="E1819" s="49"/>
      <c r="F1819" s="49"/>
      <c r="G1819" s="49"/>
      <c r="H1819" s="49"/>
      <c r="I1819" s="49"/>
      <c r="J1819" s="446" t="s">
        <v>78</v>
      </c>
      <c r="K1819" s="446" t="s">
        <v>79</v>
      </c>
      <c r="L1819" s="446"/>
      <c r="M1819" s="446"/>
      <c r="N1819" s="447" t="s">
        <v>80</v>
      </c>
      <c r="O1819" s="14"/>
      <c r="P1819" s="15"/>
      <c r="Q1819" s="16" t="s">
        <v>81</v>
      </c>
      <c r="R1819" s="17" t="s">
        <v>82</v>
      </c>
    </row>
    <row r="1820" spans="1:18" ht="10.5" customHeight="1" x14ac:dyDescent="0.3">
      <c r="A1820" s="18"/>
      <c r="B1820" s="20"/>
      <c r="C1820" s="20"/>
      <c r="D1820" s="20"/>
      <c r="E1820" s="20"/>
      <c r="F1820" s="20"/>
      <c r="G1820" s="20"/>
      <c r="H1820" s="20"/>
      <c r="I1820" s="20"/>
      <c r="J1820" s="446"/>
      <c r="K1820" s="446"/>
      <c r="L1820" s="446"/>
      <c r="M1820" s="446"/>
      <c r="N1820" s="447"/>
      <c r="O1820" s="14"/>
      <c r="P1820" s="19"/>
      <c r="Q1820" s="15" t="s">
        <v>1995</v>
      </c>
      <c r="R1820" s="15" t="s">
        <v>1995</v>
      </c>
    </row>
    <row r="1821" spans="1:18" ht="10.5" customHeight="1" x14ac:dyDescent="0.3">
      <c r="A1821" s="18"/>
      <c r="B1821" s="20"/>
      <c r="C1821" s="20"/>
      <c r="D1821" s="20"/>
      <c r="E1821" s="20"/>
      <c r="F1821" s="20"/>
      <c r="G1821" s="20"/>
      <c r="H1821" s="20"/>
      <c r="I1821" s="20"/>
      <c r="J1821" s="302">
        <v>310010001</v>
      </c>
      <c r="K1821" s="265"/>
      <c r="L1821" s="277" t="s">
        <v>1996</v>
      </c>
      <c r="M1821" s="312">
        <v>1</v>
      </c>
      <c r="N1821" s="94">
        <v>100</v>
      </c>
      <c r="O1821" s="87"/>
      <c r="P1821" s="78">
        <v>1.08</v>
      </c>
      <c r="Q1821" s="113">
        <f t="shared" ref="Q1821:Q1828" si="243">P1821*$F$10</f>
        <v>46.440000000000005</v>
      </c>
      <c r="R1821" s="72">
        <f t="shared" ref="R1821:R1828" si="244">Q1821-Q1821*0.2</f>
        <v>37.152000000000001</v>
      </c>
    </row>
    <row r="1822" spans="1:18" ht="10.5" customHeight="1" x14ac:dyDescent="0.3">
      <c r="A1822" s="18"/>
      <c r="B1822" s="20"/>
      <c r="C1822" s="20"/>
      <c r="D1822" s="20"/>
      <c r="E1822" s="20"/>
      <c r="F1822" s="20"/>
      <c r="G1822" s="20"/>
      <c r="H1822" s="20"/>
      <c r="I1822" s="20"/>
      <c r="J1822" s="302">
        <v>310010002</v>
      </c>
      <c r="K1822" s="167"/>
      <c r="L1822" s="271" t="s">
        <v>1996</v>
      </c>
      <c r="M1822" s="272">
        <v>2</v>
      </c>
      <c r="N1822" s="87">
        <v>100</v>
      </c>
      <c r="O1822" s="87"/>
      <c r="P1822" s="78">
        <v>1.07</v>
      </c>
      <c r="Q1822" s="113">
        <f t="shared" si="243"/>
        <v>46.010000000000005</v>
      </c>
      <c r="R1822" s="72">
        <f t="shared" si="244"/>
        <v>36.808000000000007</v>
      </c>
    </row>
    <row r="1823" spans="1:18" ht="10.5" customHeight="1" x14ac:dyDescent="0.3">
      <c r="A1823" s="18"/>
      <c r="B1823" s="20"/>
      <c r="C1823" s="20"/>
      <c r="D1823" s="20"/>
      <c r="E1823" s="20"/>
      <c r="F1823" s="20"/>
      <c r="G1823" s="20"/>
      <c r="H1823" s="20"/>
      <c r="I1823" s="20"/>
      <c r="J1823" s="302">
        <v>310010003</v>
      </c>
      <c r="K1823" s="51"/>
      <c r="L1823" s="277" t="s">
        <v>1996</v>
      </c>
      <c r="M1823" s="312">
        <v>3</v>
      </c>
      <c r="N1823" s="94">
        <v>100</v>
      </c>
      <c r="O1823" s="87"/>
      <c r="P1823" s="78">
        <v>1.08</v>
      </c>
      <c r="Q1823" s="111">
        <f t="shared" si="243"/>
        <v>46.440000000000005</v>
      </c>
      <c r="R1823" s="28">
        <f t="shared" si="244"/>
        <v>37.152000000000001</v>
      </c>
    </row>
    <row r="1824" spans="1:18" ht="10.5" customHeight="1" x14ac:dyDescent="0.3">
      <c r="A1824" s="18"/>
      <c r="B1824" s="20"/>
      <c r="C1824" s="20"/>
      <c r="D1824" s="20"/>
      <c r="E1824" s="20"/>
      <c r="F1824" s="20"/>
      <c r="G1824" s="20"/>
      <c r="H1824" s="20"/>
      <c r="I1824" s="20"/>
      <c r="J1824" s="302">
        <v>310010004</v>
      </c>
      <c r="K1824" s="167"/>
      <c r="L1824" s="271" t="s">
        <v>1996</v>
      </c>
      <c r="M1824" s="272">
        <v>4</v>
      </c>
      <c r="N1824" s="94">
        <v>100</v>
      </c>
      <c r="O1824" s="87"/>
      <c r="P1824" s="78">
        <v>1.08</v>
      </c>
      <c r="Q1824" s="113">
        <f t="shared" si="243"/>
        <v>46.440000000000005</v>
      </c>
      <c r="R1824" s="28">
        <f t="shared" si="244"/>
        <v>37.152000000000001</v>
      </c>
    </row>
    <row r="1825" spans="1:18" ht="10.5" customHeight="1" x14ac:dyDescent="0.3">
      <c r="A1825" s="18"/>
      <c r="B1825" s="20"/>
      <c r="C1825" s="20"/>
      <c r="D1825" s="20"/>
      <c r="E1825" s="20"/>
      <c r="F1825" s="20"/>
      <c r="G1825" s="20"/>
      <c r="H1825" s="20"/>
      <c r="I1825" s="20"/>
      <c r="J1825" s="302">
        <v>310010005</v>
      </c>
      <c r="K1825" s="51"/>
      <c r="L1825" s="277" t="s">
        <v>1996</v>
      </c>
      <c r="M1825" s="312">
        <v>5</v>
      </c>
      <c r="N1825" s="94">
        <v>80</v>
      </c>
      <c r="O1825" s="87"/>
      <c r="P1825" s="78">
        <v>1.08</v>
      </c>
      <c r="Q1825" s="111">
        <f t="shared" si="243"/>
        <v>46.440000000000005</v>
      </c>
      <c r="R1825" s="28">
        <f t="shared" si="244"/>
        <v>37.152000000000001</v>
      </c>
    </row>
    <row r="1826" spans="1:18" ht="10.5" customHeight="1" x14ac:dyDescent="0.3">
      <c r="A1826" s="459"/>
      <c r="B1826" s="460"/>
      <c r="C1826" s="460"/>
      <c r="D1826" s="460"/>
      <c r="E1826" s="461"/>
      <c r="F1826" s="172"/>
      <c r="G1826" s="173"/>
      <c r="H1826" s="174"/>
      <c r="I1826" s="20"/>
      <c r="J1826" s="302">
        <v>310010006</v>
      </c>
      <c r="K1826" s="22"/>
      <c r="L1826" s="277" t="s">
        <v>1996</v>
      </c>
      <c r="M1826" s="218">
        <v>6</v>
      </c>
      <c r="N1826" s="94">
        <v>80</v>
      </c>
      <c r="O1826" s="87"/>
      <c r="P1826" s="78">
        <v>1.08</v>
      </c>
      <c r="Q1826" s="113">
        <f t="shared" si="243"/>
        <v>46.440000000000005</v>
      </c>
      <c r="R1826" s="28">
        <f t="shared" si="244"/>
        <v>37.152000000000001</v>
      </c>
    </row>
    <row r="1827" spans="1:18" ht="10.5" customHeight="1" x14ac:dyDescent="0.3">
      <c r="A1827" s="459"/>
      <c r="B1827" s="460"/>
      <c r="C1827" s="460"/>
      <c r="D1827" s="460"/>
      <c r="E1827" s="461"/>
      <c r="F1827" s="175"/>
      <c r="G1827" s="172"/>
      <c r="H1827" s="172"/>
      <c r="I1827" s="20"/>
      <c r="J1827" s="302">
        <v>310010007</v>
      </c>
      <c r="K1827" s="22"/>
      <c r="L1827" s="277" t="s">
        <v>1996</v>
      </c>
      <c r="M1827" s="218">
        <v>7</v>
      </c>
      <c r="N1827" s="94" t="s">
        <v>192</v>
      </c>
      <c r="O1827" s="87"/>
      <c r="P1827" s="78">
        <v>1.22</v>
      </c>
      <c r="Q1827" s="111">
        <f t="shared" si="243"/>
        <v>52.46</v>
      </c>
      <c r="R1827" s="28">
        <f t="shared" si="244"/>
        <v>41.968000000000004</v>
      </c>
    </row>
    <row r="1828" spans="1:18" ht="10.5" customHeight="1" x14ac:dyDescent="0.3">
      <c r="A1828" s="55"/>
      <c r="B1828" s="83"/>
      <c r="C1828" s="83"/>
      <c r="D1828" s="83"/>
      <c r="E1828" s="83"/>
      <c r="F1828" s="83"/>
      <c r="G1828" s="83"/>
      <c r="H1828" s="83"/>
      <c r="I1828" s="83"/>
      <c r="J1828" s="302">
        <v>310010008</v>
      </c>
      <c r="K1828" s="22"/>
      <c r="L1828" s="277" t="s">
        <v>1996</v>
      </c>
      <c r="M1828" s="218">
        <v>8</v>
      </c>
      <c r="N1828" s="94" t="s">
        <v>192</v>
      </c>
      <c r="O1828" s="87"/>
      <c r="P1828" s="78">
        <v>1.22</v>
      </c>
      <c r="Q1828" s="113">
        <f t="shared" si="243"/>
        <v>52.46</v>
      </c>
      <c r="R1828" s="28">
        <f t="shared" si="244"/>
        <v>41.968000000000004</v>
      </c>
    </row>
    <row r="1829" spans="1:18" ht="10.5" customHeight="1" x14ac:dyDescent="0.3">
      <c r="A1829" s="20"/>
      <c r="B1829" s="20"/>
      <c r="C1829" s="20"/>
      <c r="D1829" s="20"/>
      <c r="E1829" s="20"/>
      <c r="F1829" s="20"/>
      <c r="G1829" s="20"/>
      <c r="H1829" s="20"/>
      <c r="I1829" s="20"/>
      <c r="J1829" s="20"/>
      <c r="K1829" s="20"/>
      <c r="L1829" s="20"/>
      <c r="M1829" s="20"/>
      <c r="N1829" s="20"/>
      <c r="O1829" s="20"/>
      <c r="P1829" s="20"/>
      <c r="Q1829" s="20"/>
      <c r="R1829" s="20"/>
    </row>
    <row r="1830" spans="1:18" ht="10.5" customHeight="1" x14ac:dyDescent="0.3">
      <c r="A1830" s="20"/>
      <c r="B1830" s="20"/>
      <c r="C1830" s="20"/>
      <c r="D1830" s="20"/>
      <c r="E1830" s="20"/>
      <c r="F1830" s="20"/>
      <c r="G1830" s="20"/>
      <c r="H1830" s="20"/>
      <c r="I1830" s="20"/>
      <c r="J1830" s="275"/>
      <c r="K1830" s="40"/>
      <c r="L1830" s="41"/>
      <c r="M1830" s="42"/>
      <c r="N1830" s="97"/>
      <c r="O1830" s="97"/>
      <c r="P1830" s="44"/>
      <c r="Q1830" s="46"/>
      <c r="R1830" s="46"/>
    </row>
    <row r="1831" spans="1:18" ht="10.5" customHeight="1" x14ac:dyDescent="0.3">
      <c r="A1831" s="20"/>
      <c r="B1831" s="20"/>
      <c r="C1831" s="20"/>
      <c r="D1831" s="20"/>
      <c r="E1831" s="20"/>
      <c r="F1831" s="20"/>
      <c r="G1831" s="20"/>
      <c r="H1831" s="20"/>
      <c r="I1831" s="20"/>
      <c r="J1831" s="275"/>
      <c r="K1831" s="40"/>
      <c r="L1831" s="41"/>
      <c r="M1831" s="42"/>
      <c r="N1831" s="97"/>
      <c r="O1831" s="97"/>
      <c r="P1831" s="44"/>
      <c r="Q1831" s="46"/>
      <c r="R1831" s="46"/>
    </row>
    <row r="1832" spans="1:18" ht="10.5" customHeight="1" x14ac:dyDescent="0.3">
      <c r="A1832" s="20"/>
      <c r="B1832" s="20"/>
      <c r="C1832" s="20"/>
      <c r="D1832" s="20"/>
      <c r="E1832" s="20"/>
      <c r="F1832" s="20"/>
      <c r="G1832" s="20"/>
      <c r="H1832" s="20"/>
      <c r="I1832" s="20"/>
      <c r="J1832" s="275"/>
      <c r="K1832" s="40"/>
      <c r="L1832" s="41"/>
      <c r="M1832" s="42"/>
      <c r="N1832" s="97"/>
      <c r="O1832" s="97"/>
      <c r="P1832" s="44"/>
      <c r="Q1832" s="46"/>
      <c r="R1832" s="46"/>
    </row>
    <row r="1833" spans="1:18" ht="10.5" customHeight="1" x14ac:dyDescent="0.3">
      <c r="A1833" s="20"/>
      <c r="B1833" s="20"/>
      <c r="C1833" s="20"/>
      <c r="D1833" s="20"/>
      <c r="E1833" s="20"/>
      <c r="F1833" s="20"/>
      <c r="G1833" s="20"/>
      <c r="H1833" s="20"/>
      <c r="I1833" s="20"/>
      <c r="J1833" s="20"/>
      <c r="K1833" s="20"/>
      <c r="L1833" s="20"/>
      <c r="M1833" s="20"/>
      <c r="N1833" s="20"/>
      <c r="O1833" s="20"/>
      <c r="P1833" s="20"/>
      <c r="Q1833" s="20"/>
      <c r="R1833" s="20"/>
    </row>
    <row r="1834" spans="1:18" ht="10.5" customHeight="1" x14ac:dyDescent="0.3">
      <c r="A1834" s="20"/>
      <c r="B1834" s="20"/>
      <c r="C1834" s="20"/>
      <c r="D1834" s="20"/>
      <c r="E1834" s="20"/>
      <c r="F1834" s="20"/>
      <c r="G1834" s="20"/>
      <c r="H1834" s="20"/>
      <c r="I1834" s="20"/>
      <c r="J1834" s="275"/>
      <c r="K1834" s="40"/>
      <c r="L1834" s="41"/>
      <c r="M1834" s="42"/>
      <c r="N1834" s="97"/>
      <c r="O1834" s="97"/>
      <c r="P1834" s="44"/>
      <c r="Q1834" s="46"/>
      <c r="R1834" s="46"/>
    </row>
    <row r="1835" spans="1:18" ht="10.5" customHeight="1" x14ac:dyDescent="0.3">
      <c r="A1835" s="20"/>
      <c r="B1835" s="20"/>
      <c r="C1835" s="20"/>
      <c r="D1835" s="20"/>
      <c r="E1835" s="20"/>
      <c r="F1835" s="20"/>
      <c r="G1835" s="20"/>
      <c r="H1835" s="20"/>
      <c r="I1835" s="20"/>
      <c r="J1835" s="275"/>
      <c r="K1835" s="40"/>
      <c r="L1835" s="41"/>
      <c r="M1835" s="42"/>
      <c r="N1835" s="97"/>
      <c r="O1835" s="97"/>
      <c r="P1835" s="44"/>
      <c r="Q1835" s="46"/>
      <c r="R1835" s="46"/>
    </row>
    <row r="1836" spans="1:18" ht="10.5" customHeight="1" x14ac:dyDescent="0.3">
      <c r="A1836" s="20"/>
      <c r="B1836" s="20"/>
      <c r="C1836" s="20"/>
      <c r="D1836" s="20"/>
      <c r="E1836" s="20"/>
      <c r="F1836" s="20"/>
      <c r="G1836" s="20"/>
      <c r="H1836" s="20"/>
      <c r="I1836" s="20"/>
      <c r="J1836" s="275"/>
      <c r="K1836" s="40"/>
      <c r="L1836" s="41"/>
      <c r="M1836" s="42"/>
      <c r="N1836" s="97"/>
      <c r="O1836" s="97"/>
      <c r="P1836" s="44"/>
      <c r="Q1836" s="46"/>
      <c r="R1836" s="46"/>
    </row>
    <row r="1837" spans="1:18" ht="10.5" customHeight="1" x14ac:dyDescent="0.3">
      <c r="A1837" s="20"/>
      <c r="B1837" s="20"/>
      <c r="C1837" s="20"/>
      <c r="D1837" s="20"/>
      <c r="E1837" s="20"/>
      <c r="F1837" s="20"/>
      <c r="G1837" s="20"/>
      <c r="H1837" s="20"/>
      <c r="I1837" s="20"/>
      <c r="J1837" s="20"/>
      <c r="K1837" s="20"/>
      <c r="L1837" s="20"/>
      <c r="M1837" s="20"/>
      <c r="N1837" s="20"/>
      <c r="O1837" s="20"/>
      <c r="P1837" s="20"/>
      <c r="Q1837" s="20"/>
      <c r="R1837" s="20"/>
    </row>
    <row r="1838" spans="1:18" ht="10.5" customHeight="1" x14ac:dyDescent="0.3">
      <c r="A1838" s="20"/>
      <c r="B1838" s="20"/>
      <c r="C1838" s="20"/>
      <c r="D1838" s="20"/>
      <c r="E1838" s="20"/>
      <c r="F1838" s="20"/>
      <c r="G1838" s="20"/>
      <c r="H1838" s="20"/>
      <c r="I1838" s="20"/>
      <c r="J1838" s="275"/>
      <c r="K1838" s="40"/>
      <c r="L1838" s="41"/>
      <c r="M1838" s="42"/>
      <c r="N1838" s="97"/>
      <c r="O1838" s="97"/>
      <c r="P1838" s="44"/>
      <c r="Q1838" s="46"/>
      <c r="R1838" s="46"/>
    </row>
    <row r="1839" spans="1:18" ht="10.5" customHeight="1" x14ac:dyDescent="0.3">
      <c r="A1839" s="20"/>
      <c r="B1839" s="20"/>
      <c r="C1839" s="20"/>
      <c r="D1839" s="20"/>
      <c r="E1839" s="20"/>
      <c r="F1839" s="20"/>
      <c r="G1839" s="20"/>
      <c r="H1839" s="20"/>
      <c r="I1839" s="20"/>
      <c r="J1839" s="275"/>
      <c r="K1839" s="40"/>
      <c r="L1839" s="41"/>
      <c r="M1839" s="42"/>
      <c r="N1839" s="97"/>
      <c r="O1839" s="97"/>
      <c r="P1839" s="44"/>
      <c r="Q1839" s="46"/>
      <c r="R1839" s="46"/>
    </row>
    <row r="1840" spans="1:18" ht="10.5" customHeight="1" x14ac:dyDescent="0.3">
      <c r="A1840" s="20"/>
      <c r="B1840" s="20"/>
      <c r="C1840" s="20"/>
      <c r="D1840" s="20"/>
      <c r="E1840" s="20"/>
      <c r="F1840" s="20"/>
      <c r="G1840" s="20"/>
      <c r="H1840" s="20"/>
      <c r="I1840" s="20"/>
      <c r="J1840" s="275"/>
      <c r="K1840" s="40"/>
      <c r="L1840" s="41"/>
      <c r="M1840" s="42"/>
      <c r="N1840" s="97"/>
      <c r="O1840" s="97"/>
      <c r="P1840" s="44"/>
      <c r="Q1840" s="46"/>
      <c r="R1840" s="46"/>
    </row>
    <row r="1841" spans="1:18" ht="15" customHeight="1" x14ac:dyDescent="0.3">
      <c r="A1841" s="448" t="s">
        <v>1997</v>
      </c>
      <c r="B1841" s="448"/>
      <c r="C1841" s="448"/>
      <c r="D1841" s="448"/>
      <c r="E1841" s="448"/>
      <c r="F1841" s="448"/>
      <c r="G1841" s="448"/>
      <c r="H1841" s="448"/>
      <c r="I1841" s="448"/>
      <c r="J1841" s="448"/>
      <c r="K1841" s="448"/>
      <c r="L1841" s="448"/>
      <c r="M1841" s="448"/>
      <c r="N1841" s="448"/>
      <c r="O1841" s="448"/>
      <c r="P1841" s="448"/>
      <c r="Q1841" s="448"/>
      <c r="R1841" s="448"/>
    </row>
    <row r="1842" spans="1:18" ht="10.5" customHeight="1" x14ac:dyDescent="0.3">
      <c r="A1842" s="20"/>
      <c r="B1842" s="20"/>
      <c r="C1842" s="20"/>
      <c r="D1842" s="20"/>
      <c r="E1842" s="20"/>
      <c r="F1842" s="20"/>
      <c r="G1842" s="20"/>
      <c r="H1842" s="20"/>
      <c r="I1842" s="20"/>
      <c r="J1842" s="20"/>
      <c r="K1842" s="20"/>
      <c r="L1842" s="20"/>
      <c r="M1842" s="20"/>
      <c r="N1842" s="20"/>
      <c r="O1842" s="20"/>
      <c r="P1842" s="20"/>
      <c r="Q1842" s="20"/>
      <c r="R1842" s="20"/>
    </row>
    <row r="1843" spans="1:18" ht="10.5" customHeight="1" x14ac:dyDescent="0.3">
      <c r="A1843" s="166" t="s">
        <v>1998</v>
      </c>
      <c r="B1843" s="48" t="s">
        <v>1999</v>
      </c>
      <c r="C1843" s="49"/>
      <c r="D1843" s="49"/>
      <c r="E1843" s="49"/>
      <c r="F1843" s="49"/>
      <c r="G1843" s="49"/>
      <c r="H1843" s="49"/>
      <c r="I1843" s="49"/>
      <c r="J1843" s="452" t="s">
        <v>78</v>
      </c>
      <c r="K1843" s="477" t="s">
        <v>79</v>
      </c>
      <c r="L1843" s="477"/>
      <c r="M1843" s="477"/>
      <c r="N1843" s="473" t="s">
        <v>80</v>
      </c>
      <c r="O1843" s="434"/>
      <c r="P1843" s="61"/>
      <c r="Q1843" s="16" t="s">
        <v>81</v>
      </c>
      <c r="R1843" s="17" t="s">
        <v>82</v>
      </c>
    </row>
    <row r="1844" spans="1:18" ht="10.5" customHeight="1" thickTop="1" x14ac:dyDescent="0.3">
      <c r="A1844" s="18"/>
      <c r="B1844" s="20"/>
      <c r="C1844" s="20"/>
      <c r="D1844" s="20"/>
      <c r="E1844" s="20"/>
      <c r="F1844" s="20"/>
      <c r="G1844" s="20"/>
      <c r="H1844" s="20"/>
      <c r="I1844" s="20"/>
      <c r="J1844" s="452"/>
      <c r="K1844" s="477"/>
      <c r="L1844" s="477"/>
      <c r="M1844" s="477"/>
      <c r="N1844" s="473"/>
      <c r="O1844" s="369"/>
      <c r="P1844" s="68"/>
      <c r="Q1844" s="69" t="s">
        <v>375</v>
      </c>
      <c r="R1844" s="69" t="s">
        <v>375</v>
      </c>
    </row>
    <row r="1845" spans="1:18" ht="10.5" customHeight="1" x14ac:dyDescent="0.3">
      <c r="A1845" s="18"/>
      <c r="B1845" s="20"/>
      <c r="C1845" s="20"/>
      <c r="D1845" s="20"/>
      <c r="E1845" s="20"/>
      <c r="F1845" s="20"/>
      <c r="G1845" s="20"/>
      <c r="H1845" s="20"/>
      <c r="I1845" s="20"/>
      <c r="J1845" s="361" t="s">
        <v>2000</v>
      </c>
      <c r="K1845" s="486" t="s">
        <v>2001</v>
      </c>
      <c r="L1845" s="486"/>
      <c r="M1845" s="486"/>
      <c r="N1845" s="291" t="s">
        <v>11</v>
      </c>
      <c r="O1845" s="291"/>
      <c r="P1845" s="292">
        <v>1.46</v>
      </c>
      <c r="Q1845" s="319">
        <f t="shared" ref="Q1845:Q1867" si="245">P1845*$F$10</f>
        <v>62.78</v>
      </c>
      <c r="R1845" s="319">
        <f t="shared" ref="R1845:R1867" si="246">Q1845-Q1845*0.2</f>
        <v>50.224000000000004</v>
      </c>
    </row>
    <row r="1846" spans="1:18" ht="10.5" customHeight="1" x14ac:dyDescent="0.3">
      <c r="A1846" s="18"/>
      <c r="B1846" s="20"/>
      <c r="C1846" s="20"/>
      <c r="D1846" s="20"/>
      <c r="E1846" s="20"/>
      <c r="F1846" s="20"/>
      <c r="G1846" s="20"/>
      <c r="H1846" s="20"/>
      <c r="I1846" s="20"/>
      <c r="J1846" s="251" t="s">
        <v>2002</v>
      </c>
      <c r="K1846" s="471" t="s">
        <v>2003</v>
      </c>
      <c r="L1846" s="471"/>
      <c r="M1846" s="471"/>
      <c r="N1846" s="66" t="s">
        <v>11</v>
      </c>
      <c r="O1846" s="66"/>
      <c r="P1846" s="67">
        <v>1.59</v>
      </c>
      <c r="Q1846" s="28">
        <f t="shared" si="245"/>
        <v>68.37</v>
      </c>
      <c r="R1846" s="28">
        <f t="shared" si="246"/>
        <v>54.696000000000005</v>
      </c>
    </row>
    <row r="1847" spans="1:18" ht="10.5" customHeight="1" x14ac:dyDescent="0.3">
      <c r="A1847" s="262"/>
      <c r="B1847" s="20"/>
      <c r="C1847" s="20"/>
      <c r="D1847" s="20"/>
      <c r="E1847" s="20"/>
      <c r="F1847" s="20"/>
      <c r="G1847" s="20"/>
      <c r="H1847" s="20"/>
      <c r="I1847" s="20"/>
      <c r="J1847" s="62" t="s">
        <v>2004</v>
      </c>
      <c r="K1847" s="471" t="s">
        <v>2005</v>
      </c>
      <c r="L1847" s="471"/>
      <c r="M1847" s="471"/>
      <c r="N1847" s="66" t="s">
        <v>11</v>
      </c>
      <c r="O1847" s="66"/>
      <c r="P1847" s="67">
        <v>1.99</v>
      </c>
      <c r="Q1847" s="28">
        <f t="shared" si="245"/>
        <v>85.57</v>
      </c>
      <c r="R1847" s="28">
        <f t="shared" si="246"/>
        <v>68.455999999999989</v>
      </c>
    </row>
    <row r="1848" spans="1:18" ht="10.5" customHeight="1" x14ac:dyDescent="0.3">
      <c r="A1848" s="262" t="s">
        <v>2006</v>
      </c>
      <c r="B1848" s="20"/>
      <c r="C1848" s="20"/>
      <c r="D1848" s="20"/>
      <c r="E1848" s="20"/>
      <c r="F1848" s="20"/>
      <c r="G1848" s="20"/>
      <c r="H1848" s="20"/>
      <c r="I1848" s="20"/>
      <c r="J1848" s="62" t="s">
        <v>2007</v>
      </c>
      <c r="K1848" s="471" t="s">
        <v>2008</v>
      </c>
      <c r="L1848" s="471"/>
      <c r="M1848" s="471"/>
      <c r="N1848" s="66" t="s">
        <v>11</v>
      </c>
      <c r="O1848" s="66"/>
      <c r="P1848" s="67">
        <v>0.88</v>
      </c>
      <c r="Q1848" s="28">
        <f t="shared" si="245"/>
        <v>37.840000000000003</v>
      </c>
      <c r="R1848" s="28">
        <f t="shared" si="246"/>
        <v>30.272000000000002</v>
      </c>
    </row>
    <row r="1849" spans="1:18" ht="10.5" customHeight="1" thickBot="1" x14ac:dyDescent="0.35">
      <c r="A1849" s="446" t="s">
        <v>78</v>
      </c>
      <c r="B1849" s="487" t="s">
        <v>79</v>
      </c>
      <c r="C1849" s="487"/>
      <c r="D1849" s="487"/>
      <c r="E1849" s="488" t="s">
        <v>80</v>
      </c>
      <c r="F1849" s="61"/>
      <c r="G1849" s="16" t="s">
        <v>81</v>
      </c>
      <c r="H1849" s="17" t="s">
        <v>82</v>
      </c>
      <c r="I1849" s="20"/>
      <c r="J1849" s="62" t="s">
        <v>2009</v>
      </c>
      <c r="K1849" s="471" t="s">
        <v>2010</v>
      </c>
      <c r="L1849" s="471"/>
      <c r="M1849" s="471"/>
      <c r="N1849" s="66" t="s">
        <v>11</v>
      </c>
      <c r="O1849" s="66"/>
      <c r="P1849" s="67">
        <v>1.24</v>
      </c>
      <c r="Q1849" s="28">
        <f t="shared" si="245"/>
        <v>53.32</v>
      </c>
      <c r="R1849" s="28">
        <f t="shared" si="246"/>
        <v>42.655999999999999</v>
      </c>
    </row>
    <row r="1850" spans="1:18" ht="10.5" customHeight="1" thickTop="1" x14ac:dyDescent="0.3">
      <c r="A1850" s="446"/>
      <c r="B1850" s="487"/>
      <c r="C1850" s="487"/>
      <c r="D1850" s="487"/>
      <c r="E1850" s="488"/>
      <c r="F1850" s="103"/>
      <c r="G1850" s="362" t="s">
        <v>84</v>
      </c>
      <c r="H1850" s="104" t="s">
        <v>84</v>
      </c>
      <c r="I1850" s="20"/>
      <c r="J1850" s="62" t="s">
        <v>2011</v>
      </c>
      <c r="K1850" s="471" t="s">
        <v>2012</v>
      </c>
      <c r="L1850" s="471"/>
      <c r="M1850" s="471"/>
      <c r="N1850" s="66" t="s">
        <v>11</v>
      </c>
      <c r="O1850" s="66"/>
      <c r="P1850" s="67">
        <v>1.59</v>
      </c>
      <c r="Q1850" s="28">
        <f t="shared" si="245"/>
        <v>68.37</v>
      </c>
      <c r="R1850" s="28">
        <f t="shared" si="246"/>
        <v>54.696000000000005</v>
      </c>
    </row>
    <row r="1851" spans="1:18" ht="10.5" customHeight="1" x14ac:dyDescent="0.3">
      <c r="A1851" s="251" t="s">
        <v>2013</v>
      </c>
      <c r="B1851" s="471" t="s">
        <v>2014</v>
      </c>
      <c r="C1851" s="471"/>
      <c r="D1851" s="471"/>
      <c r="E1851" s="66" t="s">
        <v>11</v>
      </c>
      <c r="F1851" s="67">
        <v>0.21</v>
      </c>
      <c r="G1851" s="28">
        <f t="shared" ref="G1851:G1867" si="247">F1851*$F$10</f>
        <v>9.0299999999999994</v>
      </c>
      <c r="H1851" s="28">
        <f t="shared" ref="H1851:H1867" si="248">G1851-G1851*0.2</f>
        <v>7.2239999999999993</v>
      </c>
      <c r="I1851" s="20"/>
      <c r="J1851" s="62" t="s">
        <v>2015</v>
      </c>
      <c r="K1851" s="471" t="s">
        <v>2016</v>
      </c>
      <c r="L1851" s="471"/>
      <c r="M1851" s="471"/>
      <c r="N1851" s="66" t="s">
        <v>11</v>
      </c>
      <c r="O1851" s="66"/>
      <c r="P1851" s="67">
        <v>1.77</v>
      </c>
      <c r="Q1851" s="28">
        <f t="shared" si="245"/>
        <v>76.11</v>
      </c>
      <c r="R1851" s="28">
        <f t="shared" si="246"/>
        <v>60.887999999999998</v>
      </c>
    </row>
    <row r="1852" spans="1:18" ht="10.5" customHeight="1" x14ac:dyDescent="0.3">
      <c r="A1852" s="251" t="s">
        <v>2017</v>
      </c>
      <c r="B1852" s="471" t="s">
        <v>2018</v>
      </c>
      <c r="C1852" s="471"/>
      <c r="D1852" s="471"/>
      <c r="E1852" s="66" t="s">
        <v>11</v>
      </c>
      <c r="F1852" s="67">
        <v>0.42</v>
      </c>
      <c r="G1852" s="28">
        <f t="shared" si="247"/>
        <v>18.059999999999999</v>
      </c>
      <c r="H1852" s="28">
        <f t="shared" si="248"/>
        <v>14.447999999999999</v>
      </c>
      <c r="I1852" s="20"/>
      <c r="J1852" s="62" t="s">
        <v>2019</v>
      </c>
      <c r="K1852" s="471" t="s">
        <v>2020</v>
      </c>
      <c r="L1852" s="471"/>
      <c r="M1852" s="471"/>
      <c r="N1852" s="66" t="s">
        <v>11</v>
      </c>
      <c r="O1852" s="66"/>
      <c r="P1852" s="67">
        <v>1.94</v>
      </c>
      <c r="Q1852" s="28">
        <f t="shared" si="245"/>
        <v>83.42</v>
      </c>
      <c r="R1852" s="28">
        <f t="shared" si="246"/>
        <v>66.736000000000004</v>
      </c>
    </row>
    <row r="1853" spans="1:18" ht="10.5" customHeight="1" x14ac:dyDescent="0.3">
      <c r="A1853" s="251" t="s">
        <v>2021</v>
      </c>
      <c r="B1853" s="471" t="s">
        <v>2022</v>
      </c>
      <c r="C1853" s="471"/>
      <c r="D1853" s="471"/>
      <c r="E1853" s="66" t="s">
        <v>11</v>
      </c>
      <c r="F1853" s="67">
        <v>0.53</v>
      </c>
      <c r="G1853" s="28">
        <f t="shared" si="247"/>
        <v>22.790000000000003</v>
      </c>
      <c r="H1853" s="28">
        <f t="shared" si="248"/>
        <v>18.232000000000003</v>
      </c>
      <c r="I1853" s="20"/>
      <c r="J1853" s="62" t="s">
        <v>2023</v>
      </c>
      <c r="K1853" s="471" t="s">
        <v>2024</v>
      </c>
      <c r="L1853" s="471"/>
      <c r="M1853" s="471"/>
      <c r="N1853" s="66" t="s">
        <v>11</v>
      </c>
      <c r="O1853" s="66"/>
      <c r="P1853" s="67">
        <v>2.02</v>
      </c>
      <c r="Q1853" s="28">
        <f t="shared" si="245"/>
        <v>86.86</v>
      </c>
      <c r="R1853" s="28">
        <f t="shared" si="246"/>
        <v>69.488</v>
      </c>
    </row>
    <row r="1854" spans="1:18" ht="10.5" customHeight="1" x14ac:dyDescent="0.3">
      <c r="A1854" s="251" t="s">
        <v>2025</v>
      </c>
      <c r="B1854" s="471" t="s">
        <v>2026</v>
      </c>
      <c r="C1854" s="471"/>
      <c r="D1854" s="471"/>
      <c r="E1854" s="66" t="s">
        <v>11</v>
      </c>
      <c r="F1854" s="67">
        <v>0.63</v>
      </c>
      <c r="G1854" s="28">
        <f t="shared" si="247"/>
        <v>27.09</v>
      </c>
      <c r="H1854" s="28">
        <f t="shared" si="248"/>
        <v>21.672000000000001</v>
      </c>
      <c r="I1854" s="20"/>
      <c r="J1854" s="62" t="s">
        <v>2027</v>
      </c>
      <c r="K1854" s="471" t="s">
        <v>2028</v>
      </c>
      <c r="L1854" s="471"/>
      <c r="M1854" s="471"/>
      <c r="N1854" s="66" t="s">
        <v>11</v>
      </c>
      <c r="O1854" s="66"/>
      <c r="P1854" s="67">
        <v>2.52</v>
      </c>
      <c r="Q1854" s="28">
        <f t="shared" si="245"/>
        <v>108.36</v>
      </c>
      <c r="R1854" s="28">
        <f t="shared" si="246"/>
        <v>86.688000000000002</v>
      </c>
    </row>
    <row r="1855" spans="1:18" ht="10.5" customHeight="1" x14ac:dyDescent="0.3">
      <c r="A1855" s="251" t="s">
        <v>2029</v>
      </c>
      <c r="B1855" s="471" t="s">
        <v>2030</v>
      </c>
      <c r="C1855" s="471"/>
      <c r="D1855" s="471"/>
      <c r="E1855" s="66" t="s">
        <v>11</v>
      </c>
      <c r="F1855" s="67">
        <v>0.74</v>
      </c>
      <c r="G1855" s="28">
        <f t="shared" si="247"/>
        <v>31.82</v>
      </c>
      <c r="H1855" s="28">
        <f t="shared" si="248"/>
        <v>25.456</v>
      </c>
      <c r="I1855" s="20"/>
      <c r="J1855" s="62" t="s">
        <v>2031</v>
      </c>
      <c r="K1855" s="471" t="s">
        <v>2032</v>
      </c>
      <c r="L1855" s="471"/>
      <c r="M1855" s="471"/>
      <c r="N1855" s="66" t="s">
        <v>11</v>
      </c>
      <c r="O1855" s="66"/>
      <c r="P1855" s="67">
        <v>1.47</v>
      </c>
      <c r="Q1855" s="28">
        <f t="shared" si="245"/>
        <v>63.21</v>
      </c>
      <c r="R1855" s="28">
        <f t="shared" si="246"/>
        <v>50.567999999999998</v>
      </c>
    </row>
    <row r="1856" spans="1:18" ht="10.5" customHeight="1" x14ac:dyDescent="0.3">
      <c r="A1856" s="251" t="s">
        <v>2033</v>
      </c>
      <c r="B1856" s="471" t="s">
        <v>2034</v>
      </c>
      <c r="C1856" s="471"/>
      <c r="D1856" s="471"/>
      <c r="E1856" s="66" t="s">
        <v>11</v>
      </c>
      <c r="F1856" s="67">
        <v>0.84</v>
      </c>
      <c r="G1856" s="28">
        <f t="shared" si="247"/>
        <v>36.119999999999997</v>
      </c>
      <c r="H1856" s="28">
        <f t="shared" si="248"/>
        <v>28.895999999999997</v>
      </c>
      <c r="I1856" s="20"/>
      <c r="J1856" s="62" t="s">
        <v>2035</v>
      </c>
      <c r="K1856" s="471" t="s">
        <v>2036</v>
      </c>
      <c r="L1856" s="471"/>
      <c r="M1856" s="471"/>
      <c r="N1856" s="66" t="s">
        <v>11</v>
      </c>
      <c r="O1856" s="66"/>
      <c r="P1856" s="67">
        <v>1.68</v>
      </c>
      <c r="Q1856" s="28">
        <f t="shared" si="245"/>
        <v>72.239999999999995</v>
      </c>
      <c r="R1856" s="28">
        <f t="shared" si="246"/>
        <v>57.791999999999994</v>
      </c>
    </row>
    <row r="1857" spans="1:18" ht="10.5" customHeight="1" x14ac:dyDescent="0.3">
      <c r="A1857" s="251" t="s">
        <v>2037</v>
      </c>
      <c r="B1857" s="471" t="s">
        <v>2038</v>
      </c>
      <c r="C1857" s="471"/>
      <c r="D1857" s="471"/>
      <c r="E1857" s="66" t="s">
        <v>11</v>
      </c>
      <c r="F1857" s="67">
        <v>0.88</v>
      </c>
      <c r="G1857" s="28">
        <f t="shared" si="247"/>
        <v>37.840000000000003</v>
      </c>
      <c r="H1857" s="28">
        <f t="shared" si="248"/>
        <v>30.272000000000002</v>
      </c>
      <c r="I1857" s="20"/>
      <c r="J1857" s="62" t="s">
        <v>2039</v>
      </c>
      <c r="K1857" s="471" t="s">
        <v>2040</v>
      </c>
      <c r="L1857" s="471"/>
      <c r="M1857" s="471"/>
      <c r="N1857" s="66" t="s">
        <v>11</v>
      </c>
      <c r="O1857" s="66"/>
      <c r="P1857" s="67">
        <v>2.1</v>
      </c>
      <c r="Q1857" s="28">
        <f t="shared" si="245"/>
        <v>90.3</v>
      </c>
      <c r="R1857" s="28">
        <f t="shared" si="246"/>
        <v>72.239999999999995</v>
      </c>
    </row>
    <row r="1858" spans="1:18" ht="10.5" customHeight="1" x14ac:dyDescent="0.3">
      <c r="A1858" s="251" t="s">
        <v>2041</v>
      </c>
      <c r="B1858" s="471" t="s">
        <v>2042</v>
      </c>
      <c r="C1858" s="471"/>
      <c r="D1858" s="471"/>
      <c r="E1858" s="66" t="s">
        <v>11</v>
      </c>
      <c r="F1858" s="67">
        <v>0.88</v>
      </c>
      <c r="G1858" s="28">
        <f t="shared" si="247"/>
        <v>37.840000000000003</v>
      </c>
      <c r="H1858" s="28">
        <f t="shared" si="248"/>
        <v>30.272000000000002</v>
      </c>
      <c r="I1858" s="20"/>
      <c r="J1858" s="62" t="s">
        <v>2043</v>
      </c>
      <c r="K1858" s="471" t="s">
        <v>2044</v>
      </c>
      <c r="L1858" s="471"/>
      <c r="M1858" s="471"/>
      <c r="N1858" s="66" t="s">
        <v>11</v>
      </c>
      <c r="O1858" s="66"/>
      <c r="P1858" s="67">
        <v>2.31</v>
      </c>
      <c r="Q1858" s="28">
        <f t="shared" si="245"/>
        <v>99.33</v>
      </c>
      <c r="R1858" s="28">
        <f t="shared" si="246"/>
        <v>79.463999999999999</v>
      </c>
    </row>
    <row r="1859" spans="1:18" ht="10.5" customHeight="1" x14ac:dyDescent="0.3">
      <c r="A1859" s="251" t="s">
        <v>2045</v>
      </c>
      <c r="B1859" s="471" t="s">
        <v>2046</v>
      </c>
      <c r="C1859" s="471"/>
      <c r="D1859" s="471"/>
      <c r="E1859" s="66" t="s">
        <v>11</v>
      </c>
      <c r="F1859" s="67">
        <v>0.99</v>
      </c>
      <c r="G1859" s="28">
        <f t="shared" si="247"/>
        <v>42.57</v>
      </c>
      <c r="H1859" s="28">
        <f t="shared" si="248"/>
        <v>34.055999999999997</v>
      </c>
      <c r="I1859" s="20"/>
      <c r="J1859" s="62" t="s">
        <v>2047</v>
      </c>
      <c r="K1859" s="471" t="s">
        <v>2048</v>
      </c>
      <c r="L1859" s="471"/>
      <c r="M1859" s="471"/>
      <c r="N1859" s="66" t="s">
        <v>11</v>
      </c>
      <c r="O1859" s="66"/>
      <c r="P1859" s="67">
        <v>2.52</v>
      </c>
      <c r="Q1859" s="28">
        <f t="shared" si="245"/>
        <v>108.36</v>
      </c>
      <c r="R1859" s="28">
        <f t="shared" si="246"/>
        <v>86.688000000000002</v>
      </c>
    </row>
    <row r="1860" spans="1:18" ht="10.5" customHeight="1" x14ac:dyDescent="0.3">
      <c r="A1860" s="251" t="s">
        <v>2049</v>
      </c>
      <c r="B1860" s="471" t="s">
        <v>2050</v>
      </c>
      <c r="C1860" s="471"/>
      <c r="D1860" s="471"/>
      <c r="E1860" s="66" t="s">
        <v>11</v>
      </c>
      <c r="F1860" s="67">
        <v>1.1000000000000001</v>
      </c>
      <c r="G1860" s="28">
        <f t="shared" si="247"/>
        <v>47.300000000000004</v>
      </c>
      <c r="H1860" s="28">
        <f t="shared" si="248"/>
        <v>37.840000000000003</v>
      </c>
      <c r="I1860" s="20"/>
      <c r="J1860" s="62" t="s">
        <v>2051</v>
      </c>
      <c r="K1860" s="471" t="s">
        <v>2052</v>
      </c>
      <c r="L1860" s="471"/>
      <c r="M1860" s="471"/>
      <c r="N1860" s="66" t="s">
        <v>11</v>
      </c>
      <c r="O1860" s="66"/>
      <c r="P1860" s="67">
        <v>2.73</v>
      </c>
      <c r="Q1860" s="28">
        <f t="shared" si="245"/>
        <v>117.39</v>
      </c>
      <c r="R1860" s="28">
        <f t="shared" si="246"/>
        <v>93.912000000000006</v>
      </c>
    </row>
    <row r="1861" spans="1:18" ht="10.5" customHeight="1" x14ac:dyDescent="0.3">
      <c r="A1861" s="251" t="s">
        <v>2053</v>
      </c>
      <c r="B1861" s="471" t="s">
        <v>2054</v>
      </c>
      <c r="C1861" s="471"/>
      <c r="D1861" s="471"/>
      <c r="E1861" s="66" t="s">
        <v>11</v>
      </c>
      <c r="F1861" s="67">
        <v>1.33</v>
      </c>
      <c r="G1861" s="28">
        <f t="shared" si="247"/>
        <v>57.190000000000005</v>
      </c>
      <c r="H1861" s="28">
        <f t="shared" si="248"/>
        <v>45.752000000000002</v>
      </c>
      <c r="I1861" s="20"/>
      <c r="J1861" s="62" t="s">
        <v>2055</v>
      </c>
      <c r="K1861" s="471" t="s">
        <v>2056</v>
      </c>
      <c r="L1861" s="471"/>
      <c r="M1861" s="471"/>
      <c r="N1861" s="66" t="s">
        <v>11</v>
      </c>
      <c r="O1861" s="66"/>
      <c r="P1861" s="67">
        <v>2.73</v>
      </c>
      <c r="Q1861" s="28">
        <f t="shared" si="245"/>
        <v>117.39</v>
      </c>
      <c r="R1861" s="28">
        <f t="shared" si="246"/>
        <v>93.912000000000006</v>
      </c>
    </row>
    <row r="1862" spans="1:18" ht="10.5" customHeight="1" x14ac:dyDescent="0.3">
      <c r="A1862" s="251" t="s">
        <v>2057</v>
      </c>
      <c r="B1862" s="471" t="s">
        <v>2058</v>
      </c>
      <c r="C1862" s="471"/>
      <c r="D1862" s="471"/>
      <c r="E1862" s="66" t="s">
        <v>11</v>
      </c>
      <c r="F1862" s="67">
        <v>1.65</v>
      </c>
      <c r="G1862" s="28">
        <f t="shared" si="247"/>
        <v>70.95</v>
      </c>
      <c r="H1862" s="28">
        <f t="shared" si="248"/>
        <v>56.760000000000005</v>
      </c>
      <c r="I1862" s="20"/>
      <c r="J1862" s="62" t="s">
        <v>2059</v>
      </c>
      <c r="K1862" s="471" t="s">
        <v>2060</v>
      </c>
      <c r="L1862" s="471"/>
      <c r="M1862" s="471"/>
      <c r="N1862" s="66" t="s">
        <v>11</v>
      </c>
      <c r="O1862" s="66"/>
      <c r="P1862" s="67">
        <v>3.16</v>
      </c>
      <c r="Q1862" s="28">
        <f t="shared" si="245"/>
        <v>135.88</v>
      </c>
      <c r="R1862" s="28">
        <f t="shared" si="246"/>
        <v>108.70399999999999</v>
      </c>
    </row>
    <row r="1863" spans="1:18" ht="10.5" customHeight="1" x14ac:dyDescent="0.3">
      <c r="A1863" s="251" t="s">
        <v>2061</v>
      </c>
      <c r="B1863" s="471" t="s">
        <v>2062</v>
      </c>
      <c r="C1863" s="471"/>
      <c r="D1863" s="471"/>
      <c r="E1863" s="66" t="s">
        <v>11</v>
      </c>
      <c r="F1863" s="67">
        <v>0.79</v>
      </c>
      <c r="G1863" s="28">
        <f t="shared" si="247"/>
        <v>33.97</v>
      </c>
      <c r="H1863" s="28">
        <f t="shared" si="248"/>
        <v>27.175999999999998</v>
      </c>
      <c r="I1863" s="20"/>
      <c r="J1863" s="62" t="s">
        <v>2063</v>
      </c>
      <c r="K1863" s="471" t="s">
        <v>2064</v>
      </c>
      <c r="L1863" s="471"/>
      <c r="M1863" s="471"/>
      <c r="N1863" s="66" t="s">
        <v>11</v>
      </c>
      <c r="O1863" s="66"/>
      <c r="P1863" s="67">
        <v>3.03</v>
      </c>
      <c r="Q1863" s="28">
        <f t="shared" si="245"/>
        <v>130.29</v>
      </c>
      <c r="R1863" s="28">
        <f t="shared" si="246"/>
        <v>104.232</v>
      </c>
    </row>
    <row r="1864" spans="1:18" ht="10.5" customHeight="1" x14ac:dyDescent="0.3">
      <c r="A1864" s="251" t="s">
        <v>2065</v>
      </c>
      <c r="B1864" s="471" t="s">
        <v>2066</v>
      </c>
      <c r="C1864" s="471"/>
      <c r="D1864" s="471"/>
      <c r="E1864" s="66" t="s">
        <v>11</v>
      </c>
      <c r="F1864" s="67">
        <v>0.93</v>
      </c>
      <c r="G1864" s="28">
        <f t="shared" si="247"/>
        <v>39.99</v>
      </c>
      <c r="H1864" s="28">
        <f t="shared" si="248"/>
        <v>31.992000000000001</v>
      </c>
      <c r="I1864" s="20"/>
      <c r="J1864" s="62" t="s">
        <v>2067</v>
      </c>
      <c r="K1864" s="471" t="s">
        <v>2068</v>
      </c>
      <c r="L1864" s="471"/>
      <c r="M1864" s="471"/>
      <c r="N1864" s="66" t="s">
        <v>11</v>
      </c>
      <c r="O1864" s="66"/>
      <c r="P1864" s="67">
        <v>3.78</v>
      </c>
      <c r="Q1864" s="28">
        <f t="shared" si="245"/>
        <v>162.54</v>
      </c>
      <c r="R1864" s="28">
        <f t="shared" si="246"/>
        <v>130.03199999999998</v>
      </c>
    </row>
    <row r="1865" spans="1:18" ht="10.5" customHeight="1" x14ac:dyDescent="0.3">
      <c r="A1865" s="251" t="s">
        <v>2069</v>
      </c>
      <c r="B1865" s="471" t="s">
        <v>2070</v>
      </c>
      <c r="C1865" s="471"/>
      <c r="D1865" s="471"/>
      <c r="E1865" s="66" t="s">
        <v>11</v>
      </c>
      <c r="F1865" s="67">
        <v>1.06</v>
      </c>
      <c r="G1865" s="28">
        <f t="shared" si="247"/>
        <v>45.580000000000005</v>
      </c>
      <c r="H1865" s="28">
        <f t="shared" si="248"/>
        <v>36.464000000000006</v>
      </c>
      <c r="I1865" s="20"/>
      <c r="J1865" s="62" t="s">
        <v>2071</v>
      </c>
      <c r="K1865" s="471" t="s">
        <v>2072</v>
      </c>
      <c r="L1865" s="471"/>
      <c r="M1865" s="471"/>
      <c r="N1865" s="66" t="s">
        <v>11</v>
      </c>
      <c r="O1865" s="66"/>
      <c r="P1865" s="67">
        <v>5.89</v>
      </c>
      <c r="Q1865" s="28">
        <f t="shared" si="245"/>
        <v>253.26999999999998</v>
      </c>
      <c r="R1865" s="28">
        <f t="shared" si="246"/>
        <v>202.61599999999999</v>
      </c>
    </row>
    <row r="1866" spans="1:18" ht="10.5" customHeight="1" x14ac:dyDescent="0.3">
      <c r="A1866" s="251" t="s">
        <v>2073</v>
      </c>
      <c r="B1866" s="471" t="s">
        <v>2074</v>
      </c>
      <c r="C1866" s="471"/>
      <c r="D1866" s="471"/>
      <c r="E1866" s="66" t="s">
        <v>11</v>
      </c>
      <c r="F1866" s="67">
        <v>1.19</v>
      </c>
      <c r="G1866" s="28">
        <f t="shared" si="247"/>
        <v>51.169999999999995</v>
      </c>
      <c r="H1866" s="28">
        <f t="shared" si="248"/>
        <v>40.935999999999993</v>
      </c>
      <c r="I1866" s="20"/>
      <c r="J1866" s="62" t="s">
        <v>2075</v>
      </c>
      <c r="K1866" s="471" t="s">
        <v>2076</v>
      </c>
      <c r="L1866" s="471"/>
      <c r="M1866" s="471"/>
      <c r="N1866" s="66" t="s">
        <v>11</v>
      </c>
      <c r="O1866" s="66"/>
      <c r="P1866" s="67">
        <v>4.21</v>
      </c>
      <c r="Q1866" s="28">
        <f t="shared" si="245"/>
        <v>181.03</v>
      </c>
      <c r="R1866" s="28">
        <f t="shared" si="246"/>
        <v>144.82400000000001</v>
      </c>
    </row>
    <row r="1867" spans="1:18" ht="10.5" customHeight="1" x14ac:dyDescent="0.3">
      <c r="A1867" s="62" t="s">
        <v>2077</v>
      </c>
      <c r="B1867" s="471" t="s">
        <v>2078</v>
      </c>
      <c r="C1867" s="471"/>
      <c r="D1867" s="471"/>
      <c r="E1867" s="13" t="s">
        <v>11</v>
      </c>
      <c r="F1867" s="418">
        <v>1.33</v>
      </c>
      <c r="G1867" s="28">
        <f t="shared" si="247"/>
        <v>57.190000000000005</v>
      </c>
      <c r="H1867" s="28">
        <f t="shared" si="248"/>
        <v>45.752000000000002</v>
      </c>
      <c r="I1867" s="177"/>
      <c r="J1867" s="21" t="s">
        <v>2079</v>
      </c>
      <c r="K1867" s="446" t="s">
        <v>2080</v>
      </c>
      <c r="L1867" s="446"/>
      <c r="M1867" s="446"/>
      <c r="N1867" s="14" t="s">
        <v>11</v>
      </c>
      <c r="O1867" s="14"/>
      <c r="P1867" s="15">
        <v>12.62</v>
      </c>
      <c r="Q1867" s="28">
        <f t="shared" si="245"/>
        <v>542.66</v>
      </c>
      <c r="R1867" s="28">
        <f t="shared" si="246"/>
        <v>434.12799999999999</v>
      </c>
    </row>
    <row r="1868" spans="1:18" ht="10.5" customHeight="1" x14ac:dyDescent="0.3">
      <c r="A1868" s="20"/>
      <c r="B1868" s="20"/>
      <c r="C1868" s="20"/>
      <c r="D1868" s="20"/>
      <c r="E1868" s="363"/>
      <c r="F1868" s="20"/>
      <c r="G1868" s="20"/>
      <c r="H1868" s="20"/>
      <c r="I1868" s="20"/>
      <c r="J1868" s="364"/>
      <c r="K1868" s="365"/>
      <c r="L1868" s="366"/>
      <c r="M1868" s="366"/>
      <c r="N1868" s="367"/>
      <c r="O1868" s="367"/>
      <c r="P1868" s="368"/>
      <c r="Q1868" s="368"/>
      <c r="R1868" s="368"/>
    </row>
    <row r="1869" spans="1:18" ht="10.5" customHeight="1" x14ac:dyDescent="0.3">
      <c r="A1869" s="166" t="s">
        <v>2081</v>
      </c>
      <c r="B1869" s="48" t="s">
        <v>2082</v>
      </c>
      <c r="C1869" s="49"/>
      <c r="D1869" s="49"/>
      <c r="E1869" s="49"/>
      <c r="F1869" s="49"/>
      <c r="G1869" s="49"/>
      <c r="H1869" s="49"/>
      <c r="I1869" s="49"/>
      <c r="J1869" s="452" t="s">
        <v>78</v>
      </c>
      <c r="K1869" s="477" t="s">
        <v>79</v>
      </c>
      <c r="L1869" s="477"/>
      <c r="M1869" s="477"/>
      <c r="N1869" s="473" t="s">
        <v>80</v>
      </c>
      <c r="O1869" s="434"/>
      <c r="P1869" s="61"/>
      <c r="Q1869" s="16" t="s">
        <v>81</v>
      </c>
      <c r="R1869" s="17" t="s">
        <v>82</v>
      </c>
    </row>
    <row r="1870" spans="1:18" ht="10.5" customHeight="1" x14ac:dyDescent="0.3">
      <c r="A1870" s="18"/>
      <c r="B1870" s="20"/>
      <c r="C1870" s="20"/>
      <c r="D1870" s="20"/>
      <c r="E1870" s="20"/>
      <c r="F1870" s="20"/>
      <c r="G1870" s="20"/>
      <c r="H1870" s="20"/>
      <c r="I1870" s="20"/>
      <c r="J1870" s="452"/>
      <c r="K1870" s="477"/>
      <c r="L1870" s="477"/>
      <c r="M1870" s="477"/>
      <c r="N1870" s="473"/>
      <c r="O1870" s="369"/>
      <c r="P1870" s="68"/>
      <c r="Q1870" s="69" t="s">
        <v>375</v>
      </c>
      <c r="R1870" s="69" t="s">
        <v>375</v>
      </c>
    </row>
    <row r="1871" spans="1:18" ht="10.5" customHeight="1" x14ac:dyDescent="0.3">
      <c r="A1871" s="18"/>
      <c r="B1871" s="20"/>
      <c r="C1871" s="20"/>
      <c r="D1871" s="20"/>
      <c r="E1871" s="20"/>
      <c r="F1871" s="20"/>
      <c r="G1871" s="20"/>
      <c r="H1871" s="20"/>
      <c r="I1871" s="20"/>
      <c r="J1871" s="361" t="s">
        <v>2083</v>
      </c>
      <c r="K1871" s="486" t="s">
        <v>2084</v>
      </c>
      <c r="L1871" s="486"/>
      <c r="M1871" s="486"/>
      <c r="N1871" s="291" t="s">
        <v>11</v>
      </c>
      <c r="O1871" s="291"/>
      <c r="P1871" s="292">
        <v>0.11066319444444446</v>
      </c>
      <c r="Q1871" s="319">
        <f t="shared" ref="Q1871:Q1878" si="249">P1871*$F$10</f>
        <v>4.758517361111112</v>
      </c>
      <c r="R1871" s="319">
        <f t="shared" ref="R1871:R1878" si="250">Q1871-Q1871*0.2</f>
        <v>3.8068138888888896</v>
      </c>
    </row>
    <row r="1872" spans="1:18" ht="10.5" customHeight="1" x14ac:dyDescent="0.3">
      <c r="A1872" s="18"/>
      <c r="B1872" s="20"/>
      <c r="C1872" s="20"/>
      <c r="D1872" s="20"/>
      <c r="E1872" s="20"/>
      <c r="F1872" s="20"/>
      <c r="G1872" s="20"/>
      <c r="H1872" s="20"/>
      <c r="I1872" s="20"/>
      <c r="J1872" s="251" t="s">
        <v>2085</v>
      </c>
      <c r="K1872" s="471" t="s">
        <v>2086</v>
      </c>
      <c r="L1872" s="471"/>
      <c r="M1872" s="471"/>
      <c r="N1872" s="66" t="s">
        <v>11</v>
      </c>
      <c r="O1872" s="66"/>
      <c r="P1872" s="67">
        <v>0.15650937499999998</v>
      </c>
      <c r="Q1872" s="28">
        <f t="shared" si="249"/>
        <v>6.729903124999999</v>
      </c>
      <c r="R1872" s="28">
        <f t="shared" si="250"/>
        <v>5.3839224999999988</v>
      </c>
    </row>
    <row r="1873" spans="1:18" ht="10.5" customHeight="1" x14ac:dyDescent="0.3">
      <c r="A1873" s="262"/>
      <c r="B1873" s="20"/>
      <c r="C1873" s="20"/>
      <c r="D1873" s="20"/>
      <c r="E1873" s="20"/>
      <c r="F1873" s="20"/>
      <c r="G1873" s="20"/>
      <c r="H1873" s="20"/>
      <c r="I1873" s="20"/>
      <c r="J1873" s="62" t="s">
        <v>2087</v>
      </c>
      <c r="K1873" s="471" t="s">
        <v>2088</v>
      </c>
      <c r="L1873" s="471"/>
      <c r="M1873" s="471"/>
      <c r="N1873" s="66" t="s">
        <v>11</v>
      </c>
      <c r="O1873" s="66"/>
      <c r="P1873" s="67">
        <v>0.18022291666666665</v>
      </c>
      <c r="Q1873" s="28">
        <f t="shared" si="249"/>
        <v>7.7495854166666662</v>
      </c>
      <c r="R1873" s="28">
        <f t="shared" si="250"/>
        <v>6.1996683333333333</v>
      </c>
    </row>
    <row r="1874" spans="1:18" ht="10.5" customHeight="1" x14ac:dyDescent="0.3">
      <c r="A1874" s="262" t="s">
        <v>2006</v>
      </c>
      <c r="B1874" s="20"/>
      <c r="C1874" s="20"/>
      <c r="D1874" s="20"/>
      <c r="E1874" s="20"/>
      <c r="F1874" s="20"/>
      <c r="G1874" s="20"/>
      <c r="H1874" s="20"/>
      <c r="I1874" s="20"/>
      <c r="J1874" s="62" t="s">
        <v>2089</v>
      </c>
      <c r="K1874" s="471" t="s">
        <v>2090</v>
      </c>
      <c r="L1874" s="471"/>
      <c r="M1874" s="471"/>
      <c r="N1874" s="66" t="s">
        <v>11</v>
      </c>
      <c r="O1874" s="66"/>
      <c r="P1874" s="67">
        <v>0.21974548611111111</v>
      </c>
      <c r="Q1874" s="28">
        <f t="shared" si="249"/>
        <v>9.4490559027777774</v>
      </c>
      <c r="R1874" s="28">
        <f t="shared" si="250"/>
        <v>7.5592447222222221</v>
      </c>
    </row>
    <row r="1875" spans="1:18" ht="10.5" customHeight="1" x14ac:dyDescent="0.3">
      <c r="A1875" s="446" t="s">
        <v>78</v>
      </c>
      <c r="B1875" s="487" t="s">
        <v>79</v>
      </c>
      <c r="C1875" s="487"/>
      <c r="D1875" s="487"/>
      <c r="E1875" s="488" t="s">
        <v>80</v>
      </c>
      <c r="F1875" s="61"/>
      <c r="G1875" s="16" t="s">
        <v>81</v>
      </c>
      <c r="H1875" s="17" t="s">
        <v>82</v>
      </c>
      <c r="I1875" s="20"/>
      <c r="J1875" s="62" t="s">
        <v>2091</v>
      </c>
      <c r="K1875" s="471" t="s">
        <v>2092</v>
      </c>
      <c r="L1875" s="471"/>
      <c r="M1875" s="471"/>
      <c r="N1875" s="66" t="s">
        <v>11</v>
      </c>
      <c r="O1875" s="66"/>
      <c r="P1875" s="67">
        <v>0.36835034722222221</v>
      </c>
      <c r="Q1875" s="28">
        <f t="shared" si="249"/>
        <v>15.839064930555555</v>
      </c>
      <c r="R1875" s="28">
        <f t="shared" si="250"/>
        <v>12.671251944444444</v>
      </c>
    </row>
    <row r="1876" spans="1:18" ht="10.5" customHeight="1" x14ac:dyDescent="0.3">
      <c r="A1876" s="446"/>
      <c r="B1876" s="487"/>
      <c r="C1876" s="487"/>
      <c r="D1876" s="487"/>
      <c r="E1876" s="488"/>
      <c r="F1876" s="103"/>
      <c r="G1876" s="362" t="s">
        <v>84</v>
      </c>
      <c r="H1876" s="104" t="s">
        <v>84</v>
      </c>
      <c r="I1876" s="20"/>
      <c r="J1876" s="62" t="s">
        <v>2093</v>
      </c>
      <c r="K1876" s="471" t="s">
        <v>2094</v>
      </c>
      <c r="L1876" s="471"/>
      <c r="M1876" s="471"/>
      <c r="N1876" s="66" t="s">
        <v>11</v>
      </c>
      <c r="O1876" s="66"/>
      <c r="P1876" s="67">
        <v>0.85843020833333339</v>
      </c>
      <c r="Q1876" s="28">
        <f t="shared" si="249"/>
        <v>36.912498958333337</v>
      </c>
      <c r="R1876" s="28">
        <f t="shared" si="250"/>
        <v>29.52999916666667</v>
      </c>
    </row>
    <row r="1877" spans="1:18" ht="10.5" customHeight="1" x14ac:dyDescent="0.3">
      <c r="A1877" s="251" t="s">
        <v>2013</v>
      </c>
      <c r="B1877" s="471" t="s">
        <v>2095</v>
      </c>
      <c r="C1877" s="471"/>
      <c r="D1877" s="471"/>
      <c r="E1877" s="66" t="s">
        <v>11</v>
      </c>
      <c r="F1877" s="67">
        <v>9.0111458333333325E-2</v>
      </c>
      <c r="G1877" s="28">
        <f>F1877*$F$10</f>
        <v>3.8747927083333331</v>
      </c>
      <c r="H1877" s="28">
        <f>G1877-G1877*0.2</f>
        <v>3.0998341666666667</v>
      </c>
      <c r="I1877" s="20"/>
      <c r="J1877" s="62" t="s">
        <v>2096</v>
      </c>
      <c r="K1877" s="471" t="s">
        <v>2097</v>
      </c>
      <c r="L1877" s="471"/>
      <c r="M1877" s="471"/>
      <c r="N1877" s="66" t="s">
        <v>11</v>
      </c>
      <c r="O1877" s="66"/>
      <c r="P1877" s="67">
        <v>1.1793534722222221</v>
      </c>
      <c r="Q1877" s="28">
        <f t="shared" si="249"/>
        <v>50.712199305555551</v>
      </c>
      <c r="R1877" s="28">
        <f t="shared" si="250"/>
        <v>40.569759444444443</v>
      </c>
    </row>
    <row r="1878" spans="1:18" ht="10.5" customHeight="1" x14ac:dyDescent="0.3">
      <c r="A1878" s="251" t="s">
        <v>2017</v>
      </c>
      <c r="B1878" s="471" t="s">
        <v>2098</v>
      </c>
      <c r="C1878" s="471"/>
      <c r="D1878" s="471"/>
      <c r="E1878" s="66" t="s">
        <v>11</v>
      </c>
      <c r="F1878" s="67">
        <v>9.6435069444444438E-2</v>
      </c>
      <c r="G1878" s="28">
        <f>F1878*$F$10</f>
        <v>4.1467079861111111</v>
      </c>
      <c r="H1878" s="28">
        <f>G1878-G1878*0.2</f>
        <v>3.3173663888888889</v>
      </c>
      <c r="I1878" s="20"/>
      <c r="J1878" s="62" t="s">
        <v>2099</v>
      </c>
      <c r="K1878" s="471" t="s">
        <v>2100</v>
      </c>
      <c r="L1878" s="471"/>
      <c r="M1878" s="471"/>
      <c r="N1878" s="66" t="s">
        <v>11</v>
      </c>
      <c r="O1878" s="66"/>
      <c r="P1878" s="67">
        <v>2.1879694444444437</v>
      </c>
      <c r="Q1878" s="28">
        <f t="shared" si="249"/>
        <v>94.082686111111087</v>
      </c>
      <c r="R1878" s="28">
        <f t="shared" si="250"/>
        <v>75.266148888888864</v>
      </c>
    </row>
    <row r="1879" spans="1:18" ht="10.5" customHeight="1" x14ac:dyDescent="0.3">
      <c r="A1879" s="20"/>
      <c r="B1879" s="20"/>
      <c r="C1879" s="20"/>
      <c r="D1879" s="20"/>
      <c r="E1879" s="363"/>
      <c r="F1879" s="20"/>
      <c r="G1879" s="20"/>
      <c r="H1879" s="20"/>
      <c r="I1879" s="20"/>
      <c r="J1879" s="364"/>
      <c r="K1879" s="365"/>
      <c r="L1879" s="366"/>
      <c r="M1879" s="366"/>
      <c r="N1879" s="367"/>
      <c r="O1879" s="367"/>
      <c r="P1879" s="368"/>
      <c r="Q1879" s="368"/>
      <c r="R1879" s="368"/>
    </row>
    <row r="1880" spans="1:18" ht="10.5" customHeight="1" x14ac:dyDescent="0.3">
      <c r="A1880" s="166" t="s">
        <v>2101</v>
      </c>
      <c r="B1880" s="48" t="s">
        <v>2102</v>
      </c>
      <c r="C1880" s="49"/>
      <c r="D1880" s="49"/>
      <c r="E1880" s="49"/>
      <c r="F1880" s="49"/>
      <c r="G1880" s="49"/>
      <c r="H1880" s="49"/>
      <c r="I1880" s="49"/>
      <c r="J1880" s="452" t="s">
        <v>78</v>
      </c>
      <c r="K1880" s="477" t="s">
        <v>79</v>
      </c>
      <c r="L1880" s="477"/>
      <c r="M1880" s="477"/>
      <c r="N1880" s="473" t="s">
        <v>80</v>
      </c>
      <c r="O1880" s="434"/>
      <c r="P1880" s="61"/>
      <c r="Q1880" s="16" t="s">
        <v>81</v>
      </c>
      <c r="R1880" s="17" t="s">
        <v>82</v>
      </c>
    </row>
    <row r="1881" spans="1:18" ht="10.5" customHeight="1" thickTop="1" x14ac:dyDescent="0.3">
      <c r="A1881" s="18"/>
      <c r="B1881" s="20"/>
      <c r="C1881" s="20"/>
      <c r="D1881" s="20"/>
      <c r="E1881" s="20"/>
      <c r="F1881" s="20"/>
      <c r="G1881" s="20"/>
      <c r="H1881" s="20"/>
      <c r="I1881" s="20"/>
      <c r="J1881" s="452"/>
      <c r="K1881" s="477"/>
      <c r="L1881" s="477"/>
      <c r="M1881" s="477"/>
      <c r="N1881" s="473"/>
      <c r="O1881" s="369"/>
      <c r="P1881" s="68"/>
      <c r="Q1881" s="69" t="s">
        <v>375</v>
      </c>
      <c r="R1881" s="69" t="s">
        <v>375</v>
      </c>
    </row>
    <row r="1882" spans="1:18" ht="10.5" customHeight="1" x14ac:dyDescent="0.3">
      <c r="A1882" s="18"/>
      <c r="B1882" s="20"/>
      <c r="C1882" s="20"/>
      <c r="D1882" s="20"/>
      <c r="E1882" s="20"/>
      <c r="F1882" s="20"/>
      <c r="G1882" s="20"/>
      <c r="H1882" s="20"/>
      <c r="I1882" s="20"/>
      <c r="J1882" s="361" t="s">
        <v>2103</v>
      </c>
      <c r="K1882" s="486" t="s">
        <v>2104</v>
      </c>
      <c r="L1882" s="486"/>
      <c r="M1882" s="486"/>
      <c r="N1882" s="291" t="s">
        <v>11</v>
      </c>
      <c r="O1882" s="291"/>
      <c r="P1882" s="292">
        <v>0.84</v>
      </c>
      <c r="Q1882" s="319">
        <f>P1882*$F$10</f>
        <v>36.119999999999997</v>
      </c>
      <c r="R1882" s="319">
        <f>Q1882-Q1882*0.2</f>
        <v>28.895999999999997</v>
      </c>
    </row>
    <row r="1883" spans="1:18" ht="10.5" customHeight="1" x14ac:dyDescent="0.3">
      <c r="A1883" s="18"/>
      <c r="B1883" s="20"/>
      <c r="C1883" s="20"/>
      <c r="D1883" s="20"/>
      <c r="E1883" s="20"/>
      <c r="F1883" s="20"/>
      <c r="G1883" s="20"/>
      <c r="H1883" s="20"/>
      <c r="I1883" s="20"/>
      <c r="J1883" s="251" t="s">
        <v>2105</v>
      </c>
      <c r="K1883" s="471" t="s">
        <v>2106</v>
      </c>
      <c r="L1883" s="471"/>
      <c r="M1883" s="471"/>
      <c r="N1883" s="66" t="s">
        <v>11</v>
      </c>
      <c r="O1883" s="66"/>
      <c r="P1883" s="67">
        <v>1.48</v>
      </c>
      <c r="Q1883" s="28">
        <f>P1883*$F$10</f>
        <v>63.64</v>
      </c>
      <c r="R1883" s="28">
        <f>Q1883-Q1883*0.2</f>
        <v>50.911999999999999</v>
      </c>
    </row>
    <row r="1884" spans="1:18" ht="10.5" customHeight="1" x14ac:dyDescent="0.3">
      <c r="A1884" s="328" t="s">
        <v>2006</v>
      </c>
      <c r="B1884" s="489"/>
      <c r="C1884" s="489"/>
      <c r="D1884" s="489"/>
      <c r="E1884" s="369"/>
      <c r="F1884" s="370"/>
      <c r="G1884" s="371"/>
      <c r="H1884" s="372"/>
      <c r="I1884" s="83"/>
      <c r="J1884" s="83"/>
      <c r="K1884" s="490"/>
      <c r="L1884" s="490"/>
      <c r="M1884" s="490"/>
      <c r="N1884" s="373"/>
      <c r="O1884" s="373"/>
      <c r="P1884" s="374"/>
      <c r="Q1884" s="232"/>
      <c r="R1884" s="233"/>
    </row>
    <row r="1885" spans="1:18" ht="10.5" customHeight="1" x14ac:dyDescent="0.3">
      <c r="A1885" s="20"/>
      <c r="B1885" s="20"/>
      <c r="C1885" s="20"/>
      <c r="D1885" s="20"/>
      <c r="E1885" s="20"/>
      <c r="F1885" s="20"/>
      <c r="G1885" s="20"/>
      <c r="H1885" s="20"/>
      <c r="I1885" s="20"/>
      <c r="J1885" s="20"/>
      <c r="K1885" s="20"/>
      <c r="L1885" s="20"/>
      <c r="M1885" s="20"/>
      <c r="N1885" s="20"/>
      <c r="O1885" s="20"/>
      <c r="P1885" s="20"/>
      <c r="Q1885" s="20"/>
      <c r="R1885" s="20"/>
    </row>
    <row r="1886" spans="1:18" ht="10.5" customHeight="1" x14ac:dyDescent="0.3">
      <c r="A1886" s="166" t="s">
        <v>2107</v>
      </c>
      <c r="B1886" s="48" t="s">
        <v>2108</v>
      </c>
      <c r="C1886" s="49"/>
      <c r="D1886" s="49"/>
      <c r="E1886" s="49"/>
      <c r="F1886" s="49"/>
      <c r="G1886" s="49"/>
      <c r="H1886" s="49"/>
      <c r="I1886" s="49"/>
      <c r="J1886" s="452" t="s">
        <v>78</v>
      </c>
      <c r="K1886" s="477" t="s">
        <v>79</v>
      </c>
      <c r="L1886" s="477"/>
      <c r="M1886" s="477"/>
      <c r="N1886" s="473" t="s">
        <v>80</v>
      </c>
      <c r="O1886" s="434"/>
      <c r="P1886" s="61"/>
      <c r="Q1886" s="16" t="s">
        <v>81</v>
      </c>
      <c r="R1886" s="17" t="s">
        <v>82</v>
      </c>
    </row>
    <row r="1887" spans="1:18" ht="10.5" customHeight="1" thickTop="1" x14ac:dyDescent="0.3">
      <c r="A1887" s="18"/>
      <c r="B1887" s="20"/>
      <c r="C1887" s="20"/>
      <c r="D1887" s="20"/>
      <c r="E1887" s="20"/>
      <c r="F1887" s="20"/>
      <c r="G1887" s="20"/>
      <c r="H1887" s="20"/>
      <c r="I1887" s="20"/>
      <c r="J1887" s="452"/>
      <c r="K1887" s="477"/>
      <c r="L1887" s="477"/>
      <c r="M1887" s="477"/>
      <c r="N1887" s="473"/>
      <c r="O1887" s="369"/>
      <c r="P1887" s="68"/>
      <c r="Q1887" s="69" t="s">
        <v>375</v>
      </c>
      <c r="R1887" s="69" t="s">
        <v>375</v>
      </c>
    </row>
    <row r="1888" spans="1:18" ht="10.5" customHeight="1" x14ac:dyDescent="0.3">
      <c r="A1888" s="18"/>
      <c r="B1888" s="20"/>
      <c r="C1888" s="20"/>
      <c r="D1888" s="20"/>
      <c r="E1888" s="20"/>
      <c r="F1888" s="20"/>
      <c r="G1888" s="20"/>
      <c r="H1888" s="20"/>
      <c r="I1888" s="20"/>
      <c r="J1888" s="361" t="s">
        <v>2109</v>
      </c>
      <c r="K1888" s="486" t="s">
        <v>2110</v>
      </c>
      <c r="L1888" s="486"/>
      <c r="M1888" s="486"/>
      <c r="N1888" s="291" t="s">
        <v>11</v>
      </c>
      <c r="O1888" s="291"/>
      <c r="P1888" s="292">
        <v>0.57999999999999996</v>
      </c>
      <c r="Q1888" s="319">
        <f>P1888*$F$10</f>
        <v>24.939999999999998</v>
      </c>
      <c r="R1888" s="319">
        <f>Q1888-Q1888*0.2</f>
        <v>19.951999999999998</v>
      </c>
    </row>
    <row r="1889" spans="1:18" ht="10.5" customHeight="1" x14ac:dyDescent="0.3">
      <c r="A1889" s="18"/>
      <c r="B1889" s="20"/>
      <c r="C1889" s="20"/>
      <c r="D1889" s="20"/>
      <c r="E1889" s="20"/>
      <c r="F1889" s="20"/>
      <c r="G1889" s="20"/>
      <c r="H1889" s="20"/>
      <c r="I1889" s="20"/>
      <c r="J1889" s="251" t="s">
        <v>2111</v>
      </c>
      <c r="K1889" s="471" t="s">
        <v>2112</v>
      </c>
      <c r="L1889" s="471"/>
      <c r="M1889" s="471"/>
      <c r="N1889" s="66" t="s">
        <v>11</v>
      </c>
      <c r="O1889" s="66"/>
      <c r="P1889" s="67">
        <v>1.06</v>
      </c>
      <c r="Q1889" s="28">
        <f>P1889*$F$10</f>
        <v>45.580000000000005</v>
      </c>
      <c r="R1889" s="28">
        <f>Q1889-Q1889*0.2</f>
        <v>36.464000000000006</v>
      </c>
    </row>
    <row r="1890" spans="1:18" ht="10.5" customHeight="1" x14ac:dyDescent="0.3">
      <c r="A1890" s="262"/>
      <c r="B1890" s="20"/>
      <c r="C1890" s="20"/>
      <c r="D1890" s="20"/>
      <c r="E1890" s="20"/>
      <c r="F1890" s="20"/>
      <c r="G1890" s="20"/>
      <c r="H1890" s="20"/>
      <c r="I1890" s="20"/>
      <c r="J1890" s="62" t="s">
        <v>2113</v>
      </c>
      <c r="K1890" s="471" t="s">
        <v>2114</v>
      </c>
      <c r="L1890" s="471"/>
      <c r="M1890" s="471"/>
      <c r="N1890" s="66" t="s">
        <v>11</v>
      </c>
      <c r="O1890" s="66"/>
      <c r="P1890" s="67">
        <v>0.99</v>
      </c>
      <c r="Q1890" s="28">
        <f>P1890*$F$10</f>
        <v>42.57</v>
      </c>
      <c r="R1890" s="28">
        <f>Q1890-Q1890*0.2</f>
        <v>34.055999999999997</v>
      </c>
    </row>
    <row r="1891" spans="1:18" ht="10.5" customHeight="1" x14ac:dyDescent="0.3">
      <c r="A1891" s="262"/>
      <c r="B1891" s="20"/>
      <c r="C1891" s="20"/>
      <c r="D1891" s="20"/>
      <c r="E1891" s="20"/>
      <c r="F1891" s="20"/>
      <c r="G1891" s="20"/>
      <c r="H1891" s="20"/>
      <c r="I1891" s="20"/>
      <c r="J1891" s="62" t="s">
        <v>2115</v>
      </c>
      <c r="K1891" s="471" t="s">
        <v>2116</v>
      </c>
      <c r="L1891" s="471"/>
      <c r="M1891" s="471"/>
      <c r="N1891" s="66" t="s">
        <v>11</v>
      </c>
      <c r="O1891" s="66"/>
      <c r="P1891" s="67">
        <v>1.61</v>
      </c>
      <c r="Q1891" s="28">
        <f>P1891*$F$10</f>
        <v>69.23</v>
      </c>
      <c r="R1891" s="28">
        <f>Q1891-Q1891*0.2</f>
        <v>55.384</v>
      </c>
    </row>
    <row r="1892" spans="1:18" ht="10.5" customHeight="1" x14ac:dyDescent="0.3">
      <c r="A1892" s="328" t="s">
        <v>2006</v>
      </c>
      <c r="B1892" s="489"/>
      <c r="C1892" s="489"/>
      <c r="D1892" s="489"/>
      <c r="E1892" s="369"/>
      <c r="F1892" s="370"/>
      <c r="G1892" s="371"/>
      <c r="H1892" s="372"/>
      <c r="I1892" s="116"/>
      <c r="J1892" s="62" t="s">
        <v>2117</v>
      </c>
      <c r="K1892" s="471" t="s">
        <v>2118</v>
      </c>
      <c r="L1892" s="471"/>
      <c r="M1892" s="471"/>
      <c r="N1892" s="66" t="s">
        <v>11</v>
      </c>
      <c r="O1892" s="66"/>
      <c r="P1892" s="67">
        <v>2.48</v>
      </c>
      <c r="Q1892" s="28">
        <f>P1892*$F$10</f>
        <v>106.64</v>
      </c>
      <c r="R1892" s="28">
        <f>Q1892-Q1892*0.2</f>
        <v>85.311999999999998</v>
      </c>
    </row>
    <row r="1893" spans="1:18" ht="10.5" customHeight="1" x14ac:dyDescent="0.3">
      <c r="A1893" s="20"/>
      <c r="B1893" s="20"/>
      <c r="C1893" s="20"/>
      <c r="D1893" s="20"/>
      <c r="E1893" s="20"/>
      <c r="F1893" s="20"/>
      <c r="G1893" s="20"/>
      <c r="H1893" s="20"/>
      <c r="I1893" s="20"/>
      <c r="J1893" s="20"/>
      <c r="K1893" s="20"/>
      <c r="L1893" s="20"/>
      <c r="M1893" s="20"/>
      <c r="N1893" s="20"/>
      <c r="O1893" s="20"/>
      <c r="P1893" s="20"/>
      <c r="Q1893" s="20"/>
      <c r="R1893" s="20"/>
    </row>
    <row r="1894" spans="1:18" ht="10.5" customHeight="1" x14ac:dyDescent="0.3">
      <c r="A1894" s="166" t="s">
        <v>2119</v>
      </c>
      <c r="B1894" s="48" t="s">
        <v>2120</v>
      </c>
      <c r="C1894" s="49"/>
      <c r="D1894" s="49"/>
      <c r="E1894" s="49"/>
      <c r="F1894" s="49"/>
      <c r="G1894" s="49"/>
      <c r="H1894" s="49"/>
      <c r="I1894" s="49"/>
      <c r="J1894" s="452" t="s">
        <v>78</v>
      </c>
      <c r="K1894" s="477" t="s">
        <v>79</v>
      </c>
      <c r="L1894" s="477"/>
      <c r="M1894" s="477"/>
      <c r="N1894" s="473" t="s">
        <v>80</v>
      </c>
      <c r="O1894" s="434"/>
      <c r="P1894" s="61"/>
      <c r="Q1894" s="16" t="s">
        <v>81</v>
      </c>
      <c r="R1894" s="17" t="s">
        <v>82</v>
      </c>
    </row>
    <row r="1895" spans="1:18" ht="10.5" customHeight="1" thickTop="1" x14ac:dyDescent="0.3">
      <c r="A1895" s="18"/>
      <c r="B1895" s="20"/>
      <c r="C1895" s="20"/>
      <c r="D1895" s="20"/>
      <c r="E1895" s="20"/>
      <c r="F1895" s="20"/>
      <c r="G1895" s="20"/>
      <c r="H1895" s="20"/>
      <c r="I1895" s="20"/>
      <c r="J1895" s="452"/>
      <c r="K1895" s="477"/>
      <c r="L1895" s="477"/>
      <c r="M1895" s="477"/>
      <c r="N1895" s="473"/>
      <c r="O1895" s="369"/>
      <c r="P1895" s="68"/>
      <c r="Q1895" s="69" t="s">
        <v>375</v>
      </c>
      <c r="R1895" s="69" t="s">
        <v>375</v>
      </c>
    </row>
    <row r="1896" spans="1:18" ht="10.5" customHeight="1" x14ac:dyDescent="0.3">
      <c r="A1896" s="18"/>
      <c r="B1896" s="20"/>
      <c r="C1896" s="20"/>
      <c r="D1896" s="20"/>
      <c r="E1896" s="20"/>
      <c r="F1896" s="20"/>
      <c r="G1896" s="20"/>
      <c r="H1896" s="20"/>
      <c r="I1896" s="20"/>
      <c r="J1896" s="361" t="s">
        <v>2121</v>
      </c>
      <c r="K1896" s="486" t="s">
        <v>2122</v>
      </c>
      <c r="L1896" s="486"/>
      <c r="M1896" s="486"/>
      <c r="N1896" s="291" t="s">
        <v>11</v>
      </c>
      <c r="O1896" s="291"/>
      <c r="P1896" s="292">
        <v>0.13</v>
      </c>
      <c r="Q1896" s="319">
        <f t="shared" ref="Q1896:Q1903" si="251">P1896*$F$10</f>
        <v>5.59</v>
      </c>
      <c r="R1896" s="319">
        <f t="shared" ref="R1896:R1903" si="252">Q1896-Q1896*0.2</f>
        <v>4.4719999999999995</v>
      </c>
    </row>
    <row r="1897" spans="1:18" ht="10.5" customHeight="1" x14ac:dyDescent="0.3">
      <c r="A1897" s="18"/>
      <c r="B1897" s="20"/>
      <c r="C1897" s="20"/>
      <c r="D1897" s="20"/>
      <c r="E1897" s="20"/>
      <c r="F1897" s="20"/>
      <c r="G1897" s="20"/>
      <c r="H1897" s="20"/>
      <c r="I1897" s="20"/>
      <c r="J1897" s="251" t="s">
        <v>2123</v>
      </c>
      <c r="K1897" s="471" t="s">
        <v>2124</v>
      </c>
      <c r="L1897" s="471"/>
      <c r="M1897" s="471"/>
      <c r="N1897" s="66" t="s">
        <v>11</v>
      </c>
      <c r="O1897" s="66"/>
      <c r="P1897" s="67">
        <v>0.16</v>
      </c>
      <c r="Q1897" s="28">
        <f t="shared" si="251"/>
        <v>6.88</v>
      </c>
      <c r="R1897" s="28">
        <f t="shared" si="252"/>
        <v>5.5039999999999996</v>
      </c>
    </row>
    <row r="1898" spans="1:18" ht="10.5" customHeight="1" x14ac:dyDescent="0.3">
      <c r="A1898" s="262"/>
      <c r="B1898" s="20"/>
      <c r="C1898" s="20"/>
      <c r="D1898" s="20"/>
      <c r="E1898" s="20"/>
      <c r="F1898" s="20"/>
      <c r="G1898" s="20"/>
      <c r="H1898" s="20"/>
      <c r="I1898" s="20"/>
      <c r="J1898" s="62" t="s">
        <v>2125</v>
      </c>
      <c r="K1898" s="471" t="s">
        <v>2126</v>
      </c>
      <c r="L1898" s="471"/>
      <c r="M1898" s="471"/>
      <c r="N1898" s="66" t="s">
        <v>11</v>
      </c>
      <c r="O1898" s="66"/>
      <c r="P1898" s="67">
        <v>0.26</v>
      </c>
      <c r="Q1898" s="28">
        <f t="shared" si="251"/>
        <v>11.18</v>
      </c>
      <c r="R1898" s="28">
        <f t="shared" si="252"/>
        <v>8.9439999999999991</v>
      </c>
    </row>
    <row r="1899" spans="1:18" ht="10.5" customHeight="1" x14ac:dyDescent="0.3">
      <c r="A1899" s="262"/>
      <c r="B1899" s="20"/>
      <c r="C1899" s="20"/>
      <c r="D1899" s="20"/>
      <c r="E1899" s="20"/>
      <c r="F1899" s="20"/>
      <c r="G1899" s="20"/>
      <c r="H1899" s="20"/>
      <c r="I1899" s="20"/>
      <c r="J1899" s="62" t="s">
        <v>2127</v>
      </c>
      <c r="K1899" s="471" t="s">
        <v>2128</v>
      </c>
      <c r="L1899" s="471"/>
      <c r="M1899" s="471"/>
      <c r="N1899" s="66" t="s">
        <v>11</v>
      </c>
      <c r="O1899" s="66"/>
      <c r="P1899" s="67">
        <v>0.39</v>
      </c>
      <c r="Q1899" s="28">
        <f t="shared" si="251"/>
        <v>16.77</v>
      </c>
      <c r="R1899" s="28">
        <f t="shared" si="252"/>
        <v>13.416</v>
      </c>
    </row>
    <row r="1900" spans="1:18" ht="10.5" customHeight="1" x14ac:dyDescent="0.3">
      <c r="A1900" s="262" t="s">
        <v>2006</v>
      </c>
      <c r="B1900" s="460"/>
      <c r="C1900" s="460"/>
      <c r="D1900" s="460"/>
      <c r="E1900" s="171"/>
      <c r="F1900" s="172"/>
      <c r="G1900" s="173"/>
      <c r="H1900" s="174"/>
      <c r="I1900" s="101"/>
      <c r="J1900" s="62" t="s">
        <v>2129</v>
      </c>
      <c r="K1900" s="471" t="s">
        <v>2130</v>
      </c>
      <c r="L1900" s="471"/>
      <c r="M1900" s="471"/>
      <c r="N1900" s="66" t="s">
        <v>11</v>
      </c>
      <c r="O1900" s="66"/>
      <c r="P1900" s="67">
        <v>1.23</v>
      </c>
      <c r="Q1900" s="28">
        <f t="shared" si="251"/>
        <v>52.89</v>
      </c>
      <c r="R1900" s="28">
        <f t="shared" si="252"/>
        <v>42.311999999999998</v>
      </c>
    </row>
    <row r="1901" spans="1:18" ht="10.5" customHeight="1" x14ac:dyDescent="0.3">
      <c r="A1901" s="275"/>
      <c r="B1901" s="460"/>
      <c r="C1901" s="460"/>
      <c r="D1901" s="460"/>
      <c r="E1901" s="171"/>
      <c r="F1901" s="172"/>
      <c r="G1901" s="173"/>
      <c r="H1901" s="174"/>
      <c r="I1901" s="20"/>
      <c r="J1901" s="62" t="s">
        <v>2131</v>
      </c>
      <c r="K1901" s="471" t="s">
        <v>2132</v>
      </c>
      <c r="L1901" s="471"/>
      <c r="M1901" s="471"/>
      <c r="N1901" s="66" t="s">
        <v>11</v>
      </c>
      <c r="O1901" s="66"/>
      <c r="P1901" s="67">
        <v>2.37</v>
      </c>
      <c r="Q1901" s="28">
        <f t="shared" si="251"/>
        <v>101.91000000000001</v>
      </c>
      <c r="R1901" s="28">
        <f t="shared" si="252"/>
        <v>81.528000000000006</v>
      </c>
    </row>
    <row r="1902" spans="1:18" ht="10.5" customHeight="1" x14ac:dyDescent="0.3">
      <c r="A1902" s="18"/>
      <c r="B1902" s="20"/>
      <c r="C1902" s="20"/>
      <c r="D1902" s="20"/>
      <c r="E1902" s="20"/>
      <c r="F1902" s="20"/>
      <c r="G1902" s="20"/>
      <c r="H1902" s="20"/>
      <c r="I1902" s="20"/>
      <c r="J1902" s="361" t="s">
        <v>2133</v>
      </c>
      <c r="K1902" s="486" t="s">
        <v>2134</v>
      </c>
      <c r="L1902" s="486"/>
      <c r="M1902" s="486"/>
      <c r="N1902" s="291" t="s">
        <v>11</v>
      </c>
      <c r="O1902" s="291"/>
      <c r="P1902" s="292">
        <v>2.37</v>
      </c>
      <c r="Q1902" s="319">
        <f t="shared" si="251"/>
        <v>101.91000000000001</v>
      </c>
      <c r="R1902" s="319">
        <f t="shared" si="252"/>
        <v>81.528000000000006</v>
      </c>
    </row>
    <row r="1903" spans="1:18" ht="10.5" customHeight="1" x14ac:dyDescent="0.3">
      <c r="A1903" s="55"/>
      <c r="B1903" s="83"/>
      <c r="C1903" s="83"/>
      <c r="D1903" s="83"/>
      <c r="E1903" s="83"/>
      <c r="F1903" s="83"/>
      <c r="G1903" s="83"/>
      <c r="H1903" s="83"/>
      <c r="I1903" s="116"/>
      <c r="J1903" s="251" t="s">
        <v>2135</v>
      </c>
      <c r="K1903" s="471" t="s">
        <v>2136</v>
      </c>
      <c r="L1903" s="471"/>
      <c r="M1903" s="471"/>
      <c r="N1903" s="66" t="s">
        <v>11</v>
      </c>
      <c r="O1903" s="66"/>
      <c r="P1903" s="67">
        <v>5.04</v>
      </c>
      <c r="Q1903" s="28">
        <f t="shared" si="251"/>
        <v>216.72</v>
      </c>
      <c r="R1903" s="28">
        <f t="shared" si="252"/>
        <v>173.376</v>
      </c>
    </row>
    <row r="1904" spans="1:18" ht="10.5" customHeight="1" x14ac:dyDescent="0.3">
      <c r="A1904" s="20"/>
      <c r="B1904" s="20"/>
      <c r="C1904" s="20"/>
      <c r="D1904" s="20"/>
      <c r="E1904" s="20"/>
      <c r="F1904" s="20"/>
      <c r="G1904" s="20"/>
      <c r="H1904" s="20"/>
      <c r="I1904" s="20"/>
      <c r="J1904" s="20"/>
      <c r="K1904" s="20"/>
      <c r="L1904" s="20"/>
      <c r="M1904" s="20"/>
      <c r="N1904" s="20"/>
      <c r="O1904" s="20"/>
      <c r="P1904" s="20"/>
      <c r="Q1904" s="20"/>
      <c r="R1904" s="20"/>
    </row>
    <row r="1905" spans="1:18" ht="10.5" customHeight="1" x14ac:dyDescent="0.3">
      <c r="A1905" s="166" t="s">
        <v>2137</v>
      </c>
      <c r="B1905" s="48" t="s">
        <v>2138</v>
      </c>
      <c r="C1905" s="49"/>
      <c r="D1905" s="49"/>
      <c r="E1905" s="49"/>
      <c r="F1905" s="49"/>
      <c r="G1905" s="49"/>
      <c r="H1905" s="49"/>
      <c r="I1905" s="49"/>
      <c r="J1905" s="452" t="s">
        <v>78</v>
      </c>
      <c r="K1905" s="487" t="s">
        <v>79</v>
      </c>
      <c r="L1905" s="487"/>
      <c r="M1905" s="487"/>
      <c r="N1905" s="488" t="s">
        <v>80</v>
      </c>
      <c r="O1905" s="434"/>
      <c r="P1905" s="61"/>
      <c r="Q1905" s="16" t="s">
        <v>81</v>
      </c>
      <c r="R1905" s="17" t="s">
        <v>82</v>
      </c>
    </row>
    <row r="1906" spans="1:18" ht="10.5" customHeight="1" thickTop="1" x14ac:dyDescent="0.3">
      <c r="A1906" s="18"/>
      <c r="B1906" s="20"/>
      <c r="C1906" s="20"/>
      <c r="D1906" s="20"/>
      <c r="E1906" s="20"/>
      <c r="F1906" s="20"/>
      <c r="G1906" s="20"/>
      <c r="H1906" s="20"/>
      <c r="I1906" s="20"/>
      <c r="J1906" s="452"/>
      <c r="K1906" s="487"/>
      <c r="L1906" s="487"/>
      <c r="M1906" s="487"/>
      <c r="N1906" s="488"/>
      <c r="O1906" s="171"/>
      <c r="P1906" s="103"/>
      <c r="Q1906" s="69" t="s">
        <v>375</v>
      </c>
      <c r="R1906" s="69" t="s">
        <v>375</v>
      </c>
    </row>
    <row r="1907" spans="1:18" ht="47.25" customHeight="1" x14ac:dyDescent="0.3">
      <c r="A1907" s="375" t="s">
        <v>2006</v>
      </c>
      <c r="B1907" s="83"/>
      <c r="C1907" s="83"/>
      <c r="D1907" s="83"/>
      <c r="E1907" s="83"/>
      <c r="F1907" s="83"/>
      <c r="G1907" s="83"/>
      <c r="H1907" s="83"/>
      <c r="I1907" s="116"/>
      <c r="J1907" s="376" t="s">
        <v>2139</v>
      </c>
      <c r="K1907" s="491" t="s">
        <v>2140</v>
      </c>
      <c r="L1907" s="491"/>
      <c r="M1907" s="491"/>
      <c r="N1907" s="377" t="s">
        <v>11</v>
      </c>
      <c r="O1907" s="377"/>
      <c r="P1907" s="378">
        <v>0.25</v>
      </c>
      <c r="Q1907" s="379">
        <f>P1907*$F$10</f>
        <v>10.75</v>
      </c>
      <c r="R1907" s="379">
        <f>Q1907-Q1907*0.2</f>
        <v>8.6</v>
      </c>
    </row>
    <row r="1908" spans="1:18" ht="10.5" customHeight="1" x14ac:dyDescent="0.3">
      <c r="A1908" s="20"/>
      <c r="B1908" s="20"/>
      <c r="C1908" s="20"/>
      <c r="D1908" s="20"/>
      <c r="E1908" s="20"/>
      <c r="F1908" s="20"/>
      <c r="G1908" s="20"/>
      <c r="H1908" s="20"/>
      <c r="I1908" s="20"/>
      <c r="J1908" s="20"/>
      <c r="K1908" s="20"/>
      <c r="L1908" s="20"/>
      <c r="M1908" s="20"/>
      <c r="N1908" s="20"/>
      <c r="O1908" s="20"/>
      <c r="P1908" s="20"/>
      <c r="Q1908" s="20"/>
      <c r="R1908" s="20"/>
    </row>
    <row r="1909" spans="1:18" ht="10.5" customHeight="1" x14ac:dyDescent="0.3">
      <c r="A1909" s="20"/>
      <c r="B1909" s="20"/>
      <c r="C1909" s="20"/>
      <c r="D1909" s="20"/>
      <c r="E1909" s="20"/>
      <c r="F1909" s="20"/>
      <c r="G1909" s="20"/>
      <c r="H1909" s="20"/>
      <c r="I1909" s="20"/>
      <c r="J1909" s="20"/>
      <c r="K1909" s="20"/>
      <c r="L1909" s="20"/>
      <c r="M1909" s="20"/>
      <c r="N1909" s="20"/>
      <c r="O1909" s="20"/>
      <c r="P1909" s="20"/>
      <c r="Q1909" s="20"/>
      <c r="R1909" s="20"/>
    </row>
    <row r="1910" spans="1:18" ht="10.5" customHeight="1" x14ac:dyDescent="0.3">
      <c r="A1910" s="166" t="s">
        <v>2141</v>
      </c>
      <c r="B1910" s="48" t="s">
        <v>2142</v>
      </c>
      <c r="C1910" s="49"/>
      <c r="D1910" s="49"/>
      <c r="E1910" s="49"/>
      <c r="F1910" s="49"/>
      <c r="G1910" s="49"/>
      <c r="H1910" s="49"/>
      <c r="I1910" s="49"/>
      <c r="J1910" s="452" t="s">
        <v>78</v>
      </c>
      <c r="K1910" s="477" t="s">
        <v>79</v>
      </c>
      <c r="L1910" s="477"/>
      <c r="M1910" s="477"/>
      <c r="N1910" s="473" t="s">
        <v>80</v>
      </c>
      <c r="O1910" s="434"/>
      <c r="P1910" s="61"/>
      <c r="Q1910" s="16" t="s">
        <v>81</v>
      </c>
      <c r="R1910" s="17" t="s">
        <v>82</v>
      </c>
    </row>
    <row r="1911" spans="1:18" ht="10.5" customHeight="1" thickTop="1" x14ac:dyDescent="0.3">
      <c r="A1911" s="18"/>
      <c r="B1911" s="20"/>
      <c r="C1911" s="20"/>
      <c r="D1911" s="20"/>
      <c r="E1911" s="20"/>
      <c r="F1911" s="20"/>
      <c r="G1911" s="20"/>
      <c r="H1911" s="20"/>
      <c r="I1911" s="20"/>
      <c r="J1911" s="452"/>
      <c r="K1911" s="477"/>
      <c r="L1911" s="477"/>
      <c r="M1911" s="477"/>
      <c r="N1911" s="473"/>
      <c r="O1911" s="369"/>
      <c r="P1911" s="68"/>
      <c r="Q1911" s="69" t="s">
        <v>375</v>
      </c>
      <c r="R1911" s="69" t="s">
        <v>375</v>
      </c>
    </row>
    <row r="1912" spans="1:18" ht="10.5" customHeight="1" x14ac:dyDescent="0.3">
      <c r="A1912" s="18"/>
      <c r="B1912" s="20"/>
      <c r="C1912" s="20"/>
      <c r="D1912" s="20"/>
      <c r="E1912" s="20"/>
      <c r="F1912" s="20"/>
      <c r="G1912" s="20"/>
      <c r="H1912" s="20"/>
      <c r="I1912" s="20"/>
      <c r="J1912" s="361" t="s">
        <v>2143</v>
      </c>
      <c r="K1912" s="486" t="s">
        <v>2144</v>
      </c>
      <c r="L1912" s="486"/>
      <c r="M1912" s="486"/>
      <c r="N1912" s="291" t="s">
        <v>11</v>
      </c>
      <c r="O1912" s="291"/>
      <c r="P1912" s="292">
        <v>0.66</v>
      </c>
      <c r="Q1912" s="319">
        <f t="shared" ref="Q1912:Q1925" si="253">P1912*$F$10</f>
        <v>28.380000000000003</v>
      </c>
      <c r="R1912" s="319">
        <f t="shared" ref="R1912:R1925" si="254">Q1912-Q1912*0.2</f>
        <v>22.704000000000001</v>
      </c>
    </row>
    <row r="1913" spans="1:18" ht="10.5" customHeight="1" x14ac:dyDescent="0.3">
      <c r="A1913" s="18"/>
      <c r="B1913" s="20"/>
      <c r="C1913" s="20"/>
      <c r="D1913" s="20"/>
      <c r="E1913" s="20"/>
      <c r="F1913" s="20"/>
      <c r="G1913" s="20"/>
      <c r="H1913" s="20"/>
      <c r="I1913" s="20"/>
      <c r="J1913" s="251" t="s">
        <v>2145</v>
      </c>
      <c r="K1913" s="471" t="s">
        <v>2146</v>
      </c>
      <c r="L1913" s="471"/>
      <c r="M1913" s="471"/>
      <c r="N1913" s="66" t="s">
        <v>11</v>
      </c>
      <c r="O1913" s="66"/>
      <c r="P1913" s="67">
        <v>0.63</v>
      </c>
      <c r="Q1913" s="28">
        <f t="shared" si="253"/>
        <v>27.09</v>
      </c>
      <c r="R1913" s="28">
        <f t="shared" si="254"/>
        <v>21.672000000000001</v>
      </c>
    </row>
    <row r="1914" spans="1:18" ht="10.5" customHeight="1" x14ac:dyDescent="0.3">
      <c r="A1914" s="262"/>
      <c r="B1914" s="20"/>
      <c r="C1914" s="20"/>
      <c r="D1914" s="20"/>
      <c r="E1914" s="20"/>
      <c r="F1914" s="20"/>
      <c r="G1914" s="20"/>
      <c r="H1914" s="20"/>
      <c r="I1914" s="20"/>
      <c r="J1914" s="62" t="s">
        <v>2147</v>
      </c>
      <c r="K1914" s="471" t="s">
        <v>2148</v>
      </c>
      <c r="L1914" s="471"/>
      <c r="M1914" s="471"/>
      <c r="N1914" s="66" t="s">
        <v>11</v>
      </c>
      <c r="O1914" s="66"/>
      <c r="P1914" s="67">
        <v>0.79</v>
      </c>
      <c r="Q1914" s="28">
        <f t="shared" si="253"/>
        <v>33.97</v>
      </c>
      <c r="R1914" s="28">
        <f t="shared" si="254"/>
        <v>27.175999999999998</v>
      </c>
    </row>
    <row r="1915" spans="1:18" ht="10.5" customHeight="1" x14ac:dyDescent="0.3">
      <c r="A1915" s="262" t="s">
        <v>2006</v>
      </c>
      <c r="B1915" s="20"/>
      <c r="C1915" s="20"/>
      <c r="D1915" s="20"/>
      <c r="E1915" s="20"/>
      <c r="F1915" s="20"/>
      <c r="G1915" s="20"/>
      <c r="H1915" s="20"/>
      <c r="I1915" s="20"/>
      <c r="J1915" s="62" t="s">
        <v>2149</v>
      </c>
      <c r="K1915" s="471" t="s">
        <v>2150</v>
      </c>
      <c r="L1915" s="471"/>
      <c r="M1915" s="471"/>
      <c r="N1915" s="66" t="s">
        <v>11</v>
      </c>
      <c r="O1915" s="66"/>
      <c r="P1915" s="67">
        <v>0.95</v>
      </c>
      <c r="Q1915" s="28">
        <f t="shared" si="253"/>
        <v>40.85</v>
      </c>
      <c r="R1915" s="28">
        <f t="shared" si="254"/>
        <v>32.68</v>
      </c>
    </row>
    <row r="1916" spans="1:18" ht="10.5" customHeight="1" thickBot="1" x14ac:dyDescent="0.35">
      <c r="A1916" s="446" t="s">
        <v>78</v>
      </c>
      <c r="B1916" s="487" t="s">
        <v>79</v>
      </c>
      <c r="C1916" s="487"/>
      <c r="D1916" s="487"/>
      <c r="E1916" s="488" t="s">
        <v>80</v>
      </c>
      <c r="F1916" s="61"/>
      <c r="G1916" s="16" t="s">
        <v>81</v>
      </c>
      <c r="H1916" s="17" t="s">
        <v>82</v>
      </c>
      <c r="I1916" s="20"/>
      <c r="J1916" s="62" t="s">
        <v>2151</v>
      </c>
      <c r="K1916" s="471" t="s">
        <v>2152</v>
      </c>
      <c r="L1916" s="471"/>
      <c r="M1916" s="471"/>
      <c r="N1916" s="66" t="s">
        <v>11</v>
      </c>
      <c r="O1916" s="66"/>
      <c r="P1916" s="67">
        <v>1.06</v>
      </c>
      <c r="Q1916" s="28">
        <f t="shared" si="253"/>
        <v>45.580000000000005</v>
      </c>
      <c r="R1916" s="28">
        <f t="shared" si="254"/>
        <v>36.464000000000006</v>
      </c>
    </row>
    <row r="1917" spans="1:18" ht="10.5" customHeight="1" thickTop="1" x14ac:dyDescent="0.3">
      <c r="A1917" s="446"/>
      <c r="B1917" s="487"/>
      <c r="C1917" s="487"/>
      <c r="D1917" s="487"/>
      <c r="E1917" s="488"/>
      <c r="F1917" s="103"/>
      <c r="G1917" s="69" t="s">
        <v>375</v>
      </c>
      <c r="H1917" s="69" t="s">
        <v>375</v>
      </c>
      <c r="I1917" s="20"/>
      <c r="J1917" s="62" t="s">
        <v>2153</v>
      </c>
      <c r="K1917" s="471" t="s">
        <v>2154</v>
      </c>
      <c r="L1917" s="471"/>
      <c r="M1917" s="471"/>
      <c r="N1917" s="66" t="s">
        <v>11</v>
      </c>
      <c r="O1917" s="66"/>
      <c r="P1917" s="67">
        <v>1.33</v>
      </c>
      <c r="Q1917" s="28">
        <f t="shared" si="253"/>
        <v>57.190000000000005</v>
      </c>
      <c r="R1917" s="28">
        <f t="shared" si="254"/>
        <v>45.752000000000002</v>
      </c>
    </row>
    <row r="1918" spans="1:18" ht="10.5" customHeight="1" x14ac:dyDescent="0.3">
      <c r="A1918" s="251" t="s">
        <v>2155</v>
      </c>
      <c r="B1918" s="471" t="s">
        <v>2156</v>
      </c>
      <c r="C1918" s="471"/>
      <c r="D1918" s="471"/>
      <c r="E1918" s="66" t="s">
        <v>11</v>
      </c>
      <c r="F1918" s="67">
        <v>7.0000000000000007E-2</v>
      </c>
      <c r="G1918" s="28">
        <f t="shared" ref="G1918:G1925" si="255">F1918*$F$10</f>
        <v>3.0100000000000002</v>
      </c>
      <c r="H1918" s="28">
        <f t="shared" ref="H1918:H1925" si="256">G1918-G1918*0.2</f>
        <v>2.4080000000000004</v>
      </c>
      <c r="I1918" s="20"/>
      <c r="J1918" s="62" t="s">
        <v>2157</v>
      </c>
      <c r="K1918" s="471" t="s">
        <v>2158</v>
      </c>
      <c r="L1918" s="471"/>
      <c r="M1918" s="471"/>
      <c r="N1918" s="66" t="s">
        <v>11</v>
      </c>
      <c r="O1918" s="66"/>
      <c r="P1918" s="67">
        <v>0.71</v>
      </c>
      <c r="Q1918" s="28">
        <f t="shared" si="253"/>
        <v>30.529999999999998</v>
      </c>
      <c r="R1918" s="28">
        <f t="shared" si="254"/>
        <v>24.423999999999999</v>
      </c>
    </row>
    <row r="1919" spans="1:18" ht="10.5" customHeight="1" x14ac:dyDescent="0.3">
      <c r="A1919" s="251" t="s">
        <v>2159</v>
      </c>
      <c r="B1919" s="471" t="s">
        <v>2160</v>
      </c>
      <c r="C1919" s="471"/>
      <c r="D1919" s="471"/>
      <c r="E1919" s="66" t="s">
        <v>11</v>
      </c>
      <c r="F1919" s="67">
        <v>0.11</v>
      </c>
      <c r="G1919" s="28">
        <f t="shared" si="255"/>
        <v>4.7300000000000004</v>
      </c>
      <c r="H1919" s="28">
        <f t="shared" si="256"/>
        <v>3.7840000000000003</v>
      </c>
      <c r="I1919" s="20"/>
      <c r="J1919" s="62" t="s">
        <v>2161</v>
      </c>
      <c r="K1919" s="471" t="s">
        <v>2162</v>
      </c>
      <c r="L1919" s="471"/>
      <c r="M1919" s="471"/>
      <c r="N1919" s="66" t="s">
        <v>11</v>
      </c>
      <c r="O1919" s="66"/>
      <c r="P1919" s="67">
        <v>1.06</v>
      </c>
      <c r="Q1919" s="28">
        <f t="shared" si="253"/>
        <v>45.580000000000005</v>
      </c>
      <c r="R1919" s="28">
        <f t="shared" si="254"/>
        <v>36.464000000000006</v>
      </c>
    </row>
    <row r="1920" spans="1:18" ht="10.5" customHeight="1" x14ac:dyDescent="0.3">
      <c r="A1920" s="251" t="s">
        <v>2163</v>
      </c>
      <c r="B1920" s="471" t="s">
        <v>2164</v>
      </c>
      <c r="C1920" s="471"/>
      <c r="D1920" s="471"/>
      <c r="E1920" s="66" t="s">
        <v>11</v>
      </c>
      <c r="F1920" s="67">
        <v>0.22</v>
      </c>
      <c r="G1920" s="28">
        <f t="shared" si="255"/>
        <v>9.4600000000000009</v>
      </c>
      <c r="H1920" s="28">
        <f t="shared" si="256"/>
        <v>7.5680000000000005</v>
      </c>
      <c r="I1920" s="20"/>
      <c r="J1920" s="62" t="s">
        <v>2165</v>
      </c>
      <c r="K1920" s="471" t="s">
        <v>2166</v>
      </c>
      <c r="L1920" s="471"/>
      <c r="M1920" s="471"/>
      <c r="N1920" s="66" t="s">
        <v>11</v>
      </c>
      <c r="O1920" s="66"/>
      <c r="P1920" s="67">
        <v>1.41</v>
      </c>
      <c r="Q1920" s="28">
        <f t="shared" si="253"/>
        <v>60.629999999999995</v>
      </c>
      <c r="R1920" s="28">
        <f t="shared" si="254"/>
        <v>48.503999999999998</v>
      </c>
    </row>
    <row r="1921" spans="1:18" ht="10.5" customHeight="1" x14ac:dyDescent="0.3">
      <c r="A1921" s="251" t="s">
        <v>2167</v>
      </c>
      <c r="B1921" s="471" t="s">
        <v>2168</v>
      </c>
      <c r="C1921" s="471"/>
      <c r="D1921" s="471"/>
      <c r="E1921" s="66" t="s">
        <v>11</v>
      </c>
      <c r="F1921" s="67">
        <v>0.42</v>
      </c>
      <c r="G1921" s="28">
        <f t="shared" si="255"/>
        <v>18.059999999999999</v>
      </c>
      <c r="H1921" s="28">
        <f t="shared" si="256"/>
        <v>14.447999999999999</v>
      </c>
      <c r="I1921" s="20"/>
      <c r="J1921" s="62" t="s">
        <v>2169</v>
      </c>
      <c r="K1921" s="471" t="s">
        <v>2170</v>
      </c>
      <c r="L1921" s="471"/>
      <c r="M1921" s="471"/>
      <c r="N1921" s="66" t="s">
        <v>11</v>
      </c>
      <c r="O1921" s="66"/>
      <c r="P1921" s="67">
        <v>1.33</v>
      </c>
      <c r="Q1921" s="28">
        <f t="shared" si="253"/>
        <v>57.190000000000005</v>
      </c>
      <c r="R1921" s="28">
        <f t="shared" si="254"/>
        <v>45.752000000000002</v>
      </c>
    </row>
    <row r="1922" spans="1:18" ht="10.5" customHeight="1" x14ac:dyDescent="0.3">
      <c r="A1922" s="251" t="s">
        <v>2171</v>
      </c>
      <c r="B1922" s="471" t="s">
        <v>2172</v>
      </c>
      <c r="C1922" s="471"/>
      <c r="D1922" s="471"/>
      <c r="E1922" s="66" t="s">
        <v>11</v>
      </c>
      <c r="F1922" s="67">
        <v>0.63</v>
      </c>
      <c r="G1922" s="28">
        <f t="shared" si="255"/>
        <v>27.09</v>
      </c>
      <c r="H1922" s="28">
        <f t="shared" si="256"/>
        <v>21.672000000000001</v>
      </c>
      <c r="I1922" s="20"/>
      <c r="J1922" s="62" t="s">
        <v>2173</v>
      </c>
      <c r="K1922" s="471" t="s">
        <v>2174</v>
      </c>
      <c r="L1922" s="471"/>
      <c r="M1922" s="471"/>
      <c r="N1922" s="66" t="s">
        <v>11</v>
      </c>
      <c r="O1922" s="66"/>
      <c r="P1922" s="67">
        <v>1.77</v>
      </c>
      <c r="Q1922" s="28">
        <f t="shared" si="253"/>
        <v>76.11</v>
      </c>
      <c r="R1922" s="28">
        <f t="shared" si="254"/>
        <v>60.887999999999998</v>
      </c>
    </row>
    <row r="1923" spans="1:18" ht="10.5" customHeight="1" x14ac:dyDescent="0.3">
      <c r="A1923" s="251" t="s">
        <v>2175</v>
      </c>
      <c r="B1923" s="471" t="s">
        <v>2176</v>
      </c>
      <c r="C1923" s="471"/>
      <c r="D1923" s="471"/>
      <c r="E1923" s="66" t="s">
        <v>11</v>
      </c>
      <c r="F1923" s="67">
        <v>0.91</v>
      </c>
      <c r="G1923" s="28">
        <f t="shared" si="255"/>
        <v>39.130000000000003</v>
      </c>
      <c r="H1923" s="28">
        <f t="shared" si="256"/>
        <v>31.304000000000002</v>
      </c>
      <c r="I1923" s="20"/>
      <c r="J1923" s="62" t="s">
        <v>2177</v>
      </c>
      <c r="K1923" s="471" t="s">
        <v>2178</v>
      </c>
      <c r="L1923" s="471"/>
      <c r="M1923" s="471"/>
      <c r="N1923" s="66" t="s">
        <v>11</v>
      </c>
      <c r="O1923" s="66"/>
      <c r="P1923" s="67">
        <v>2.1</v>
      </c>
      <c r="Q1923" s="28">
        <f t="shared" si="253"/>
        <v>90.3</v>
      </c>
      <c r="R1923" s="28">
        <f t="shared" si="254"/>
        <v>72.239999999999995</v>
      </c>
    </row>
    <row r="1924" spans="1:18" ht="10.5" customHeight="1" x14ac:dyDescent="0.3">
      <c r="A1924" s="251" t="s">
        <v>2179</v>
      </c>
      <c r="B1924" s="471" t="s">
        <v>2180</v>
      </c>
      <c r="C1924" s="471"/>
      <c r="D1924" s="471"/>
      <c r="E1924" s="66" t="s">
        <v>11</v>
      </c>
      <c r="F1924" s="67">
        <v>1.82</v>
      </c>
      <c r="G1924" s="28">
        <f t="shared" si="255"/>
        <v>78.260000000000005</v>
      </c>
      <c r="H1924" s="28">
        <f t="shared" si="256"/>
        <v>62.608000000000004</v>
      </c>
      <c r="I1924" s="20"/>
      <c r="J1924" s="62" t="s">
        <v>2181</v>
      </c>
      <c r="K1924" s="471" t="s">
        <v>2182</v>
      </c>
      <c r="L1924" s="471"/>
      <c r="M1924" s="471"/>
      <c r="N1924" s="66" t="s">
        <v>11</v>
      </c>
      <c r="O1924" s="66"/>
      <c r="P1924" s="67">
        <v>2.02</v>
      </c>
      <c r="Q1924" s="28">
        <f t="shared" si="253"/>
        <v>86.86</v>
      </c>
      <c r="R1924" s="28">
        <f t="shared" si="254"/>
        <v>69.488</v>
      </c>
    </row>
    <row r="1925" spans="1:18" ht="10.5" customHeight="1" x14ac:dyDescent="0.3">
      <c r="A1925" s="251" t="s">
        <v>2183</v>
      </c>
      <c r="B1925" s="471" t="s">
        <v>2184</v>
      </c>
      <c r="C1925" s="471"/>
      <c r="D1925" s="471"/>
      <c r="E1925" s="66" t="s">
        <v>11</v>
      </c>
      <c r="F1925" s="67">
        <v>0.53</v>
      </c>
      <c r="G1925" s="28">
        <f t="shared" si="255"/>
        <v>22.790000000000003</v>
      </c>
      <c r="H1925" s="28">
        <f t="shared" si="256"/>
        <v>18.232000000000003</v>
      </c>
      <c r="I1925" s="54"/>
      <c r="J1925" s="62" t="s">
        <v>2185</v>
      </c>
      <c r="K1925" s="471" t="s">
        <v>2186</v>
      </c>
      <c r="L1925" s="471"/>
      <c r="M1925" s="471"/>
      <c r="N1925" s="66" t="s">
        <v>11</v>
      </c>
      <c r="O1925" s="66"/>
      <c r="P1925" s="67">
        <v>2.69</v>
      </c>
      <c r="Q1925" s="28">
        <f t="shared" si="253"/>
        <v>115.67</v>
      </c>
      <c r="R1925" s="28">
        <f t="shared" si="254"/>
        <v>92.536000000000001</v>
      </c>
    </row>
    <row r="1926" spans="1:18" ht="10.5" customHeight="1" x14ac:dyDescent="0.3">
      <c r="A1926" s="20"/>
      <c r="B1926" s="20"/>
      <c r="C1926" s="20"/>
      <c r="D1926" s="20"/>
      <c r="E1926" s="20"/>
      <c r="F1926" s="20"/>
      <c r="G1926" s="20"/>
      <c r="H1926" s="20"/>
      <c r="I1926" s="20"/>
      <c r="J1926" s="20"/>
      <c r="K1926" s="20"/>
      <c r="L1926" s="20"/>
      <c r="M1926" s="20"/>
      <c r="N1926" s="20"/>
      <c r="O1926" s="20"/>
      <c r="P1926" s="20"/>
      <c r="Q1926" s="20"/>
      <c r="R1926" s="20"/>
    </row>
    <row r="1927" spans="1:18" ht="10.5" customHeight="1" x14ac:dyDescent="0.3">
      <c r="A1927" s="166" t="s">
        <v>2187</v>
      </c>
      <c r="B1927" s="48" t="s">
        <v>2188</v>
      </c>
      <c r="C1927" s="49"/>
      <c r="D1927" s="49"/>
      <c r="E1927" s="49"/>
      <c r="F1927" s="49"/>
      <c r="G1927" s="49"/>
      <c r="H1927" s="49"/>
      <c r="I1927" s="49"/>
      <c r="J1927" s="452" t="s">
        <v>78</v>
      </c>
      <c r="K1927" s="477" t="s">
        <v>79</v>
      </c>
      <c r="L1927" s="477"/>
      <c r="M1927" s="477"/>
      <c r="N1927" s="473" t="s">
        <v>80</v>
      </c>
      <c r="O1927" s="434"/>
      <c r="P1927" s="61"/>
      <c r="Q1927" s="16" t="s">
        <v>81</v>
      </c>
      <c r="R1927" s="17" t="s">
        <v>82</v>
      </c>
    </row>
    <row r="1928" spans="1:18" ht="10.5" customHeight="1" thickTop="1" x14ac:dyDescent="0.3">
      <c r="A1928" s="18"/>
      <c r="B1928" s="20"/>
      <c r="C1928" s="20"/>
      <c r="D1928" s="20"/>
      <c r="E1928" s="20"/>
      <c r="F1928" s="20"/>
      <c r="G1928" s="20"/>
      <c r="H1928" s="20"/>
      <c r="I1928" s="20"/>
      <c r="J1928" s="452"/>
      <c r="K1928" s="477"/>
      <c r="L1928" s="477"/>
      <c r="M1928" s="477"/>
      <c r="N1928" s="473"/>
      <c r="O1928" s="369"/>
      <c r="P1928" s="68"/>
      <c r="Q1928" s="69" t="s">
        <v>375</v>
      </c>
      <c r="R1928" s="69" t="s">
        <v>375</v>
      </c>
    </row>
    <row r="1929" spans="1:18" ht="10.5" customHeight="1" x14ac:dyDescent="0.3">
      <c r="A1929" s="18"/>
      <c r="B1929" s="20"/>
      <c r="C1929" s="20"/>
      <c r="D1929" s="20"/>
      <c r="E1929" s="20"/>
      <c r="F1929" s="20"/>
      <c r="G1929" s="20"/>
      <c r="H1929" s="20"/>
      <c r="I1929" s="20"/>
      <c r="J1929" s="361" t="s">
        <v>2189</v>
      </c>
      <c r="K1929" s="486" t="s">
        <v>2190</v>
      </c>
      <c r="L1929" s="486"/>
      <c r="M1929" s="486"/>
      <c r="N1929" s="291" t="s">
        <v>11</v>
      </c>
      <c r="O1929" s="291"/>
      <c r="P1929" s="292">
        <v>0.53</v>
      </c>
      <c r="Q1929" s="319">
        <f t="shared" ref="Q1929:Q1934" si="257">P1929*$F$10</f>
        <v>22.790000000000003</v>
      </c>
      <c r="R1929" s="319">
        <f t="shared" ref="R1929:R1934" si="258">Q1929-Q1929*0.2</f>
        <v>18.232000000000003</v>
      </c>
    </row>
    <row r="1930" spans="1:18" ht="10.5" customHeight="1" x14ac:dyDescent="0.3">
      <c r="A1930" s="18"/>
      <c r="B1930" s="20"/>
      <c r="C1930" s="20"/>
      <c r="D1930" s="20"/>
      <c r="E1930" s="20"/>
      <c r="F1930" s="20"/>
      <c r="G1930" s="20"/>
      <c r="H1930" s="20"/>
      <c r="I1930" s="20"/>
      <c r="J1930" s="251" t="s">
        <v>2191</v>
      </c>
      <c r="K1930" s="471" t="s">
        <v>2192</v>
      </c>
      <c r="L1930" s="471"/>
      <c r="M1930" s="471"/>
      <c r="N1930" s="66" t="s">
        <v>11</v>
      </c>
      <c r="O1930" s="66"/>
      <c r="P1930" s="67">
        <v>1.27</v>
      </c>
      <c r="Q1930" s="28">
        <f t="shared" si="257"/>
        <v>54.61</v>
      </c>
      <c r="R1930" s="28">
        <f t="shared" si="258"/>
        <v>43.688000000000002</v>
      </c>
    </row>
    <row r="1931" spans="1:18" ht="10.5" customHeight="1" x14ac:dyDescent="0.3">
      <c r="A1931" s="262"/>
      <c r="B1931" s="20"/>
      <c r="C1931" s="20"/>
      <c r="D1931" s="20"/>
      <c r="E1931" s="20"/>
      <c r="F1931" s="20"/>
      <c r="G1931" s="20"/>
      <c r="H1931" s="20"/>
      <c r="I1931" s="20"/>
      <c r="J1931" s="62" t="s">
        <v>2193</v>
      </c>
      <c r="K1931" s="471" t="s">
        <v>2194</v>
      </c>
      <c r="L1931" s="471"/>
      <c r="M1931" s="471"/>
      <c r="N1931" s="66" t="s">
        <v>11</v>
      </c>
      <c r="O1931" s="66"/>
      <c r="P1931" s="67">
        <v>1.02</v>
      </c>
      <c r="Q1931" s="28">
        <f t="shared" si="257"/>
        <v>43.86</v>
      </c>
      <c r="R1931" s="28">
        <f t="shared" si="258"/>
        <v>35.088000000000001</v>
      </c>
    </row>
    <row r="1932" spans="1:18" ht="10.5" customHeight="1" x14ac:dyDescent="0.3">
      <c r="A1932" s="262"/>
      <c r="B1932" s="20"/>
      <c r="C1932" s="20"/>
      <c r="D1932" s="20"/>
      <c r="E1932" s="20"/>
      <c r="F1932" s="20"/>
      <c r="G1932" s="20"/>
      <c r="H1932" s="20"/>
      <c r="I1932" s="20"/>
      <c r="J1932" s="62" t="s">
        <v>2195</v>
      </c>
      <c r="K1932" s="471" t="s">
        <v>2196</v>
      </c>
      <c r="L1932" s="471"/>
      <c r="M1932" s="471"/>
      <c r="N1932" s="66" t="s">
        <v>11</v>
      </c>
      <c r="O1932" s="66"/>
      <c r="P1932" s="67">
        <v>1.61</v>
      </c>
      <c r="Q1932" s="28">
        <f t="shared" si="257"/>
        <v>69.23</v>
      </c>
      <c r="R1932" s="28">
        <f t="shared" si="258"/>
        <v>55.384</v>
      </c>
    </row>
    <row r="1933" spans="1:18" ht="10.5" customHeight="1" x14ac:dyDescent="0.3">
      <c r="A1933" s="262" t="s">
        <v>2006</v>
      </c>
      <c r="B1933" s="460"/>
      <c r="C1933" s="460"/>
      <c r="D1933" s="460"/>
      <c r="E1933" s="171"/>
      <c r="F1933" s="172"/>
      <c r="G1933" s="173"/>
      <c r="H1933" s="174"/>
      <c r="I1933" s="101"/>
      <c r="J1933" s="62" t="s">
        <v>2197</v>
      </c>
      <c r="K1933" s="471" t="s">
        <v>2198</v>
      </c>
      <c r="L1933" s="471"/>
      <c r="M1933" s="471"/>
      <c r="N1933" s="66" t="s">
        <v>11</v>
      </c>
      <c r="O1933" s="66"/>
      <c r="P1933" s="67">
        <v>2.48</v>
      </c>
      <c r="Q1933" s="28">
        <f t="shared" si="257"/>
        <v>106.64</v>
      </c>
      <c r="R1933" s="28">
        <f t="shared" si="258"/>
        <v>85.311999999999998</v>
      </c>
    </row>
    <row r="1934" spans="1:18" ht="10.5" customHeight="1" x14ac:dyDescent="0.3">
      <c r="A1934" s="272"/>
      <c r="B1934" s="489"/>
      <c r="C1934" s="489"/>
      <c r="D1934" s="489"/>
      <c r="E1934" s="369"/>
      <c r="F1934" s="370"/>
      <c r="G1934" s="371"/>
      <c r="H1934" s="372"/>
      <c r="I1934" s="116"/>
      <c r="J1934" s="62" t="s">
        <v>2199</v>
      </c>
      <c r="K1934" s="471" t="s">
        <v>2200</v>
      </c>
      <c r="L1934" s="471"/>
      <c r="M1934" s="471"/>
      <c r="N1934" s="66" t="s">
        <v>11</v>
      </c>
      <c r="O1934" s="66"/>
      <c r="P1934" s="67">
        <v>1.02</v>
      </c>
      <c r="Q1934" s="28">
        <f t="shared" si="257"/>
        <v>43.86</v>
      </c>
      <c r="R1934" s="28">
        <f t="shared" si="258"/>
        <v>35.088000000000001</v>
      </c>
    </row>
    <row r="1935" spans="1:18" ht="10.5" customHeight="1" x14ac:dyDescent="0.3">
      <c r="A1935" s="20"/>
      <c r="B1935" s="20"/>
      <c r="C1935" s="20"/>
      <c r="D1935" s="20"/>
      <c r="E1935" s="363"/>
      <c r="F1935" s="20"/>
      <c r="G1935" s="20"/>
      <c r="H1935" s="20"/>
      <c r="I1935" s="20"/>
      <c r="J1935" s="364"/>
      <c r="K1935" s="365"/>
      <c r="L1935" s="366"/>
      <c r="M1935" s="366"/>
      <c r="N1935" s="367"/>
      <c r="O1935" s="367"/>
      <c r="P1935" s="368"/>
      <c r="Q1935" s="368"/>
      <c r="R1935" s="368"/>
    </row>
    <row r="1936" spans="1:18" ht="10.5" customHeight="1" x14ac:dyDescent="0.3">
      <c r="A1936" s="166" t="s">
        <v>2201</v>
      </c>
      <c r="B1936" s="48" t="s">
        <v>2202</v>
      </c>
      <c r="C1936" s="49"/>
      <c r="D1936" s="49"/>
      <c r="E1936" s="49"/>
      <c r="F1936" s="49"/>
      <c r="G1936" s="49"/>
      <c r="H1936" s="49"/>
      <c r="I1936" s="49"/>
      <c r="J1936" s="452" t="s">
        <v>78</v>
      </c>
      <c r="K1936" s="477" t="s">
        <v>79</v>
      </c>
      <c r="L1936" s="477"/>
      <c r="M1936" s="477"/>
      <c r="N1936" s="473" t="s">
        <v>80</v>
      </c>
      <c r="O1936" s="434"/>
      <c r="P1936" s="61"/>
      <c r="Q1936" s="16" t="s">
        <v>81</v>
      </c>
      <c r="R1936" s="17" t="s">
        <v>82</v>
      </c>
    </row>
    <row r="1937" spans="1:18" ht="10.5" customHeight="1" thickTop="1" x14ac:dyDescent="0.3">
      <c r="A1937" s="18"/>
      <c r="B1937" s="20"/>
      <c r="C1937" s="20"/>
      <c r="D1937" s="20"/>
      <c r="E1937" s="20"/>
      <c r="F1937" s="20"/>
      <c r="G1937" s="20"/>
      <c r="H1937" s="20"/>
      <c r="I1937" s="20"/>
      <c r="J1937" s="452"/>
      <c r="K1937" s="477"/>
      <c r="L1937" s="477"/>
      <c r="M1937" s="477"/>
      <c r="N1937" s="473"/>
      <c r="O1937" s="369"/>
      <c r="P1937" s="68"/>
      <c r="Q1937" s="69" t="s">
        <v>375</v>
      </c>
      <c r="R1937" s="69" t="s">
        <v>375</v>
      </c>
    </row>
    <row r="1938" spans="1:18" ht="10.5" customHeight="1" x14ac:dyDescent="0.3">
      <c r="A1938" s="18"/>
      <c r="B1938" s="20"/>
      <c r="C1938" s="20"/>
      <c r="D1938" s="20"/>
      <c r="E1938" s="20"/>
      <c r="F1938" s="20"/>
      <c r="G1938" s="20"/>
      <c r="H1938" s="20"/>
      <c r="I1938" s="20"/>
      <c r="J1938" s="361" t="s">
        <v>2203</v>
      </c>
      <c r="K1938" s="486" t="s">
        <v>2204</v>
      </c>
      <c r="L1938" s="486"/>
      <c r="M1938" s="486"/>
      <c r="N1938" s="291" t="s">
        <v>11</v>
      </c>
      <c r="O1938" s="291"/>
      <c r="P1938" s="292">
        <v>0.24</v>
      </c>
      <c r="Q1938" s="319">
        <f t="shared" ref="Q1938:Q1947" si="259">P1938*$F$10</f>
        <v>10.32</v>
      </c>
      <c r="R1938" s="319">
        <f t="shared" ref="R1938:R1947" si="260">Q1938-Q1938*0.2</f>
        <v>8.2560000000000002</v>
      </c>
    </row>
    <row r="1939" spans="1:18" ht="10.5" customHeight="1" x14ac:dyDescent="0.3">
      <c r="A1939" s="18"/>
      <c r="B1939" s="20"/>
      <c r="C1939" s="20"/>
      <c r="D1939" s="20"/>
      <c r="E1939" s="20"/>
      <c r="F1939" s="20"/>
      <c r="G1939" s="20"/>
      <c r="H1939" s="20"/>
      <c r="I1939" s="20"/>
      <c r="J1939" s="251" t="s">
        <v>2205</v>
      </c>
      <c r="K1939" s="471" t="s">
        <v>2206</v>
      </c>
      <c r="L1939" s="471"/>
      <c r="M1939" s="471"/>
      <c r="N1939" s="66" t="s">
        <v>11</v>
      </c>
      <c r="O1939" s="66"/>
      <c r="P1939" s="67">
        <v>0.3</v>
      </c>
      <c r="Q1939" s="28">
        <f t="shared" si="259"/>
        <v>12.9</v>
      </c>
      <c r="R1939" s="28">
        <f t="shared" si="260"/>
        <v>10.32</v>
      </c>
    </row>
    <row r="1940" spans="1:18" ht="10.5" customHeight="1" x14ac:dyDescent="0.3">
      <c r="A1940" s="262"/>
      <c r="B1940" s="20"/>
      <c r="C1940" s="20"/>
      <c r="D1940" s="20"/>
      <c r="E1940" s="20"/>
      <c r="F1940" s="20"/>
      <c r="G1940" s="20"/>
      <c r="H1940" s="20"/>
      <c r="I1940" s="20"/>
      <c r="J1940" s="62" t="s">
        <v>2207</v>
      </c>
      <c r="K1940" s="471" t="s">
        <v>2208</v>
      </c>
      <c r="L1940" s="471"/>
      <c r="M1940" s="471"/>
      <c r="N1940" s="66" t="s">
        <v>11</v>
      </c>
      <c r="O1940" s="66"/>
      <c r="P1940" s="67">
        <v>0.47</v>
      </c>
      <c r="Q1940" s="28">
        <f t="shared" si="259"/>
        <v>20.209999999999997</v>
      </c>
      <c r="R1940" s="28">
        <f t="shared" si="260"/>
        <v>16.167999999999999</v>
      </c>
    </row>
    <row r="1941" spans="1:18" ht="10.5" customHeight="1" x14ac:dyDescent="0.3">
      <c r="A1941" s="262" t="s">
        <v>2006</v>
      </c>
      <c r="B1941" s="20"/>
      <c r="C1941" s="20"/>
      <c r="D1941" s="20"/>
      <c r="E1941" s="20"/>
      <c r="F1941" s="20"/>
      <c r="G1941" s="20"/>
      <c r="H1941" s="20"/>
      <c r="I1941" s="20"/>
      <c r="J1941" s="62" t="s">
        <v>2209</v>
      </c>
      <c r="K1941" s="471" t="s">
        <v>2210</v>
      </c>
      <c r="L1941" s="471"/>
      <c r="M1941" s="471"/>
      <c r="N1941" s="66" t="s">
        <v>11</v>
      </c>
      <c r="O1941" s="66"/>
      <c r="P1941" s="67">
        <v>0.53</v>
      </c>
      <c r="Q1941" s="28">
        <f t="shared" si="259"/>
        <v>22.790000000000003</v>
      </c>
      <c r="R1941" s="28">
        <f t="shared" si="260"/>
        <v>18.232000000000003</v>
      </c>
    </row>
    <row r="1942" spans="1:18" ht="10.5" customHeight="1" thickBot="1" x14ac:dyDescent="0.35">
      <c r="A1942" s="446" t="s">
        <v>78</v>
      </c>
      <c r="B1942" s="487" t="s">
        <v>79</v>
      </c>
      <c r="C1942" s="487"/>
      <c r="D1942" s="487"/>
      <c r="E1942" s="488" t="s">
        <v>80</v>
      </c>
      <c r="F1942" s="61"/>
      <c r="G1942" s="16" t="s">
        <v>81</v>
      </c>
      <c r="H1942" s="17" t="s">
        <v>82</v>
      </c>
      <c r="I1942" s="20"/>
      <c r="J1942" s="62" t="s">
        <v>2211</v>
      </c>
      <c r="K1942" s="471" t="s">
        <v>2212</v>
      </c>
      <c r="L1942" s="471"/>
      <c r="M1942" s="471"/>
      <c r="N1942" s="66" t="s">
        <v>11</v>
      </c>
      <c r="O1942" s="66"/>
      <c r="P1942" s="67">
        <v>1.05</v>
      </c>
      <c r="Q1942" s="28">
        <f t="shared" si="259"/>
        <v>45.15</v>
      </c>
      <c r="R1942" s="28">
        <f t="shared" si="260"/>
        <v>36.119999999999997</v>
      </c>
    </row>
    <row r="1943" spans="1:18" ht="10.5" customHeight="1" thickTop="1" x14ac:dyDescent="0.3">
      <c r="A1943" s="446"/>
      <c r="B1943" s="487"/>
      <c r="C1943" s="487"/>
      <c r="D1943" s="487"/>
      <c r="E1943" s="488"/>
      <c r="F1943" s="103"/>
      <c r="G1943" s="69" t="s">
        <v>375</v>
      </c>
      <c r="H1943" s="69" t="s">
        <v>375</v>
      </c>
      <c r="I1943" s="20"/>
      <c r="J1943" s="62" t="s">
        <v>2213</v>
      </c>
      <c r="K1943" s="471" t="s">
        <v>2214</v>
      </c>
      <c r="L1943" s="471"/>
      <c r="M1943" s="471"/>
      <c r="N1943" s="66" t="s">
        <v>11</v>
      </c>
      <c r="O1943" s="66"/>
      <c r="P1943" s="67">
        <v>0.63</v>
      </c>
      <c r="Q1943" s="28">
        <f t="shared" si="259"/>
        <v>27.09</v>
      </c>
      <c r="R1943" s="28">
        <f t="shared" si="260"/>
        <v>21.672000000000001</v>
      </c>
    </row>
    <row r="1944" spans="1:18" ht="10.5" customHeight="1" x14ac:dyDescent="0.3">
      <c r="A1944" s="251" t="s">
        <v>2215</v>
      </c>
      <c r="B1944" s="471" t="s">
        <v>2216</v>
      </c>
      <c r="C1944" s="471"/>
      <c r="D1944" s="471"/>
      <c r="E1944" s="66" t="s">
        <v>11</v>
      </c>
      <c r="F1944" s="67">
        <v>0.1</v>
      </c>
      <c r="G1944" s="28">
        <f>F1944*$F$10</f>
        <v>4.3</v>
      </c>
      <c r="H1944" s="28">
        <f>G1944-G1944*0.2</f>
        <v>3.44</v>
      </c>
      <c r="I1944" s="20"/>
      <c r="J1944" s="62" t="s">
        <v>2217</v>
      </c>
      <c r="K1944" s="471" t="s">
        <v>2218</v>
      </c>
      <c r="L1944" s="471"/>
      <c r="M1944" s="471"/>
      <c r="N1944" s="66" t="s">
        <v>11</v>
      </c>
      <c r="O1944" s="66"/>
      <c r="P1944" s="67">
        <v>0.66</v>
      </c>
      <c r="Q1944" s="28">
        <f t="shared" si="259"/>
        <v>28.380000000000003</v>
      </c>
      <c r="R1944" s="28">
        <f t="shared" si="260"/>
        <v>22.704000000000001</v>
      </c>
    </row>
    <row r="1945" spans="1:18" ht="10.5" customHeight="1" x14ac:dyDescent="0.3">
      <c r="A1945" s="251" t="s">
        <v>2219</v>
      </c>
      <c r="B1945" s="471" t="s">
        <v>2220</v>
      </c>
      <c r="C1945" s="471"/>
      <c r="D1945" s="471"/>
      <c r="E1945" s="66" t="s">
        <v>11</v>
      </c>
      <c r="F1945" s="67">
        <v>0.12</v>
      </c>
      <c r="G1945" s="28">
        <f>F1945*$F$10</f>
        <v>5.16</v>
      </c>
      <c r="H1945" s="28">
        <f>G1945-G1945*0.2</f>
        <v>4.1280000000000001</v>
      </c>
      <c r="I1945" s="20"/>
      <c r="J1945" s="62" t="s">
        <v>2221</v>
      </c>
      <c r="K1945" s="471" t="s">
        <v>2222</v>
      </c>
      <c r="L1945" s="471"/>
      <c r="M1945" s="471"/>
      <c r="N1945" s="66" t="s">
        <v>11</v>
      </c>
      <c r="O1945" s="66"/>
      <c r="P1945" s="67">
        <v>1.28</v>
      </c>
      <c r="Q1945" s="28">
        <f t="shared" si="259"/>
        <v>55.04</v>
      </c>
      <c r="R1945" s="28">
        <f t="shared" si="260"/>
        <v>44.031999999999996</v>
      </c>
    </row>
    <row r="1946" spans="1:18" ht="10.5" customHeight="1" x14ac:dyDescent="0.3">
      <c r="A1946" s="251" t="s">
        <v>2223</v>
      </c>
      <c r="B1946" s="471" t="s">
        <v>2224</v>
      </c>
      <c r="C1946" s="471"/>
      <c r="D1946" s="471"/>
      <c r="E1946" s="66" t="s">
        <v>11</v>
      </c>
      <c r="F1946" s="67">
        <v>0.16</v>
      </c>
      <c r="G1946" s="28">
        <f>F1946*$F$10</f>
        <v>6.88</v>
      </c>
      <c r="H1946" s="28">
        <f>G1946-G1946*0.2</f>
        <v>5.5039999999999996</v>
      </c>
      <c r="I1946" s="54"/>
      <c r="J1946" s="62" t="s">
        <v>2225</v>
      </c>
      <c r="K1946" s="471" t="s">
        <v>2226</v>
      </c>
      <c r="L1946" s="471"/>
      <c r="M1946" s="471"/>
      <c r="N1946" s="66" t="s">
        <v>11</v>
      </c>
      <c r="O1946" s="66"/>
      <c r="P1946" s="67">
        <v>0.78</v>
      </c>
      <c r="Q1946" s="28">
        <f t="shared" si="259"/>
        <v>33.54</v>
      </c>
      <c r="R1946" s="28">
        <f t="shared" si="260"/>
        <v>26.832000000000001</v>
      </c>
    </row>
    <row r="1947" spans="1:18" ht="10.5" customHeight="1" x14ac:dyDescent="0.3">
      <c r="A1947" s="251" t="s">
        <v>2227</v>
      </c>
      <c r="B1947" s="471" t="s">
        <v>2228</v>
      </c>
      <c r="C1947" s="471"/>
      <c r="D1947" s="471"/>
      <c r="E1947" s="66" t="s">
        <v>11</v>
      </c>
      <c r="F1947" s="67">
        <v>0.2</v>
      </c>
      <c r="G1947" s="28">
        <f>F1947*$F$10</f>
        <v>8.6</v>
      </c>
      <c r="H1947" s="28">
        <f>G1947-G1947*0.2</f>
        <v>6.88</v>
      </c>
      <c r="I1947" s="54"/>
      <c r="J1947" s="62" t="s">
        <v>2229</v>
      </c>
      <c r="K1947" s="471" t="s">
        <v>2230</v>
      </c>
      <c r="L1947" s="471"/>
      <c r="M1947" s="471"/>
      <c r="N1947" s="66" t="s">
        <v>11</v>
      </c>
      <c r="O1947" s="66"/>
      <c r="P1947" s="67">
        <v>2.37</v>
      </c>
      <c r="Q1947" s="28">
        <f t="shared" si="259"/>
        <v>101.91000000000001</v>
      </c>
      <c r="R1947" s="28">
        <f t="shared" si="260"/>
        <v>81.528000000000006</v>
      </c>
    </row>
    <row r="1948" spans="1:18" ht="10.5" customHeight="1" x14ac:dyDescent="0.3">
      <c r="A1948" s="20"/>
      <c r="B1948" s="20"/>
      <c r="C1948" s="20"/>
      <c r="D1948" s="20"/>
      <c r="E1948" s="363"/>
      <c r="F1948" s="20"/>
      <c r="G1948" s="20"/>
      <c r="H1948" s="20"/>
      <c r="I1948" s="20"/>
      <c r="J1948" s="364"/>
      <c r="K1948" s="365"/>
      <c r="L1948" s="366"/>
      <c r="M1948" s="366"/>
      <c r="N1948" s="367"/>
      <c r="O1948" s="367"/>
      <c r="P1948" s="368"/>
      <c r="Q1948" s="368"/>
      <c r="R1948" s="368"/>
    </row>
    <row r="1949" spans="1:18" ht="10.5" customHeight="1" x14ac:dyDescent="0.3">
      <c r="A1949" s="166" t="s">
        <v>2231</v>
      </c>
      <c r="B1949" s="48" t="s">
        <v>2232</v>
      </c>
      <c r="C1949" s="49"/>
      <c r="D1949" s="49"/>
      <c r="E1949" s="49"/>
      <c r="F1949" s="49"/>
      <c r="G1949" s="49"/>
      <c r="H1949" s="49"/>
      <c r="I1949" s="49"/>
      <c r="J1949" s="452" t="s">
        <v>78</v>
      </c>
      <c r="K1949" s="477" t="s">
        <v>79</v>
      </c>
      <c r="L1949" s="477"/>
      <c r="M1949" s="477"/>
      <c r="N1949" s="473" t="s">
        <v>80</v>
      </c>
      <c r="O1949" s="434"/>
      <c r="P1949" s="61"/>
      <c r="Q1949" s="16" t="s">
        <v>81</v>
      </c>
      <c r="R1949" s="17" t="s">
        <v>82</v>
      </c>
    </row>
    <row r="1950" spans="1:18" ht="10.5" customHeight="1" thickTop="1" x14ac:dyDescent="0.3">
      <c r="A1950" s="262"/>
      <c r="B1950" s="20"/>
      <c r="C1950" s="20"/>
      <c r="D1950" s="20"/>
      <c r="E1950" s="20"/>
      <c r="F1950" s="20"/>
      <c r="G1950" s="20"/>
      <c r="H1950" s="20"/>
      <c r="I1950" s="20"/>
      <c r="J1950" s="452"/>
      <c r="K1950" s="477"/>
      <c r="L1950" s="477"/>
      <c r="M1950" s="477"/>
      <c r="N1950" s="473"/>
      <c r="O1950" s="369"/>
      <c r="P1950" s="68"/>
      <c r="Q1950" s="69" t="s">
        <v>375</v>
      </c>
      <c r="R1950" s="69" t="s">
        <v>375</v>
      </c>
    </row>
    <row r="1951" spans="1:18" ht="10.5" customHeight="1" x14ac:dyDescent="0.3">
      <c r="A1951" s="262" t="s">
        <v>2006</v>
      </c>
      <c r="B1951" s="20"/>
      <c r="C1951" s="20"/>
      <c r="D1951" s="20"/>
      <c r="E1951" s="20"/>
      <c r="F1951" s="20"/>
      <c r="G1951" s="20"/>
      <c r="H1951" s="20"/>
      <c r="I1951" s="20"/>
      <c r="J1951" s="380" t="s">
        <v>2233</v>
      </c>
      <c r="K1951" s="492" t="s">
        <v>2234</v>
      </c>
      <c r="L1951" s="492"/>
      <c r="M1951" s="492"/>
      <c r="N1951" s="381" t="s">
        <v>11</v>
      </c>
      <c r="O1951" s="381"/>
      <c r="P1951" s="382">
        <v>0.77</v>
      </c>
      <c r="Q1951" s="383">
        <f>P1951*$F$10</f>
        <v>33.11</v>
      </c>
      <c r="R1951" s="383">
        <f>Q1951-Q1951*0.2</f>
        <v>26.488</v>
      </c>
    </row>
    <row r="1952" spans="1:18" ht="43.5" customHeight="1" x14ac:dyDescent="0.3">
      <c r="A1952" s="55"/>
      <c r="B1952" s="83"/>
      <c r="C1952" s="83"/>
      <c r="D1952" s="83"/>
      <c r="E1952" s="83"/>
      <c r="F1952" s="83"/>
      <c r="G1952" s="83"/>
      <c r="H1952" s="83"/>
      <c r="I1952" s="116"/>
      <c r="J1952" s="376" t="s">
        <v>2235</v>
      </c>
      <c r="K1952" s="491" t="s">
        <v>2236</v>
      </c>
      <c r="L1952" s="491"/>
      <c r="M1952" s="491"/>
      <c r="N1952" s="377" t="s">
        <v>11</v>
      </c>
      <c r="O1952" s="377"/>
      <c r="P1952" s="378">
        <v>1.61</v>
      </c>
      <c r="Q1952" s="379">
        <f>P1952*$F$10</f>
        <v>69.23</v>
      </c>
      <c r="R1952" s="379">
        <f>Q1952-Q1952*0.2</f>
        <v>55.384</v>
      </c>
    </row>
    <row r="1953" spans="1:18" ht="10.5" customHeight="1" x14ac:dyDescent="0.3">
      <c r="A1953" s="20"/>
      <c r="B1953" s="20"/>
      <c r="C1953" s="20"/>
      <c r="D1953" s="20"/>
      <c r="E1953" s="363"/>
      <c r="F1953" s="20"/>
      <c r="G1953" s="20"/>
      <c r="H1953" s="20"/>
      <c r="I1953" s="20"/>
      <c r="J1953" s="364"/>
      <c r="K1953" s="365"/>
      <c r="L1953" s="366"/>
      <c r="M1953" s="366"/>
      <c r="N1953" s="367"/>
      <c r="O1953" s="367"/>
      <c r="P1953" s="368"/>
      <c r="Q1953" s="368"/>
      <c r="R1953" s="368"/>
    </row>
    <row r="1954" spans="1:18" ht="10.5" customHeight="1" x14ac:dyDescent="0.3">
      <c r="A1954" s="166" t="s">
        <v>2237</v>
      </c>
      <c r="B1954" s="48" t="s">
        <v>2238</v>
      </c>
      <c r="C1954" s="49"/>
      <c r="D1954" s="49"/>
      <c r="E1954" s="49"/>
      <c r="F1954" s="49"/>
      <c r="G1954" s="49"/>
      <c r="H1954" s="49"/>
      <c r="I1954" s="49"/>
      <c r="J1954" s="452" t="s">
        <v>78</v>
      </c>
      <c r="K1954" s="477" t="s">
        <v>79</v>
      </c>
      <c r="L1954" s="477"/>
      <c r="M1954" s="477"/>
      <c r="N1954" s="473" t="s">
        <v>80</v>
      </c>
      <c r="O1954" s="434"/>
      <c r="P1954" s="61"/>
      <c r="Q1954" s="16" t="s">
        <v>81</v>
      </c>
      <c r="R1954" s="17" t="s">
        <v>82</v>
      </c>
    </row>
    <row r="1955" spans="1:18" ht="10.5" customHeight="1" thickTop="1" x14ac:dyDescent="0.3">
      <c r="A1955" s="18"/>
      <c r="B1955" s="20"/>
      <c r="C1955" s="20"/>
      <c r="D1955" s="20"/>
      <c r="E1955" s="20"/>
      <c r="F1955" s="20"/>
      <c r="G1955" s="20"/>
      <c r="H1955" s="20"/>
      <c r="I1955" s="20"/>
      <c r="J1955" s="452"/>
      <c r="K1955" s="477"/>
      <c r="L1955" s="477"/>
      <c r="M1955" s="477"/>
      <c r="N1955" s="473"/>
      <c r="O1955" s="369"/>
      <c r="P1955" s="68"/>
      <c r="Q1955" s="69" t="s">
        <v>375</v>
      </c>
      <c r="R1955" s="69" t="s">
        <v>375</v>
      </c>
    </row>
    <row r="1956" spans="1:18" ht="10.5" customHeight="1" x14ac:dyDescent="0.3">
      <c r="A1956" s="18"/>
      <c r="B1956" s="20"/>
      <c r="C1956" s="20"/>
      <c r="D1956" s="20"/>
      <c r="E1956" s="20"/>
      <c r="F1956" s="20"/>
      <c r="G1956" s="20"/>
      <c r="H1956" s="20"/>
      <c r="I1956" s="20"/>
      <c r="J1956" s="361" t="s">
        <v>2239</v>
      </c>
      <c r="K1956" s="486" t="s">
        <v>2240</v>
      </c>
      <c r="L1956" s="486"/>
      <c r="M1956" s="486"/>
      <c r="N1956" s="291" t="s">
        <v>11</v>
      </c>
      <c r="O1956" s="291"/>
      <c r="P1956" s="292">
        <v>1.65</v>
      </c>
      <c r="Q1956" s="319">
        <f t="shared" ref="Q1956:Q1962" si="261">P1956*$F$10</f>
        <v>70.95</v>
      </c>
      <c r="R1956" s="319">
        <f t="shared" ref="R1956:R1962" si="262">Q1956-Q1956*0.2</f>
        <v>56.760000000000005</v>
      </c>
    </row>
    <row r="1957" spans="1:18" ht="10.5" customHeight="1" x14ac:dyDescent="0.3">
      <c r="A1957" s="18"/>
      <c r="B1957" s="20"/>
      <c r="C1957" s="20"/>
      <c r="D1957" s="20"/>
      <c r="E1957" s="20"/>
      <c r="F1957" s="20"/>
      <c r="G1957" s="20"/>
      <c r="H1957" s="20"/>
      <c r="I1957" s="20"/>
      <c r="J1957" s="251" t="s">
        <v>2241</v>
      </c>
      <c r="K1957" s="471" t="s">
        <v>2196</v>
      </c>
      <c r="L1957" s="471"/>
      <c r="M1957" s="471"/>
      <c r="N1957" s="66" t="s">
        <v>11</v>
      </c>
      <c r="O1957" s="66"/>
      <c r="P1957" s="67">
        <v>1.61</v>
      </c>
      <c r="Q1957" s="28">
        <f t="shared" si="261"/>
        <v>69.23</v>
      </c>
      <c r="R1957" s="28">
        <f t="shared" si="262"/>
        <v>55.384</v>
      </c>
    </row>
    <row r="1958" spans="1:18" ht="10.5" customHeight="1" x14ac:dyDescent="0.3">
      <c r="A1958" s="262"/>
      <c r="B1958" s="20"/>
      <c r="C1958" s="20"/>
      <c r="D1958" s="20"/>
      <c r="E1958" s="20"/>
      <c r="F1958" s="20"/>
      <c r="G1958" s="20"/>
      <c r="H1958" s="20"/>
      <c r="I1958" s="20"/>
      <c r="J1958" s="62" t="s">
        <v>2242</v>
      </c>
      <c r="K1958" s="471" t="s">
        <v>2198</v>
      </c>
      <c r="L1958" s="471"/>
      <c r="M1958" s="471"/>
      <c r="N1958" s="66" t="s">
        <v>11</v>
      </c>
      <c r="O1958" s="66"/>
      <c r="P1958" s="67">
        <v>2.48</v>
      </c>
      <c r="Q1958" s="28">
        <f t="shared" si="261"/>
        <v>106.64</v>
      </c>
      <c r="R1958" s="28">
        <f t="shared" si="262"/>
        <v>85.311999999999998</v>
      </c>
    </row>
    <row r="1959" spans="1:18" ht="10.5" customHeight="1" x14ac:dyDescent="0.3">
      <c r="A1959" s="262" t="s">
        <v>2006</v>
      </c>
      <c r="B1959" s="20"/>
      <c r="C1959" s="20"/>
      <c r="D1959" s="20"/>
      <c r="E1959" s="20"/>
      <c r="F1959" s="20"/>
      <c r="G1959" s="20"/>
      <c r="H1959" s="20"/>
      <c r="I1959" s="20"/>
      <c r="J1959" s="62" t="s">
        <v>2243</v>
      </c>
      <c r="K1959" s="471" t="s">
        <v>2244</v>
      </c>
      <c r="L1959" s="471"/>
      <c r="M1959" s="471"/>
      <c r="N1959" s="66" t="s">
        <v>11</v>
      </c>
      <c r="O1959" s="66"/>
      <c r="P1959" s="67">
        <v>1.93</v>
      </c>
      <c r="Q1959" s="28">
        <f t="shared" si="261"/>
        <v>82.99</v>
      </c>
      <c r="R1959" s="28">
        <f t="shared" si="262"/>
        <v>66.391999999999996</v>
      </c>
    </row>
    <row r="1960" spans="1:18" ht="10.5" customHeight="1" thickBot="1" x14ac:dyDescent="0.35">
      <c r="A1960" s="446" t="s">
        <v>78</v>
      </c>
      <c r="B1960" s="487" t="s">
        <v>79</v>
      </c>
      <c r="C1960" s="487"/>
      <c r="D1960" s="487"/>
      <c r="E1960" s="488" t="s">
        <v>80</v>
      </c>
      <c r="F1960" s="61"/>
      <c r="G1960" s="16" t="s">
        <v>81</v>
      </c>
      <c r="H1960" s="17" t="s">
        <v>82</v>
      </c>
      <c r="I1960" s="20"/>
      <c r="J1960" s="62" t="s">
        <v>2245</v>
      </c>
      <c r="K1960" s="471" t="s">
        <v>2246</v>
      </c>
      <c r="L1960" s="471"/>
      <c r="M1960" s="471"/>
      <c r="N1960" s="66" t="s">
        <v>11</v>
      </c>
      <c r="O1960" s="66"/>
      <c r="P1960" s="67">
        <v>2.14</v>
      </c>
      <c r="Q1960" s="28">
        <f t="shared" si="261"/>
        <v>92.02000000000001</v>
      </c>
      <c r="R1960" s="28">
        <f t="shared" si="262"/>
        <v>73.616000000000014</v>
      </c>
    </row>
    <row r="1961" spans="1:18" ht="10.5" customHeight="1" thickTop="1" x14ac:dyDescent="0.3">
      <c r="A1961" s="446"/>
      <c r="B1961" s="487"/>
      <c r="C1961" s="487"/>
      <c r="D1961" s="487"/>
      <c r="E1961" s="488"/>
      <c r="F1961" s="103"/>
      <c r="G1961" s="69" t="s">
        <v>375</v>
      </c>
      <c r="H1961" s="69" t="s">
        <v>375</v>
      </c>
      <c r="I1961" s="20"/>
      <c r="J1961" s="62" t="s">
        <v>2247</v>
      </c>
      <c r="K1961" s="471" t="s">
        <v>2248</v>
      </c>
      <c r="L1961" s="471"/>
      <c r="M1961" s="471"/>
      <c r="N1961" s="66" t="s">
        <v>11</v>
      </c>
      <c r="O1961" s="66"/>
      <c r="P1961" s="67">
        <v>3.68</v>
      </c>
      <c r="Q1961" s="28">
        <f t="shared" si="261"/>
        <v>158.24</v>
      </c>
      <c r="R1961" s="28">
        <f t="shared" si="262"/>
        <v>126.59200000000001</v>
      </c>
    </row>
    <row r="1962" spans="1:18" ht="10.5" customHeight="1" x14ac:dyDescent="0.3">
      <c r="A1962" s="251" t="s">
        <v>2249</v>
      </c>
      <c r="B1962" s="471" t="s">
        <v>2250</v>
      </c>
      <c r="C1962" s="471"/>
      <c r="D1962" s="471"/>
      <c r="E1962" s="66" t="s">
        <v>11</v>
      </c>
      <c r="F1962" s="67">
        <v>1.0228440972222221</v>
      </c>
      <c r="G1962" s="28">
        <f>F1962*$F$10</f>
        <v>43.982296180555551</v>
      </c>
      <c r="H1962" s="28">
        <f>G1962-G1962*0.2</f>
        <v>35.185836944444439</v>
      </c>
      <c r="I1962" s="20"/>
      <c r="J1962" s="62" t="s">
        <v>2251</v>
      </c>
      <c r="K1962" s="471" t="s">
        <v>2252</v>
      </c>
      <c r="L1962" s="471"/>
      <c r="M1962" s="471"/>
      <c r="N1962" s="66" t="s">
        <v>11</v>
      </c>
      <c r="O1962" s="66"/>
      <c r="P1962" s="67">
        <v>2.56</v>
      </c>
      <c r="Q1962" s="28">
        <f t="shared" si="261"/>
        <v>110.08</v>
      </c>
      <c r="R1962" s="28">
        <f t="shared" si="262"/>
        <v>88.063999999999993</v>
      </c>
    </row>
    <row r="1963" spans="1:18" ht="10.5" customHeight="1" x14ac:dyDescent="0.3">
      <c r="A1963" s="251" t="s">
        <v>2253</v>
      </c>
      <c r="B1963" s="471" t="s">
        <v>2254</v>
      </c>
      <c r="C1963" s="471"/>
      <c r="D1963" s="471"/>
      <c r="E1963" s="66" t="s">
        <v>11</v>
      </c>
      <c r="F1963" s="67">
        <v>1.06</v>
      </c>
      <c r="G1963" s="28">
        <f>F1963*$F$10</f>
        <v>45.580000000000005</v>
      </c>
      <c r="H1963" s="28">
        <f>G1963-G1963*0.2</f>
        <v>36.464000000000006</v>
      </c>
      <c r="I1963" s="83"/>
      <c r="J1963" s="335"/>
      <c r="K1963" s="493"/>
      <c r="L1963" s="493"/>
      <c r="M1963" s="493"/>
      <c r="N1963" s="384"/>
      <c r="O1963" s="384"/>
      <c r="P1963" s="385"/>
      <c r="Q1963" s="283"/>
      <c r="R1963" s="386"/>
    </row>
    <row r="1964" spans="1:18" ht="10.5" customHeight="1" x14ac:dyDescent="0.3">
      <c r="A1964" s="20"/>
      <c r="B1964" s="20"/>
      <c r="C1964" s="20"/>
      <c r="D1964" s="20"/>
      <c r="E1964" s="20"/>
      <c r="F1964" s="20"/>
      <c r="G1964" s="20"/>
      <c r="H1964" s="20"/>
      <c r="I1964" s="20"/>
      <c r="J1964" s="20"/>
      <c r="K1964" s="20"/>
      <c r="L1964" s="20"/>
      <c r="M1964" s="20"/>
      <c r="N1964" s="20"/>
      <c r="O1964" s="20"/>
      <c r="P1964" s="20"/>
      <c r="Q1964" s="20"/>
      <c r="R1964" s="20"/>
    </row>
    <row r="1965" spans="1:18" ht="10.5" customHeight="1" x14ac:dyDescent="0.3">
      <c r="A1965" s="166" t="s">
        <v>2255</v>
      </c>
      <c r="B1965" s="48" t="s">
        <v>2256</v>
      </c>
      <c r="C1965" s="49"/>
      <c r="D1965" s="49"/>
      <c r="E1965" s="49"/>
      <c r="F1965" s="49"/>
      <c r="G1965" s="49"/>
      <c r="H1965" s="49"/>
      <c r="I1965" s="49"/>
      <c r="J1965" s="452" t="s">
        <v>78</v>
      </c>
      <c r="K1965" s="477" t="s">
        <v>79</v>
      </c>
      <c r="L1965" s="477"/>
      <c r="M1965" s="477"/>
      <c r="N1965" s="473" t="s">
        <v>80</v>
      </c>
      <c r="O1965" s="434"/>
      <c r="P1965" s="61"/>
      <c r="Q1965" s="16" t="s">
        <v>81</v>
      </c>
      <c r="R1965" s="17" t="s">
        <v>82</v>
      </c>
    </row>
    <row r="1966" spans="1:18" ht="10.5" customHeight="1" thickTop="1" x14ac:dyDescent="0.3">
      <c r="A1966" s="18"/>
      <c r="B1966" s="20"/>
      <c r="C1966" s="20"/>
      <c r="D1966" s="20"/>
      <c r="E1966" s="20"/>
      <c r="F1966" s="20"/>
      <c r="G1966" s="20"/>
      <c r="H1966" s="20"/>
      <c r="I1966" s="20"/>
      <c r="J1966" s="452"/>
      <c r="K1966" s="477"/>
      <c r="L1966" s="477"/>
      <c r="M1966" s="477"/>
      <c r="N1966" s="473"/>
      <c r="O1966" s="369"/>
      <c r="P1966" s="68"/>
      <c r="Q1966" s="69" t="s">
        <v>375</v>
      </c>
      <c r="R1966" s="69" t="s">
        <v>375</v>
      </c>
    </row>
    <row r="1967" spans="1:18" ht="10.5" customHeight="1" x14ac:dyDescent="0.3">
      <c r="A1967" s="262" t="s">
        <v>2006</v>
      </c>
      <c r="B1967" s="20"/>
      <c r="C1967" s="20"/>
      <c r="D1967" s="20"/>
      <c r="E1967" s="20"/>
      <c r="F1967" s="20"/>
      <c r="G1967" s="20"/>
      <c r="H1967" s="20"/>
      <c r="I1967" s="20"/>
      <c r="J1967" s="361" t="s">
        <v>2257</v>
      </c>
      <c r="K1967" s="486" t="s">
        <v>2192</v>
      </c>
      <c r="L1967" s="486"/>
      <c r="M1967" s="486"/>
      <c r="N1967" s="291" t="s">
        <v>11</v>
      </c>
      <c r="O1967" s="291"/>
      <c r="P1967" s="292">
        <v>1.06</v>
      </c>
      <c r="Q1967" s="319">
        <f>P1967*$F$10</f>
        <v>45.580000000000005</v>
      </c>
      <c r="R1967" s="319">
        <f>Q1967-Q1967*0.2</f>
        <v>36.464000000000006</v>
      </c>
    </row>
    <row r="1968" spans="1:18" ht="10.5" customHeight="1" x14ac:dyDescent="0.3">
      <c r="A1968" s="18"/>
      <c r="B1968" s="20"/>
      <c r="C1968" s="20"/>
      <c r="D1968" s="20"/>
      <c r="E1968" s="20"/>
      <c r="F1968" s="20"/>
      <c r="G1968" s="20"/>
      <c r="H1968" s="20"/>
      <c r="I1968" s="20"/>
      <c r="J1968" s="251" t="s">
        <v>2258</v>
      </c>
      <c r="K1968" s="471" t="s">
        <v>2259</v>
      </c>
      <c r="L1968" s="471"/>
      <c r="M1968" s="471"/>
      <c r="N1968" s="66" t="s">
        <v>11</v>
      </c>
      <c r="O1968" s="66"/>
      <c r="P1968" s="67">
        <v>1.47</v>
      </c>
      <c r="Q1968" s="28">
        <f>P1968*$F$10</f>
        <v>63.21</v>
      </c>
      <c r="R1968" s="28">
        <f>Q1968-Q1968*0.2</f>
        <v>50.567999999999998</v>
      </c>
    </row>
    <row r="1969" spans="1:18" ht="10.5" customHeight="1" x14ac:dyDescent="0.3">
      <c r="A1969" s="262"/>
      <c r="B1969" s="20"/>
      <c r="C1969" s="20"/>
      <c r="D1969" s="20"/>
      <c r="E1969" s="20"/>
      <c r="F1969" s="20"/>
      <c r="G1969" s="20"/>
      <c r="H1969" s="20"/>
      <c r="I1969" s="20"/>
      <c r="J1969" s="62" t="s">
        <v>2260</v>
      </c>
      <c r="K1969" s="471" t="s">
        <v>2261</v>
      </c>
      <c r="L1969" s="471"/>
      <c r="M1969" s="471"/>
      <c r="N1969" s="66" t="s">
        <v>11</v>
      </c>
      <c r="O1969" s="66"/>
      <c r="P1969" s="67">
        <v>1.24</v>
      </c>
      <c r="Q1969" s="28">
        <f>P1969*$F$10</f>
        <v>53.32</v>
      </c>
      <c r="R1969" s="28">
        <f>Q1969-Q1969*0.2</f>
        <v>42.655999999999999</v>
      </c>
    </row>
    <row r="1970" spans="1:18" ht="10.5" customHeight="1" x14ac:dyDescent="0.3">
      <c r="A1970" s="328"/>
      <c r="B1970" s="83"/>
      <c r="C1970" s="83"/>
      <c r="D1970" s="83"/>
      <c r="E1970" s="83"/>
      <c r="F1970" s="83"/>
      <c r="G1970" s="83"/>
      <c r="H1970" s="83"/>
      <c r="I1970" s="116"/>
      <c r="J1970" s="62" t="s">
        <v>2262</v>
      </c>
      <c r="K1970" s="471" t="s">
        <v>2263</v>
      </c>
      <c r="L1970" s="471"/>
      <c r="M1970" s="471"/>
      <c r="N1970" s="66" t="s">
        <v>11</v>
      </c>
      <c r="O1970" s="66"/>
      <c r="P1970" s="67">
        <v>2.14</v>
      </c>
      <c r="Q1970" s="28">
        <f>P1970*$F$10</f>
        <v>92.02000000000001</v>
      </c>
      <c r="R1970" s="28">
        <f>Q1970-Q1970*0.2</f>
        <v>73.616000000000014</v>
      </c>
    </row>
    <row r="1971" spans="1:18" ht="10.5" customHeight="1" x14ac:dyDescent="0.3">
      <c r="A1971" s="20"/>
      <c r="B1971" s="20"/>
      <c r="C1971" s="20"/>
      <c r="D1971" s="20"/>
      <c r="E1971" s="20"/>
      <c r="F1971" s="20"/>
      <c r="G1971" s="20"/>
      <c r="H1971" s="20"/>
      <c r="I1971" s="20"/>
      <c r="J1971" s="20"/>
      <c r="K1971" s="20"/>
      <c r="L1971" s="20"/>
      <c r="M1971" s="20"/>
      <c r="N1971" s="20"/>
      <c r="O1971" s="20"/>
      <c r="P1971" s="20"/>
      <c r="Q1971" s="20"/>
      <c r="R1971" s="20"/>
    </row>
    <row r="1972" spans="1:18" ht="10.5" customHeight="1" x14ac:dyDescent="0.3">
      <c r="A1972" s="166" t="s">
        <v>2264</v>
      </c>
      <c r="B1972" s="48" t="s">
        <v>2265</v>
      </c>
      <c r="C1972" s="49"/>
      <c r="D1972" s="49"/>
      <c r="E1972" s="49"/>
      <c r="F1972" s="49"/>
      <c r="G1972" s="49"/>
      <c r="H1972" s="49"/>
      <c r="I1972" s="49"/>
      <c r="J1972" s="452" t="s">
        <v>78</v>
      </c>
      <c r="K1972" s="477" t="s">
        <v>79</v>
      </c>
      <c r="L1972" s="477"/>
      <c r="M1972" s="477"/>
      <c r="N1972" s="473" t="s">
        <v>80</v>
      </c>
      <c r="O1972" s="434"/>
      <c r="P1972" s="61"/>
      <c r="Q1972" s="16" t="s">
        <v>81</v>
      </c>
      <c r="R1972" s="17" t="s">
        <v>82</v>
      </c>
    </row>
    <row r="1973" spans="1:18" ht="10.5" customHeight="1" thickTop="1" x14ac:dyDescent="0.3">
      <c r="A1973" s="18"/>
      <c r="B1973" s="20"/>
      <c r="C1973" s="20"/>
      <c r="D1973" s="20"/>
      <c r="E1973" s="20"/>
      <c r="F1973" s="20"/>
      <c r="G1973" s="20"/>
      <c r="H1973" s="20"/>
      <c r="I1973" s="20"/>
      <c r="J1973" s="452"/>
      <c r="K1973" s="477"/>
      <c r="L1973" s="477"/>
      <c r="M1973" s="477"/>
      <c r="N1973" s="473"/>
      <c r="O1973" s="369"/>
      <c r="P1973" s="68"/>
      <c r="Q1973" s="69" t="s">
        <v>375</v>
      </c>
      <c r="R1973" s="69" t="s">
        <v>375</v>
      </c>
    </row>
    <row r="1974" spans="1:18" ht="10.5" customHeight="1" x14ac:dyDescent="0.3">
      <c r="A1974" s="18"/>
      <c r="B1974" s="20"/>
      <c r="C1974" s="20"/>
      <c r="D1974" s="20"/>
      <c r="E1974" s="20"/>
      <c r="F1974" s="20"/>
      <c r="G1974" s="20"/>
      <c r="H1974" s="20"/>
      <c r="I1974" s="20"/>
      <c r="J1974" s="361" t="s">
        <v>2266</v>
      </c>
      <c r="K1974" s="486" t="s">
        <v>2267</v>
      </c>
      <c r="L1974" s="486"/>
      <c r="M1974" s="486"/>
      <c r="N1974" s="291" t="s">
        <v>11</v>
      </c>
      <c r="O1974" s="291"/>
      <c r="P1974" s="292">
        <v>0.71</v>
      </c>
      <c r="Q1974" s="319">
        <f t="shared" ref="Q1974:Q1979" si="263">P1974*$F$10</f>
        <v>30.529999999999998</v>
      </c>
      <c r="R1974" s="319">
        <f t="shared" ref="R1974:R1979" si="264">Q1974-Q1974*0.2</f>
        <v>24.423999999999999</v>
      </c>
    </row>
    <row r="1975" spans="1:18" ht="10.5" customHeight="1" x14ac:dyDescent="0.3">
      <c r="A1975" s="18"/>
      <c r="B1975" s="20"/>
      <c r="C1975" s="20"/>
      <c r="D1975" s="20"/>
      <c r="E1975" s="20"/>
      <c r="F1975" s="20"/>
      <c r="G1975" s="20"/>
      <c r="H1975" s="20"/>
      <c r="I1975" s="20"/>
      <c r="J1975" s="251" t="s">
        <v>2268</v>
      </c>
      <c r="K1975" s="471" t="s">
        <v>2269</v>
      </c>
      <c r="L1975" s="471"/>
      <c r="M1975" s="471"/>
      <c r="N1975" s="66" t="s">
        <v>11</v>
      </c>
      <c r="O1975" s="66"/>
      <c r="P1975" s="67">
        <v>0.79</v>
      </c>
      <c r="Q1975" s="28">
        <f t="shared" si="263"/>
        <v>33.97</v>
      </c>
      <c r="R1975" s="28">
        <f t="shared" si="264"/>
        <v>27.175999999999998</v>
      </c>
    </row>
    <row r="1976" spans="1:18" ht="10.5" customHeight="1" x14ac:dyDescent="0.3">
      <c r="A1976" s="262"/>
      <c r="B1976" s="20"/>
      <c r="C1976" s="20"/>
      <c r="D1976" s="20"/>
      <c r="E1976" s="20"/>
      <c r="F1976" s="20"/>
      <c r="G1976" s="20"/>
      <c r="H1976" s="20"/>
      <c r="I1976" s="20"/>
      <c r="J1976" s="62" t="s">
        <v>2270</v>
      </c>
      <c r="K1976" s="471" t="s">
        <v>2271</v>
      </c>
      <c r="L1976" s="471"/>
      <c r="M1976" s="471"/>
      <c r="N1976" s="66" t="s">
        <v>11</v>
      </c>
      <c r="O1976" s="66"/>
      <c r="P1976" s="67">
        <v>1.06</v>
      </c>
      <c r="Q1976" s="28">
        <f t="shared" si="263"/>
        <v>45.580000000000005</v>
      </c>
      <c r="R1976" s="28">
        <f t="shared" si="264"/>
        <v>36.464000000000006</v>
      </c>
    </row>
    <row r="1977" spans="1:18" ht="10.5" customHeight="1" x14ac:dyDescent="0.3">
      <c r="A1977" s="262"/>
      <c r="B1977" s="20"/>
      <c r="C1977" s="20"/>
      <c r="D1977" s="20"/>
      <c r="E1977" s="20"/>
      <c r="F1977" s="20"/>
      <c r="G1977" s="20"/>
      <c r="H1977" s="20"/>
      <c r="I1977" s="20"/>
      <c r="J1977" s="62" t="s">
        <v>2272</v>
      </c>
      <c r="K1977" s="471" t="s">
        <v>2273</v>
      </c>
      <c r="L1977" s="471"/>
      <c r="M1977" s="471"/>
      <c r="N1977" s="66" t="s">
        <v>11</v>
      </c>
      <c r="O1977" s="66"/>
      <c r="P1977" s="67">
        <v>0.84</v>
      </c>
      <c r="Q1977" s="28">
        <f t="shared" si="263"/>
        <v>36.119999999999997</v>
      </c>
      <c r="R1977" s="28">
        <f t="shared" si="264"/>
        <v>28.895999999999997</v>
      </c>
    </row>
    <row r="1978" spans="1:18" ht="10.5" customHeight="1" x14ac:dyDescent="0.3">
      <c r="A1978" s="262" t="s">
        <v>2006</v>
      </c>
      <c r="B1978" s="460"/>
      <c r="C1978" s="460"/>
      <c r="D1978" s="460"/>
      <c r="E1978" s="171"/>
      <c r="F1978" s="172"/>
      <c r="G1978" s="173"/>
      <c r="H1978" s="174"/>
      <c r="I1978" s="101"/>
      <c r="J1978" s="62" t="s">
        <v>2274</v>
      </c>
      <c r="K1978" s="471" t="s">
        <v>2275</v>
      </c>
      <c r="L1978" s="471"/>
      <c r="M1978" s="471"/>
      <c r="N1978" s="66" t="s">
        <v>11</v>
      </c>
      <c r="O1978" s="66"/>
      <c r="P1978" s="67">
        <v>0.95</v>
      </c>
      <c r="Q1978" s="28">
        <f t="shared" si="263"/>
        <v>40.85</v>
      </c>
      <c r="R1978" s="28">
        <f t="shared" si="264"/>
        <v>32.68</v>
      </c>
    </row>
    <row r="1979" spans="1:18" ht="10.5" customHeight="1" x14ac:dyDescent="0.3">
      <c r="A1979" s="272"/>
      <c r="B1979" s="489"/>
      <c r="C1979" s="489"/>
      <c r="D1979" s="489"/>
      <c r="E1979" s="369"/>
      <c r="F1979" s="370"/>
      <c r="G1979" s="371"/>
      <c r="H1979" s="372"/>
      <c r="I1979" s="116"/>
      <c r="J1979" s="62" t="s">
        <v>2276</v>
      </c>
      <c r="K1979" s="471" t="s">
        <v>2277</v>
      </c>
      <c r="L1979" s="471"/>
      <c r="M1979" s="471"/>
      <c r="N1979" s="66" t="s">
        <v>11</v>
      </c>
      <c r="O1979" s="66"/>
      <c r="P1979" s="67">
        <v>3.92</v>
      </c>
      <c r="Q1979" s="28">
        <f t="shared" si="263"/>
        <v>168.56</v>
      </c>
      <c r="R1979" s="28">
        <f t="shared" si="264"/>
        <v>134.84800000000001</v>
      </c>
    </row>
    <row r="1980" spans="1:18" ht="10.5" customHeight="1" x14ac:dyDescent="0.3">
      <c r="A1980" s="20"/>
      <c r="B1980" s="20"/>
      <c r="C1980" s="20"/>
      <c r="D1980" s="20"/>
      <c r="E1980" s="363"/>
      <c r="F1980" s="20"/>
      <c r="G1980" s="20"/>
      <c r="H1980" s="20"/>
      <c r="I1980" s="20"/>
      <c r="J1980" s="364"/>
      <c r="K1980" s="365"/>
      <c r="L1980" s="366"/>
      <c r="M1980" s="366"/>
      <c r="N1980" s="367"/>
      <c r="O1980" s="367"/>
      <c r="P1980" s="368"/>
      <c r="Q1980" s="368"/>
      <c r="R1980" s="368"/>
    </row>
    <row r="1981" spans="1:18" ht="10.5" customHeight="1" x14ac:dyDescent="0.3">
      <c r="A1981" s="166" t="s">
        <v>2278</v>
      </c>
      <c r="B1981" s="48" t="s">
        <v>2279</v>
      </c>
      <c r="C1981" s="49"/>
      <c r="D1981" s="49"/>
      <c r="E1981" s="49"/>
      <c r="F1981" s="49"/>
      <c r="G1981" s="49"/>
      <c r="H1981" s="49"/>
      <c r="I1981" s="49"/>
      <c r="J1981" s="452" t="s">
        <v>78</v>
      </c>
      <c r="K1981" s="477" t="s">
        <v>79</v>
      </c>
      <c r="L1981" s="477"/>
      <c r="M1981" s="477"/>
      <c r="N1981" s="473" t="s">
        <v>80</v>
      </c>
      <c r="O1981" s="434"/>
      <c r="P1981" s="61"/>
      <c r="Q1981" s="16" t="s">
        <v>81</v>
      </c>
      <c r="R1981" s="17" t="s">
        <v>82</v>
      </c>
    </row>
    <row r="1982" spans="1:18" ht="10.5" customHeight="1" thickTop="1" x14ac:dyDescent="0.3">
      <c r="A1982" s="18"/>
      <c r="B1982" s="20"/>
      <c r="C1982" s="20"/>
      <c r="D1982" s="20"/>
      <c r="E1982" s="20"/>
      <c r="F1982" s="20"/>
      <c r="G1982" s="20"/>
      <c r="H1982" s="20"/>
      <c r="I1982" s="20"/>
      <c r="J1982" s="452"/>
      <c r="K1982" s="477"/>
      <c r="L1982" s="477"/>
      <c r="M1982" s="477"/>
      <c r="N1982" s="473"/>
      <c r="O1982" s="369"/>
      <c r="P1982" s="68"/>
      <c r="Q1982" s="69" t="s">
        <v>375</v>
      </c>
      <c r="R1982" s="69" t="s">
        <v>375</v>
      </c>
    </row>
    <row r="1983" spans="1:18" ht="10.5" customHeight="1" x14ac:dyDescent="0.3">
      <c r="A1983" s="18"/>
      <c r="B1983" s="20"/>
      <c r="C1983" s="20"/>
      <c r="D1983" s="20"/>
      <c r="E1983" s="20"/>
      <c r="F1983" s="20"/>
      <c r="G1983" s="20"/>
      <c r="H1983" s="20"/>
      <c r="I1983" s="20"/>
      <c r="J1983" s="361" t="s">
        <v>2280</v>
      </c>
      <c r="K1983" s="486" t="s">
        <v>2281</v>
      </c>
      <c r="L1983" s="486"/>
      <c r="M1983" s="486"/>
      <c r="N1983" s="291" t="s">
        <v>11</v>
      </c>
      <c r="O1983" s="291"/>
      <c r="P1983" s="292">
        <v>1.5</v>
      </c>
      <c r="Q1983" s="319">
        <f>P1983*$F$10</f>
        <v>64.5</v>
      </c>
      <c r="R1983" s="319">
        <f>Q1983-Q1983*0.2</f>
        <v>51.6</v>
      </c>
    </row>
    <row r="1984" spans="1:18" ht="10.5" customHeight="1" x14ac:dyDescent="0.3">
      <c r="A1984" s="18"/>
      <c r="B1984" s="20"/>
      <c r="C1984" s="20"/>
      <c r="D1984" s="20"/>
      <c r="E1984" s="20"/>
      <c r="F1984" s="20"/>
      <c r="G1984" s="20"/>
      <c r="H1984" s="20"/>
      <c r="I1984" s="20"/>
      <c r="J1984" s="251" t="s">
        <v>2282</v>
      </c>
      <c r="K1984" s="471" t="s">
        <v>2283</v>
      </c>
      <c r="L1984" s="471"/>
      <c r="M1984" s="471"/>
      <c r="N1984" s="66" t="s">
        <v>11</v>
      </c>
      <c r="O1984" s="66"/>
      <c r="P1984" s="67">
        <v>1.94</v>
      </c>
      <c r="Q1984" s="28">
        <f>P1984*$F$10</f>
        <v>83.42</v>
      </c>
      <c r="R1984" s="28">
        <f>Q1984-Q1984*0.2</f>
        <v>66.736000000000004</v>
      </c>
    </row>
    <row r="1985" spans="1:18" ht="10.5" customHeight="1" x14ac:dyDescent="0.3">
      <c r="A1985" s="328" t="s">
        <v>2006</v>
      </c>
      <c r="B1985" s="489"/>
      <c r="C1985" s="489"/>
      <c r="D1985" s="489"/>
      <c r="E1985" s="369"/>
      <c r="F1985" s="370"/>
      <c r="G1985" s="371"/>
      <c r="H1985" s="372"/>
      <c r="I1985" s="83"/>
      <c r="J1985" s="83"/>
      <c r="K1985" s="490"/>
      <c r="L1985" s="490"/>
      <c r="M1985" s="490"/>
      <c r="N1985" s="373"/>
      <c r="O1985" s="373"/>
      <c r="P1985" s="374"/>
      <c r="Q1985" s="232"/>
      <c r="R1985" s="233"/>
    </row>
    <row r="1986" spans="1:18" ht="10.5" customHeight="1" x14ac:dyDescent="0.3">
      <c r="A1986" s="20"/>
      <c r="B1986" s="20"/>
      <c r="C1986" s="20"/>
      <c r="D1986" s="20"/>
      <c r="E1986" s="20"/>
      <c r="F1986" s="20"/>
      <c r="G1986" s="20"/>
      <c r="H1986" s="20"/>
      <c r="I1986" s="20"/>
      <c r="J1986" s="20"/>
      <c r="K1986" s="20"/>
      <c r="L1986" s="20"/>
      <c r="M1986" s="20"/>
      <c r="N1986" s="20"/>
      <c r="O1986" s="20"/>
      <c r="P1986" s="20"/>
      <c r="Q1986" s="20"/>
      <c r="R1986" s="20"/>
    </row>
    <row r="1987" spans="1:18" ht="10.5" customHeight="1" x14ac:dyDescent="0.3">
      <c r="A1987" s="166" t="s">
        <v>2284</v>
      </c>
      <c r="B1987" s="48" t="s">
        <v>2285</v>
      </c>
      <c r="C1987" s="49"/>
      <c r="D1987" s="49"/>
      <c r="E1987" s="49"/>
      <c r="F1987" s="49"/>
      <c r="G1987" s="49"/>
      <c r="H1987" s="49"/>
      <c r="I1987" s="49"/>
      <c r="J1987" s="452" t="s">
        <v>78</v>
      </c>
      <c r="K1987" s="477" t="s">
        <v>79</v>
      </c>
      <c r="L1987" s="477"/>
      <c r="M1987" s="477"/>
      <c r="N1987" s="473" t="s">
        <v>80</v>
      </c>
      <c r="O1987" s="434"/>
      <c r="P1987" s="61"/>
      <c r="Q1987" s="16" t="s">
        <v>81</v>
      </c>
      <c r="R1987" s="17" t="s">
        <v>82</v>
      </c>
    </row>
    <row r="1988" spans="1:18" ht="10.5" customHeight="1" x14ac:dyDescent="0.3">
      <c r="A1988" s="18"/>
      <c r="B1988" s="20"/>
      <c r="C1988" s="20"/>
      <c r="D1988" s="20"/>
      <c r="E1988" s="20"/>
      <c r="F1988" s="20"/>
      <c r="G1988" s="20"/>
      <c r="H1988" s="20"/>
      <c r="I1988" s="20"/>
      <c r="J1988" s="452"/>
      <c r="K1988" s="477"/>
      <c r="L1988" s="477"/>
      <c r="M1988" s="477"/>
      <c r="N1988" s="473"/>
      <c r="O1988" s="369"/>
      <c r="P1988" s="68"/>
      <c r="Q1988" s="69" t="s">
        <v>375</v>
      </c>
      <c r="R1988" s="69" t="s">
        <v>375</v>
      </c>
    </row>
    <row r="1989" spans="1:18" ht="10.5" customHeight="1" x14ac:dyDescent="0.3">
      <c r="A1989" s="18"/>
      <c r="B1989" s="20"/>
      <c r="C1989" s="20"/>
      <c r="D1989" s="20"/>
      <c r="E1989" s="20"/>
      <c r="F1989" s="20"/>
      <c r="G1989" s="20"/>
      <c r="H1989" s="20"/>
      <c r="I1989" s="20"/>
      <c r="J1989" s="361" t="s">
        <v>2286</v>
      </c>
      <c r="K1989" s="486" t="s">
        <v>2287</v>
      </c>
      <c r="L1989" s="486"/>
      <c r="M1989" s="486"/>
      <c r="N1989" s="291" t="s">
        <v>11</v>
      </c>
      <c r="O1989" s="291"/>
      <c r="P1989" s="292">
        <v>0.19128923611111107</v>
      </c>
      <c r="Q1989" s="319">
        <f>P1989*$F$10</f>
        <v>8.2254371527777757</v>
      </c>
      <c r="R1989" s="319">
        <f>Q1989-Q1989*0.2</f>
        <v>6.5803497222222207</v>
      </c>
    </row>
    <row r="1990" spans="1:18" ht="10.5" customHeight="1" x14ac:dyDescent="0.3">
      <c r="A1990" s="18"/>
      <c r="B1990" s="20"/>
      <c r="C1990" s="20"/>
      <c r="D1990" s="20"/>
      <c r="E1990" s="20"/>
      <c r="F1990" s="20"/>
      <c r="G1990" s="20"/>
      <c r="H1990" s="20"/>
      <c r="I1990" s="20"/>
      <c r="J1990" s="251" t="s">
        <v>2288</v>
      </c>
      <c r="K1990" s="471" t="s">
        <v>2168</v>
      </c>
      <c r="L1990" s="471"/>
      <c r="M1990" s="471"/>
      <c r="N1990" s="66" t="s">
        <v>11</v>
      </c>
      <c r="O1990" s="66"/>
      <c r="P1990" s="67">
        <v>0.33198958333333328</v>
      </c>
      <c r="Q1990" s="28">
        <f>P1990*$F$10</f>
        <v>14.275552083333331</v>
      </c>
      <c r="R1990" s="28">
        <f>Q1990-Q1990*0.2</f>
        <v>11.420441666666665</v>
      </c>
    </row>
    <row r="1991" spans="1:18" ht="10.5" customHeight="1" x14ac:dyDescent="0.3">
      <c r="A1991" s="262"/>
      <c r="B1991" s="20"/>
      <c r="C1991" s="20"/>
      <c r="D1991" s="20"/>
      <c r="E1991" s="20"/>
      <c r="F1991" s="20"/>
      <c r="G1991" s="20"/>
      <c r="H1991" s="20"/>
      <c r="I1991" s="20"/>
      <c r="J1991" s="62" t="s">
        <v>2289</v>
      </c>
      <c r="K1991" s="471" t="s">
        <v>2150</v>
      </c>
      <c r="L1991" s="471"/>
      <c r="M1991" s="471"/>
      <c r="N1991" s="66" t="s">
        <v>11</v>
      </c>
      <c r="O1991" s="66"/>
      <c r="P1991" s="67">
        <v>0.72848000000000002</v>
      </c>
      <c r="Q1991" s="28">
        <f>P1991*$F$10</f>
        <v>31.324640000000002</v>
      </c>
      <c r="R1991" s="28">
        <f>Q1991-Q1991*0.2</f>
        <v>25.059712000000001</v>
      </c>
    </row>
    <row r="1992" spans="1:18" ht="10.5" customHeight="1" x14ac:dyDescent="0.3">
      <c r="A1992" s="328" t="s">
        <v>2006</v>
      </c>
      <c r="B1992" s="83"/>
      <c r="C1992" s="83"/>
      <c r="D1992" s="83"/>
      <c r="E1992" s="83"/>
      <c r="F1992" s="83"/>
      <c r="G1992" s="83"/>
      <c r="H1992" s="83"/>
      <c r="I1992" s="116"/>
      <c r="J1992" s="62" t="s">
        <v>2290</v>
      </c>
      <c r="K1992" s="471" t="s">
        <v>2291</v>
      </c>
      <c r="L1992" s="471"/>
      <c r="M1992" s="471"/>
      <c r="N1992" s="66" t="s">
        <v>11</v>
      </c>
      <c r="O1992" s="66"/>
      <c r="P1992" s="67">
        <v>0.57070590277777766</v>
      </c>
      <c r="Q1992" s="28">
        <f>P1992*$F$10</f>
        <v>24.540353819444441</v>
      </c>
      <c r="R1992" s="28">
        <f>Q1992-Q1992*0.2</f>
        <v>19.632283055555554</v>
      </c>
    </row>
    <row r="1993" spans="1:18" ht="10.5" customHeight="1" x14ac:dyDescent="0.3">
      <c r="A1993" s="20"/>
      <c r="B1993" s="20"/>
      <c r="C1993" s="20"/>
      <c r="D1993" s="20"/>
      <c r="E1993" s="20"/>
      <c r="F1993" s="20"/>
      <c r="G1993" s="20"/>
      <c r="H1993" s="20"/>
      <c r="I1993" s="20"/>
      <c r="J1993" s="20"/>
      <c r="K1993" s="20"/>
      <c r="L1993" s="20"/>
      <c r="M1993" s="20"/>
      <c r="N1993" s="20"/>
      <c r="O1993" s="20"/>
      <c r="P1993" s="20"/>
      <c r="Q1993" s="20"/>
      <c r="R1993" s="20"/>
    </row>
    <row r="1994" spans="1:18" ht="10.5" customHeight="1" x14ac:dyDescent="0.3">
      <c r="A1994" s="166" t="s">
        <v>2292</v>
      </c>
      <c r="B1994" s="48" t="s">
        <v>2293</v>
      </c>
      <c r="C1994" s="49"/>
      <c r="D1994" s="49"/>
      <c r="E1994" s="49"/>
      <c r="F1994" s="49"/>
      <c r="G1994" s="49"/>
      <c r="H1994" s="49"/>
      <c r="I1994" s="49"/>
      <c r="J1994" s="452" t="s">
        <v>78</v>
      </c>
      <c r="K1994" s="477" t="s">
        <v>79</v>
      </c>
      <c r="L1994" s="477"/>
      <c r="M1994" s="477"/>
      <c r="N1994" s="473" t="s">
        <v>80</v>
      </c>
      <c r="O1994" s="434"/>
      <c r="P1994" s="61"/>
      <c r="Q1994" s="16" t="s">
        <v>81</v>
      </c>
      <c r="R1994" s="17" t="s">
        <v>82</v>
      </c>
    </row>
    <row r="1995" spans="1:18" ht="10.5" customHeight="1" thickTop="1" x14ac:dyDescent="0.3">
      <c r="A1995" s="18"/>
      <c r="B1995" s="20"/>
      <c r="C1995" s="20"/>
      <c r="D1995" s="20"/>
      <c r="E1995" s="20"/>
      <c r="F1995" s="20"/>
      <c r="G1995" s="20"/>
      <c r="H1995" s="20"/>
      <c r="I1995" s="20"/>
      <c r="J1995" s="452"/>
      <c r="K1995" s="477"/>
      <c r="L1995" s="477"/>
      <c r="M1995" s="477"/>
      <c r="N1995" s="473"/>
      <c r="O1995" s="369"/>
      <c r="P1995" s="68"/>
      <c r="Q1995" s="69" t="s">
        <v>375</v>
      </c>
      <c r="R1995" s="69" t="s">
        <v>375</v>
      </c>
    </row>
    <row r="1996" spans="1:18" ht="10.5" customHeight="1" x14ac:dyDescent="0.3">
      <c r="A1996" s="18"/>
      <c r="B1996" s="20"/>
      <c r="C1996" s="20"/>
      <c r="D1996" s="20"/>
      <c r="E1996" s="20"/>
      <c r="F1996" s="20"/>
      <c r="G1996" s="20"/>
      <c r="H1996" s="20"/>
      <c r="I1996" s="20"/>
      <c r="J1996" s="361" t="s">
        <v>2294</v>
      </c>
      <c r="K1996" s="486" t="s">
        <v>2190</v>
      </c>
      <c r="L1996" s="486"/>
      <c r="M1996" s="486"/>
      <c r="N1996" s="291" t="s">
        <v>11</v>
      </c>
      <c r="O1996" s="291"/>
      <c r="P1996" s="292">
        <v>0.57999999999999996</v>
      </c>
      <c r="Q1996" s="319">
        <f>P1996*$F$10</f>
        <v>24.939999999999998</v>
      </c>
      <c r="R1996" s="319">
        <f>Q1996-Q1996*0.2</f>
        <v>19.951999999999998</v>
      </c>
    </row>
    <row r="1997" spans="1:18" ht="10.5" customHeight="1" x14ac:dyDescent="0.3">
      <c r="A1997" s="18"/>
      <c r="B1997" s="20"/>
      <c r="C1997" s="20"/>
      <c r="D1997" s="20"/>
      <c r="E1997" s="20"/>
      <c r="F1997" s="20"/>
      <c r="G1997" s="20"/>
      <c r="H1997" s="20"/>
      <c r="I1997" s="20"/>
      <c r="J1997" s="251" t="s">
        <v>2295</v>
      </c>
      <c r="K1997" s="471" t="s">
        <v>2192</v>
      </c>
      <c r="L1997" s="471"/>
      <c r="M1997" s="471"/>
      <c r="N1997" s="66" t="s">
        <v>11</v>
      </c>
      <c r="O1997" s="66"/>
      <c r="P1997" s="67">
        <v>1.06</v>
      </c>
      <c r="Q1997" s="28">
        <f>P1997*$F$10</f>
        <v>45.580000000000005</v>
      </c>
      <c r="R1997" s="28">
        <f>Q1997-Q1997*0.2</f>
        <v>36.464000000000006</v>
      </c>
    </row>
    <row r="1998" spans="1:18" ht="10.5" customHeight="1" x14ac:dyDescent="0.3">
      <c r="A1998" s="262"/>
      <c r="B1998" s="20"/>
      <c r="C1998" s="20"/>
      <c r="D1998" s="20"/>
      <c r="E1998" s="20"/>
      <c r="F1998" s="20"/>
      <c r="G1998" s="20"/>
      <c r="H1998" s="20"/>
      <c r="I1998" s="20"/>
      <c r="J1998" s="62" t="s">
        <v>2296</v>
      </c>
      <c r="K1998" s="471" t="s">
        <v>2196</v>
      </c>
      <c r="L1998" s="471"/>
      <c r="M1998" s="471"/>
      <c r="N1998" s="66" t="s">
        <v>11</v>
      </c>
      <c r="O1998" s="66"/>
      <c r="P1998" s="67">
        <v>1.61</v>
      </c>
      <c r="Q1998" s="28">
        <f>P1998*$F$10</f>
        <v>69.23</v>
      </c>
      <c r="R1998" s="28">
        <f>Q1998-Q1998*0.2</f>
        <v>55.384</v>
      </c>
    </row>
    <row r="1999" spans="1:18" ht="10.5" customHeight="1" x14ac:dyDescent="0.3">
      <c r="A1999" s="328" t="s">
        <v>2006</v>
      </c>
      <c r="B1999" s="83"/>
      <c r="C1999" s="83"/>
      <c r="D1999" s="83"/>
      <c r="E1999" s="83"/>
      <c r="F1999" s="83"/>
      <c r="G1999" s="83"/>
      <c r="H1999" s="83"/>
      <c r="I1999" s="116"/>
      <c r="J1999" s="62" t="s">
        <v>2297</v>
      </c>
      <c r="K1999" s="471" t="s">
        <v>2198</v>
      </c>
      <c r="L1999" s="471"/>
      <c r="M1999" s="471"/>
      <c r="N1999" s="66" t="s">
        <v>11</v>
      </c>
      <c r="O1999" s="66"/>
      <c r="P1999" s="67">
        <v>2.48</v>
      </c>
      <c r="Q1999" s="28">
        <f>P1999*$F$10</f>
        <v>106.64</v>
      </c>
      <c r="R1999" s="28">
        <f>Q1999-Q1999*0.2</f>
        <v>85.311999999999998</v>
      </c>
    </row>
    <row r="2000" spans="1:18" ht="10.5" customHeight="1" x14ac:dyDescent="0.3">
      <c r="A2000" s="20"/>
      <c r="B2000" s="20"/>
      <c r="C2000" s="20"/>
      <c r="D2000" s="20"/>
      <c r="E2000" s="20"/>
      <c r="F2000" s="20"/>
      <c r="G2000" s="20"/>
      <c r="H2000" s="20"/>
      <c r="I2000" s="20"/>
      <c r="J2000" s="20"/>
      <c r="K2000" s="20"/>
      <c r="L2000" s="20"/>
      <c r="M2000" s="20"/>
      <c r="N2000" s="20"/>
      <c r="O2000" s="20"/>
      <c r="P2000" s="20"/>
      <c r="Q2000" s="20"/>
      <c r="R2000" s="20"/>
    </row>
    <row r="2001" spans="1:18" ht="10.5" customHeight="1" x14ac:dyDescent="0.3">
      <c r="A2001" s="166" t="s">
        <v>2298</v>
      </c>
      <c r="B2001" s="48" t="s">
        <v>2299</v>
      </c>
      <c r="C2001" s="49"/>
      <c r="D2001" s="49"/>
      <c r="E2001" s="49"/>
      <c r="F2001" s="49"/>
      <c r="G2001" s="49"/>
      <c r="H2001" s="49"/>
      <c r="I2001" s="49"/>
      <c r="J2001" s="452" t="s">
        <v>78</v>
      </c>
      <c r="K2001" s="477" t="s">
        <v>79</v>
      </c>
      <c r="L2001" s="477"/>
      <c r="M2001" s="477"/>
      <c r="N2001" s="473" t="s">
        <v>80</v>
      </c>
      <c r="O2001" s="434"/>
      <c r="P2001" s="61"/>
      <c r="Q2001" s="16" t="s">
        <v>81</v>
      </c>
      <c r="R2001" s="17" t="s">
        <v>82</v>
      </c>
    </row>
    <row r="2002" spans="1:18" ht="10.5" customHeight="1" thickTop="1" x14ac:dyDescent="0.3">
      <c r="A2002" s="18"/>
      <c r="B2002" s="20"/>
      <c r="C2002" s="20"/>
      <c r="D2002" s="20"/>
      <c r="E2002" s="20"/>
      <c r="F2002" s="20"/>
      <c r="G2002" s="20"/>
      <c r="H2002" s="20"/>
      <c r="I2002" s="20"/>
      <c r="J2002" s="452"/>
      <c r="K2002" s="477"/>
      <c r="L2002" s="477"/>
      <c r="M2002" s="477"/>
      <c r="N2002" s="473"/>
      <c r="O2002" s="369"/>
      <c r="P2002" s="68"/>
      <c r="Q2002" s="69" t="s">
        <v>375</v>
      </c>
      <c r="R2002" s="69" t="s">
        <v>375</v>
      </c>
    </row>
    <row r="2003" spans="1:18" ht="10.5" customHeight="1" x14ac:dyDescent="0.3">
      <c r="A2003" s="18"/>
      <c r="B2003" s="20"/>
      <c r="C2003" s="20"/>
      <c r="D2003" s="20"/>
      <c r="E2003" s="20"/>
      <c r="F2003" s="20"/>
      <c r="G2003" s="20"/>
      <c r="H2003" s="20"/>
      <c r="I2003" s="20"/>
      <c r="J2003" s="361" t="s">
        <v>2300</v>
      </c>
      <c r="K2003" s="486" t="s">
        <v>2301</v>
      </c>
      <c r="L2003" s="486"/>
      <c r="M2003" s="486"/>
      <c r="N2003" s="291" t="s">
        <v>11</v>
      </c>
      <c r="O2003" s="291"/>
      <c r="P2003" s="292">
        <v>0.71</v>
      </c>
      <c r="Q2003" s="319">
        <f>P2003*$F$10</f>
        <v>30.529999999999998</v>
      </c>
      <c r="R2003" s="319">
        <f>Q2003-Q2003*0.2</f>
        <v>24.423999999999999</v>
      </c>
    </row>
    <row r="2004" spans="1:18" ht="10.5" customHeight="1" x14ac:dyDescent="0.3">
      <c r="A2004" s="18"/>
      <c r="B2004" s="20"/>
      <c r="C2004" s="20"/>
      <c r="D2004" s="20"/>
      <c r="E2004" s="20"/>
      <c r="F2004" s="20"/>
      <c r="G2004" s="20"/>
      <c r="H2004" s="20"/>
      <c r="I2004" s="20"/>
      <c r="J2004" s="251" t="s">
        <v>2302</v>
      </c>
      <c r="K2004" s="471" t="s">
        <v>2303</v>
      </c>
      <c r="L2004" s="471"/>
      <c r="M2004" s="471"/>
      <c r="N2004" s="66" t="s">
        <v>11</v>
      </c>
      <c r="O2004" s="66"/>
      <c r="P2004" s="67">
        <v>0.79</v>
      </c>
      <c r="Q2004" s="28">
        <f>P2004*$F$10</f>
        <v>33.97</v>
      </c>
      <c r="R2004" s="28">
        <f>Q2004-Q2004*0.2</f>
        <v>27.175999999999998</v>
      </c>
    </row>
    <row r="2005" spans="1:18" ht="10.5" customHeight="1" x14ac:dyDescent="0.3">
      <c r="A2005" s="328" t="s">
        <v>2006</v>
      </c>
      <c r="B2005" s="83"/>
      <c r="C2005" s="83"/>
      <c r="D2005" s="83"/>
      <c r="E2005" s="83"/>
      <c r="F2005" s="83"/>
      <c r="G2005" s="83"/>
      <c r="H2005" s="83"/>
      <c r="I2005" s="116"/>
      <c r="J2005" s="62" t="s">
        <v>2304</v>
      </c>
      <c r="K2005" s="471" t="s">
        <v>2305</v>
      </c>
      <c r="L2005" s="471"/>
      <c r="M2005" s="471"/>
      <c r="N2005" s="66" t="s">
        <v>11</v>
      </c>
      <c r="O2005" s="66"/>
      <c r="P2005" s="67">
        <v>0.76</v>
      </c>
      <c r="Q2005" s="28">
        <f>P2005*$F$10</f>
        <v>32.68</v>
      </c>
      <c r="R2005" s="28">
        <f>Q2005-Q2005*0.2</f>
        <v>26.143999999999998</v>
      </c>
    </row>
    <row r="2006" spans="1:18" ht="10.5" customHeight="1" x14ac:dyDescent="0.3">
      <c r="A2006" s="20"/>
      <c r="B2006" s="20"/>
      <c r="C2006" s="20"/>
      <c r="D2006" s="20"/>
      <c r="E2006" s="20"/>
      <c r="F2006" s="20"/>
      <c r="G2006" s="20"/>
      <c r="H2006" s="20"/>
      <c r="I2006" s="20"/>
      <c r="J2006" s="20"/>
      <c r="K2006" s="20"/>
      <c r="L2006" s="20"/>
      <c r="M2006" s="20"/>
      <c r="N2006" s="20"/>
      <c r="O2006" s="20"/>
      <c r="P2006" s="20"/>
      <c r="Q2006" s="20"/>
      <c r="R2006" s="20"/>
    </row>
    <row r="2007" spans="1:18" ht="10.5" customHeight="1" x14ac:dyDescent="0.3">
      <c r="A2007" s="166" t="s">
        <v>2306</v>
      </c>
      <c r="B2007" s="48" t="s">
        <v>2307</v>
      </c>
      <c r="C2007" s="49"/>
      <c r="D2007" s="49"/>
      <c r="E2007" s="49"/>
      <c r="F2007" s="49"/>
      <c r="G2007" s="49"/>
      <c r="H2007" s="49"/>
      <c r="I2007" s="49"/>
      <c r="J2007" s="452" t="s">
        <v>78</v>
      </c>
      <c r="K2007" s="477" t="s">
        <v>79</v>
      </c>
      <c r="L2007" s="477"/>
      <c r="M2007" s="477"/>
      <c r="N2007" s="473" t="s">
        <v>80</v>
      </c>
      <c r="O2007" s="434"/>
      <c r="P2007" s="61"/>
      <c r="Q2007" s="16" t="s">
        <v>81</v>
      </c>
      <c r="R2007" s="17" t="s">
        <v>82</v>
      </c>
    </row>
    <row r="2008" spans="1:18" ht="10.5" customHeight="1" thickTop="1" x14ac:dyDescent="0.3">
      <c r="A2008" s="18"/>
      <c r="B2008" s="20"/>
      <c r="C2008" s="20"/>
      <c r="D2008" s="20"/>
      <c r="E2008" s="20"/>
      <c r="F2008" s="20"/>
      <c r="G2008" s="20"/>
      <c r="H2008" s="20"/>
      <c r="I2008" s="20"/>
      <c r="J2008" s="452"/>
      <c r="K2008" s="477"/>
      <c r="L2008" s="477"/>
      <c r="M2008" s="477"/>
      <c r="N2008" s="473"/>
      <c r="O2008" s="369"/>
      <c r="P2008" s="68"/>
      <c r="Q2008" s="69" t="s">
        <v>375</v>
      </c>
      <c r="R2008" s="69" t="s">
        <v>375</v>
      </c>
    </row>
    <row r="2009" spans="1:18" ht="10.5" customHeight="1" x14ac:dyDescent="0.3">
      <c r="A2009" s="18"/>
      <c r="B2009" s="20"/>
      <c r="C2009" s="20"/>
      <c r="D2009" s="20"/>
      <c r="E2009" s="20"/>
      <c r="F2009" s="20"/>
      <c r="G2009" s="20"/>
      <c r="H2009" s="20"/>
      <c r="I2009" s="20"/>
      <c r="J2009" s="361" t="s">
        <v>2308</v>
      </c>
      <c r="K2009" s="486" t="s">
        <v>2309</v>
      </c>
      <c r="L2009" s="486"/>
      <c r="M2009" s="486"/>
      <c r="N2009" s="291" t="s">
        <v>11</v>
      </c>
      <c r="O2009" s="291"/>
      <c r="P2009" s="292">
        <v>1.03</v>
      </c>
      <c r="Q2009" s="319">
        <f>P2009*$F$10</f>
        <v>44.29</v>
      </c>
      <c r="R2009" s="319">
        <f>Q2009-Q2009*0.2</f>
        <v>35.432000000000002</v>
      </c>
    </row>
    <row r="2010" spans="1:18" ht="10.5" customHeight="1" x14ac:dyDescent="0.3">
      <c r="A2010" s="18"/>
      <c r="B2010" s="20"/>
      <c r="C2010" s="20"/>
      <c r="D2010" s="20"/>
      <c r="E2010" s="20"/>
      <c r="F2010" s="20"/>
      <c r="G2010" s="20"/>
      <c r="H2010" s="20"/>
      <c r="I2010" s="20"/>
      <c r="J2010" s="251" t="s">
        <v>2310</v>
      </c>
      <c r="K2010" s="471" t="s">
        <v>2311</v>
      </c>
      <c r="L2010" s="471"/>
      <c r="M2010" s="471"/>
      <c r="N2010" s="66" t="s">
        <v>11</v>
      </c>
      <c r="O2010" s="66"/>
      <c r="P2010" s="67">
        <v>1.58</v>
      </c>
      <c r="Q2010" s="28">
        <f>P2010*$F$10</f>
        <v>67.94</v>
      </c>
      <c r="R2010" s="28">
        <f>Q2010-Q2010*0.2</f>
        <v>54.351999999999997</v>
      </c>
    </row>
    <row r="2011" spans="1:18" ht="10.5" customHeight="1" x14ac:dyDescent="0.3">
      <c r="A2011" s="262"/>
      <c r="B2011" s="20"/>
      <c r="C2011" s="20"/>
      <c r="D2011" s="20"/>
      <c r="E2011" s="20"/>
      <c r="F2011" s="20"/>
      <c r="G2011" s="20"/>
      <c r="H2011" s="20"/>
      <c r="I2011" s="20"/>
      <c r="J2011" s="62" t="s">
        <v>2312</v>
      </c>
      <c r="K2011" s="471" t="s">
        <v>2313</v>
      </c>
      <c r="L2011" s="471"/>
      <c r="M2011" s="471"/>
      <c r="N2011" s="66" t="s">
        <v>11</v>
      </c>
      <c r="O2011" s="66"/>
      <c r="P2011" s="67">
        <v>1.47</v>
      </c>
      <c r="Q2011" s="28">
        <f>P2011*$F$10</f>
        <v>63.21</v>
      </c>
      <c r="R2011" s="28">
        <f>Q2011-Q2011*0.2</f>
        <v>50.567999999999998</v>
      </c>
    </row>
    <row r="2012" spans="1:18" ht="10.5" customHeight="1" x14ac:dyDescent="0.3">
      <c r="A2012" s="328" t="s">
        <v>2006</v>
      </c>
      <c r="B2012" s="83"/>
      <c r="C2012" s="83"/>
      <c r="D2012" s="83"/>
      <c r="E2012" s="83"/>
      <c r="F2012" s="83"/>
      <c r="G2012" s="83"/>
      <c r="H2012" s="83"/>
      <c r="I2012" s="116"/>
      <c r="J2012" s="62" t="s">
        <v>2314</v>
      </c>
      <c r="K2012" s="471" t="s">
        <v>2315</v>
      </c>
      <c r="L2012" s="471"/>
      <c r="M2012" s="471"/>
      <c r="N2012" s="66" t="s">
        <v>11</v>
      </c>
      <c r="O2012" s="66"/>
      <c r="P2012" s="67">
        <v>3.16</v>
      </c>
      <c r="Q2012" s="28">
        <f>P2012*$F$10</f>
        <v>135.88</v>
      </c>
      <c r="R2012" s="28">
        <f>Q2012-Q2012*0.2</f>
        <v>108.70399999999999</v>
      </c>
    </row>
    <row r="2013" spans="1:18" ht="10.5" customHeight="1" x14ac:dyDescent="0.3">
      <c r="A2013" s="20"/>
      <c r="B2013" s="20"/>
      <c r="C2013" s="20"/>
      <c r="D2013" s="20"/>
      <c r="E2013" s="20"/>
      <c r="F2013" s="20"/>
      <c r="G2013" s="20"/>
      <c r="H2013" s="20"/>
      <c r="I2013" s="20"/>
      <c r="J2013" s="20"/>
      <c r="K2013" s="20"/>
      <c r="L2013" s="20"/>
      <c r="M2013" s="20"/>
      <c r="N2013" s="20"/>
      <c r="O2013" s="20"/>
      <c r="P2013" s="20"/>
      <c r="Q2013" s="20"/>
      <c r="R2013" s="20"/>
    </row>
    <row r="2014" spans="1:18" ht="10.5" customHeight="1" x14ac:dyDescent="0.3">
      <c r="A2014" s="166" t="s">
        <v>2316</v>
      </c>
      <c r="B2014" s="48" t="s">
        <v>2317</v>
      </c>
      <c r="C2014" s="49"/>
      <c r="D2014" s="49"/>
      <c r="E2014" s="49"/>
      <c r="F2014" s="49"/>
      <c r="G2014" s="49"/>
      <c r="H2014" s="49"/>
      <c r="I2014" s="49"/>
      <c r="J2014" s="452" t="s">
        <v>78</v>
      </c>
      <c r="K2014" s="477" t="s">
        <v>79</v>
      </c>
      <c r="L2014" s="477"/>
      <c r="M2014" s="477"/>
      <c r="N2014" s="473" t="s">
        <v>80</v>
      </c>
      <c r="O2014" s="434"/>
      <c r="P2014" s="61"/>
      <c r="Q2014" s="16" t="s">
        <v>81</v>
      </c>
      <c r="R2014" s="17" t="s">
        <v>82</v>
      </c>
    </row>
    <row r="2015" spans="1:18" ht="10.5" customHeight="1" thickTop="1" x14ac:dyDescent="0.3">
      <c r="A2015" s="18"/>
      <c r="B2015" s="20"/>
      <c r="C2015" s="20"/>
      <c r="D2015" s="20"/>
      <c r="E2015" s="20"/>
      <c r="F2015" s="20"/>
      <c r="G2015" s="20"/>
      <c r="H2015" s="20"/>
      <c r="I2015" s="20"/>
      <c r="J2015" s="452"/>
      <c r="K2015" s="477"/>
      <c r="L2015" s="477"/>
      <c r="M2015" s="477"/>
      <c r="N2015" s="473"/>
      <c r="O2015" s="369"/>
      <c r="P2015" s="68"/>
      <c r="Q2015" s="69" t="s">
        <v>375</v>
      </c>
      <c r="R2015" s="69" t="s">
        <v>375</v>
      </c>
    </row>
    <row r="2016" spans="1:18" ht="10.5" customHeight="1" x14ac:dyDescent="0.3">
      <c r="A2016" s="18"/>
      <c r="B2016" s="20"/>
      <c r="C2016" s="20"/>
      <c r="D2016" s="20"/>
      <c r="E2016" s="20"/>
      <c r="F2016" s="20"/>
      <c r="G2016" s="20"/>
      <c r="H2016" s="20"/>
      <c r="I2016" s="20"/>
      <c r="J2016" s="361" t="s">
        <v>2318</v>
      </c>
      <c r="K2016" s="486" t="s">
        <v>2319</v>
      </c>
      <c r="L2016" s="486"/>
      <c r="M2016" s="486"/>
      <c r="N2016" s="291" t="s">
        <v>11</v>
      </c>
      <c r="O2016" s="291"/>
      <c r="P2016" s="292">
        <v>2.94</v>
      </c>
      <c r="Q2016" s="319">
        <f t="shared" ref="Q2016:Q2031" si="265">P2016*$F$10</f>
        <v>126.42</v>
      </c>
      <c r="R2016" s="319">
        <f t="shared" ref="R2016:R2031" si="266">Q2016-Q2016*0.2</f>
        <v>101.136</v>
      </c>
    </row>
    <row r="2017" spans="1:18" ht="10.5" customHeight="1" x14ac:dyDescent="0.3">
      <c r="A2017" s="18"/>
      <c r="B2017" s="20"/>
      <c r="C2017" s="20"/>
      <c r="D2017" s="20"/>
      <c r="E2017" s="20"/>
      <c r="F2017" s="20"/>
      <c r="G2017" s="20"/>
      <c r="H2017" s="20"/>
      <c r="I2017" s="20"/>
      <c r="J2017" s="251" t="s">
        <v>2320</v>
      </c>
      <c r="K2017" s="471" t="s">
        <v>2321</v>
      </c>
      <c r="L2017" s="471"/>
      <c r="M2017" s="471"/>
      <c r="N2017" s="66" t="s">
        <v>11</v>
      </c>
      <c r="O2017" s="66"/>
      <c r="P2017" s="67">
        <v>3.2</v>
      </c>
      <c r="Q2017" s="28">
        <f t="shared" si="265"/>
        <v>137.6</v>
      </c>
      <c r="R2017" s="28">
        <f t="shared" si="266"/>
        <v>110.08</v>
      </c>
    </row>
    <row r="2018" spans="1:18" ht="10.5" customHeight="1" x14ac:dyDescent="0.3">
      <c r="A2018" s="262"/>
      <c r="B2018" s="20"/>
      <c r="C2018" s="20"/>
      <c r="D2018" s="20"/>
      <c r="E2018" s="20"/>
      <c r="F2018" s="20"/>
      <c r="G2018" s="20"/>
      <c r="H2018" s="20"/>
      <c r="I2018" s="20"/>
      <c r="J2018" s="62" t="s">
        <v>2322</v>
      </c>
      <c r="K2018" s="471" t="s">
        <v>2323</v>
      </c>
      <c r="L2018" s="471"/>
      <c r="M2018" s="471"/>
      <c r="N2018" s="66" t="s">
        <v>11</v>
      </c>
      <c r="O2018" s="66"/>
      <c r="P2018" s="67">
        <v>2.64</v>
      </c>
      <c r="Q2018" s="28">
        <f t="shared" si="265"/>
        <v>113.52000000000001</v>
      </c>
      <c r="R2018" s="28">
        <f t="shared" si="266"/>
        <v>90.816000000000003</v>
      </c>
    </row>
    <row r="2019" spans="1:18" ht="10.5" customHeight="1" x14ac:dyDescent="0.3">
      <c r="A2019" s="262" t="s">
        <v>2006</v>
      </c>
      <c r="B2019" s="20"/>
      <c r="C2019" s="20"/>
      <c r="D2019" s="20"/>
      <c r="E2019" s="20"/>
      <c r="F2019" s="20"/>
      <c r="G2019" s="20"/>
      <c r="H2019" s="20"/>
      <c r="I2019" s="20"/>
      <c r="J2019" s="62" t="s">
        <v>2324</v>
      </c>
      <c r="K2019" s="471" t="s">
        <v>2325</v>
      </c>
      <c r="L2019" s="471"/>
      <c r="M2019" s="471"/>
      <c r="N2019" s="66" t="s">
        <v>11</v>
      </c>
      <c r="O2019" s="66"/>
      <c r="P2019" s="67">
        <v>3.03</v>
      </c>
      <c r="Q2019" s="28">
        <f t="shared" si="265"/>
        <v>130.29</v>
      </c>
      <c r="R2019" s="28">
        <f t="shared" si="266"/>
        <v>104.232</v>
      </c>
    </row>
    <row r="2020" spans="1:18" ht="10.5" customHeight="1" thickBot="1" x14ac:dyDescent="0.35">
      <c r="A2020" s="446" t="s">
        <v>78</v>
      </c>
      <c r="B2020" s="487" t="s">
        <v>79</v>
      </c>
      <c r="C2020" s="487"/>
      <c r="D2020" s="487"/>
      <c r="E2020" s="488" t="s">
        <v>80</v>
      </c>
      <c r="F2020" s="61"/>
      <c r="G2020" s="16" t="s">
        <v>81</v>
      </c>
      <c r="H2020" s="17" t="s">
        <v>82</v>
      </c>
      <c r="I2020" s="20"/>
      <c r="J2020" s="62" t="s">
        <v>2326</v>
      </c>
      <c r="K2020" s="471" t="s">
        <v>2327</v>
      </c>
      <c r="L2020" s="471"/>
      <c r="M2020" s="471"/>
      <c r="N2020" s="66" t="s">
        <v>11</v>
      </c>
      <c r="O2020" s="66"/>
      <c r="P2020" s="67">
        <v>3.03</v>
      </c>
      <c r="Q2020" s="28">
        <f t="shared" si="265"/>
        <v>130.29</v>
      </c>
      <c r="R2020" s="28">
        <f t="shared" si="266"/>
        <v>104.232</v>
      </c>
    </row>
    <row r="2021" spans="1:18" ht="10.5" customHeight="1" thickTop="1" x14ac:dyDescent="0.3">
      <c r="A2021" s="446"/>
      <c r="B2021" s="487"/>
      <c r="C2021" s="487"/>
      <c r="D2021" s="487"/>
      <c r="E2021" s="488"/>
      <c r="F2021" s="103"/>
      <c r="G2021" s="69" t="s">
        <v>375</v>
      </c>
      <c r="H2021" s="69" t="s">
        <v>375</v>
      </c>
      <c r="I2021" s="20"/>
      <c r="J2021" s="62" t="s">
        <v>2328</v>
      </c>
      <c r="K2021" s="471" t="s">
        <v>2329</v>
      </c>
      <c r="L2021" s="471"/>
      <c r="M2021" s="471"/>
      <c r="N2021" s="66" t="s">
        <v>11</v>
      </c>
      <c r="O2021" s="66"/>
      <c r="P2021" s="67">
        <v>3.03</v>
      </c>
      <c r="Q2021" s="28">
        <f t="shared" si="265"/>
        <v>130.29</v>
      </c>
      <c r="R2021" s="28">
        <f t="shared" si="266"/>
        <v>104.232</v>
      </c>
    </row>
    <row r="2022" spans="1:18" ht="10.5" customHeight="1" x14ac:dyDescent="0.3">
      <c r="A2022" s="251" t="s">
        <v>2330</v>
      </c>
      <c r="B2022" s="471" t="s">
        <v>2331</v>
      </c>
      <c r="C2022" s="471"/>
      <c r="D2022" s="471"/>
      <c r="E2022" s="66" t="s">
        <v>11</v>
      </c>
      <c r="F2022" s="67">
        <v>1.78</v>
      </c>
      <c r="G2022" s="28">
        <f t="shared" ref="G2022:G2032" si="267">F2022*$F$10</f>
        <v>76.540000000000006</v>
      </c>
      <c r="H2022" s="28">
        <f t="shared" ref="H2022:H2032" si="268">G2022-G2022*0.2</f>
        <v>61.232000000000006</v>
      </c>
      <c r="I2022" s="20"/>
      <c r="J2022" s="62" t="s">
        <v>2332</v>
      </c>
      <c r="K2022" s="471" t="s">
        <v>2333</v>
      </c>
      <c r="L2022" s="471"/>
      <c r="M2022" s="471"/>
      <c r="N2022" s="66" t="s">
        <v>11</v>
      </c>
      <c r="O2022" s="66"/>
      <c r="P2022" s="67">
        <v>3.2</v>
      </c>
      <c r="Q2022" s="28">
        <f t="shared" si="265"/>
        <v>137.6</v>
      </c>
      <c r="R2022" s="28">
        <f t="shared" si="266"/>
        <v>110.08</v>
      </c>
    </row>
    <row r="2023" spans="1:18" ht="10.5" customHeight="1" x14ac:dyDescent="0.3">
      <c r="A2023" s="251" t="s">
        <v>2334</v>
      </c>
      <c r="B2023" s="471" t="s">
        <v>2335</v>
      </c>
      <c r="C2023" s="471"/>
      <c r="D2023" s="471"/>
      <c r="E2023" s="66" t="s">
        <v>11</v>
      </c>
      <c r="F2023" s="67">
        <v>2.52</v>
      </c>
      <c r="G2023" s="28">
        <f t="shared" si="267"/>
        <v>108.36</v>
      </c>
      <c r="H2023" s="28">
        <f t="shared" si="268"/>
        <v>86.688000000000002</v>
      </c>
      <c r="I2023" s="20"/>
      <c r="J2023" s="62" t="s">
        <v>2336</v>
      </c>
      <c r="K2023" s="471" t="s">
        <v>2337</v>
      </c>
      <c r="L2023" s="471"/>
      <c r="M2023" s="471"/>
      <c r="N2023" s="66" t="s">
        <v>11</v>
      </c>
      <c r="O2023" s="66"/>
      <c r="P2023" s="67">
        <v>2.65</v>
      </c>
      <c r="Q2023" s="28">
        <f t="shared" si="265"/>
        <v>113.95</v>
      </c>
      <c r="R2023" s="28">
        <f t="shared" si="266"/>
        <v>91.16</v>
      </c>
    </row>
    <row r="2024" spans="1:18" ht="10.5" customHeight="1" x14ac:dyDescent="0.3">
      <c r="A2024" s="251" t="s">
        <v>2338</v>
      </c>
      <c r="B2024" s="471" t="s">
        <v>2339</v>
      </c>
      <c r="C2024" s="471"/>
      <c r="D2024" s="471"/>
      <c r="E2024" s="66" t="s">
        <v>11</v>
      </c>
      <c r="F2024" s="67">
        <v>2.33</v>
      </c>
      <c r="G2024" s="28">
        <f t="shared" si="267"/>
        <v>100.19</v>
      </c>
      <c r="H2024" s="28">
        <f t="shared" si="268"/>
        <v>80.152000000000001</v>
      </c>
      <c r="I2024" s="20"/>
      <c r="J2024" s="62" t="s">
        <v>2340</v>
      </c>
      <c r="K2024" s="471" t="s">
        <v>2341</v>
      </c>
      <c r="L2024" s="471"/>
      <c r="M2024" s="471"/>
      <c r="N2024" s="66" t="s">
        <v>11</v>
      </c>
      <c r="O2024" s="66"/>
      <c r="P2024" s="67">
        <v>3.19</v>
      </c>
      <c r="Q2024" s="28">
        <f t="shared" si="265"/>
        <v>137.16999999999999</v>
      </c>
      <c r="R2024" s="28">
        <f t="shared" si="266"/>
        <v>109.73599999999999</v>
      </c>
    </row>
    <row r="2025" spans="1:18" ht="10.5" customHeight="1" x14ac:dyDescent="0.3">
      <c r="A2025" s="251" t="s">
        <v>2342</v>
      </c>
      <c r="B2025" s="471" t="s">
        <v>2343</v>
      </c>
      <c r="C2025" s="471"/>
      <c r="D2025" s="471"/>
      <c r="E2025" s="66" t="s">
        <v>11</v>
      </c>
      <c r="F2025" s="67">
        <v>2.67</v>
      </c>
      <c r="G2025" s="28">
        <f t="shared" si="267"/>
        <v>114.81</v>
      </c>
      <c r="H2025" s="28">
        <f t="shared" si="268"/>
        <v>91.847999999999999</v>
      </c>
      <c r="I2025" s="20"/>
      <c r="J2025" s="62" t="s">
        <v>2344</v>
      </c>
      <c r="K2025" s="471" t="s">
        <v>2345</v>
      </c>
      <c r="L2025" s="471"/>
      <c r="M2025" s="471"/>
      <c r="N2025" s="66" t="s">
        <v>11</v>
      </c>
      <c r="O2025" s="66"/>
      <c r="P2025" s="67">
        <v>4.3600000000000003</v>
      </c>
      <c r="Q2025" s="28">
        <f t="shared" si="265"/>
        <v>187.48000000000002</v>
      </c>
      <c r="R2025" s="28">
        <f t="shared" si="266"/>
        <v>149.98400000000001</v>
      </c>
    </row>
    <row r="2026" spans="1:18" ht="10.5" customHeight="1" x14ac:dyDescent="0.3">
      <c r="A2026" s="251" t="s">
        <v>2346</v>
      </c>
      <c r="B2026" s="471" t="s">
        <v>2347</v>
      </c>
      <c r="C2026" s="471"/>
      <c r="D2026" s="471"/>
      <c r="E2026" s="66" t="s">
        <v>11</v>
      </c>
      <c r="F2026" s="67">
        <v>3.19</v>
      </c>
      <c r="G2026" s="28">
        <f t="shared" si="267"/>
        <v>137.16999999999999</v>
      </c>
      <c r="H2026" s="28">
        <f t="shared" si="268"/>
        <v>109.73599999999999</v>
      </c>
      <c r="I2026" s="20"/>
      <c r="J2026" s="62" t="s">
        <v>2348</v>
      </c>
      <c r="K2026" s="471" t="s">
        <v>2349</v>
      </c>
      <c r="L2026" s="471"/>
      <c r="M2026" s="471"/>
      <c r="N2026" s="66" t="s">
        <v>11</v>
      </c>
      <c r="O2026" s="66"/>
      <c r="P2026" s="67">
        <v>3.03</v>
      </c>
      <c r="Q2026" s="28">
        <f t="shared" si="265"/>
        <v>130.29</v>
      </c>
      <c r="R2026" s="28">
        <f t="shared" si="266"/>
        <v>104.232</v>
      </c>
    </row>
    <row r="2027" spans="1:18" ht="10.5" customHeight="1" x14ac:dyDescent="0.3">
      <c r="A2027" s="251" t="s">
        <v>2350</v>
      </c>
      <c r="B2027" s="471" t="s">
        <v>2351</v>
      </c>
      <c r="C2027" s="471"/>
      <c r="D2027" s="471"/>
      <c r="E2027" s="66" t="s">
        <v>11</v>
      </c>
      <c r="F2027" s="67">
        <v>2.4700000000000002</v>
      </c>
      <c r="G2027" s="28">
        <f t="shared" si="267"/>
        <v>106.21000000000001</v>
      </c>
      <c r="H2027" s="28">
        <f t="shared" si="268"/>
        <v>84.968000000000004</v>
      </c>
      <c r="I2027" s="20"/>
      <c r="J2027" s="62" t="s">
        <v>2352</v>
      </c>
      <c r="K2027" s="471" t="s">
        <v>2353</v>
      </c>
      <c r="L2027" s="471"/>
      <c r="M2027" s="471"/>
      <c r="N2027" s="66" t="s">
        <v>11</v>
      </c>
      <c r="O2027" s="66"/>
      <c r="P2027" s="67">
        <v>3.2</v>
      </c>
      <c r="Q2027" s="28">
        <f t="shared" si="265"/>
        <v>137.6</v>
      </c>
      <c r="R2027" s="28">
        <f t="shared" si="266"/>
        <v>110.08</v>
      </c>
    </row>
    <row r="2028" spans="1:18" ht="10.5" customHeight="1" x14ac:dyDescent="0.3">
      <c r="A2028" s="251" t="s">
        <v>2354</v>
      </c>
      <c r="B2028" s="471" t="s">
        <v>2355</v>
      </c>
      <c r="C2028" s="471"/>
      <c r="D2028" s="471"/>
      <c r="E2028" s="66" t="s">
        <v>11</v>
      </c>
      <c r="F2028" s="67">
        <v>2.86</v>
      </c>
      <c r="G2028" s="28">
        <f t="shared" si="267"/>
        <v>122.97999999999999</v>
      </c>
      <c r="H2028" s="28">
        <f t="shared" si="268"/>
        <v>98.383999999999986</v>
      </c>
      <c r="I2028" s="20"/>
      <c r="J2028" s="62" t="s">
        <v>2356</v>
      </c>
      <c r="K2028" s="471" t="s">
        <v>2357</v>
      </c>
      <c r="L2028" s="471"/>
      <c r="M2028" s="471"/>
      <c r="N2028" s="66" t="s">
        <v>11</v>
      </c>
      <c r="O2028" s="66"/>
      <c r="P2028" s="67">
        <v>3.2</v>
      </c>
      <c r="Q2028" s="28">
        <f t="shared" si="265"/>
        <v>137.6</v>
      </c>
      <c r="R2028" s="28">
        <f t="shared" si="266"/>
        <v>110.08</v>
      </c>
    </row>
    <row r="2029" spans="1:18" ht="10.5" customHeight="1" x14ac:dyDescent="0.3">
      <c r="A2029" s="251" t="s">
        <v>2358</v>
      </c>
      <c r="B2029" s="471" t="s">
        <v>2359</v>
      </c>
      <c r="C2029" s="471"/>
      <c r="D2029" s="471"/>
      <c r="E2029" s="66" t="s">
        <v>11</v>
      </c>
      <c r="F2029" s="67">
        <v>3.2</v>
      </c>
      <c r="G2029" s="28">
        <f t="shared" si="267"/>
        <v>137.6</v>
      </c>
      <c r="H2029" s="28">
        <f t="shared" si="268"/>
        <v>110.08</v>
      </c>
      <c r="I2029" s="20"/>
      <c r="J2029" s="62" t="s">
        <v>2360</v>
      </c>
      <c r="K2029" s="471" t="s">
        <v>2361</v>
      </c>
      <c r="L2029" s="471"/>
      <c r="M2029" s="471"/>
      <c r="N2029" s="66" t="s">
        <v>11</v>
      </c>
      <c r="O2029" s="66"/>
      <c r="P2029" s="67">
        <v>3.03</v>
      </c>
      <c r="Q2029" s="28">
        <f t="shared" si="265"/>
        <v>130.29</v>
      </c>
      <c r="R2029" s="28">
        <f t="shared" si="266"/>
        <v>104.232</v>
      </c>
    </row>
    <row r="2030" spans="1:18" ht="10.5" customHeight="1" x14ac:dyDescent="0.3">
      <c r="A2030" s="251" t="s">
        <v>2362</v>
      </c>
      <c r="B2030" s="471" t="s">
        <v>2363</v>
      </c>
      <c r="C2030" s="471"/>
      <c r="D2030" s="471"/>
      <c r="E2030" s="66" t="s">
        <v>11</v>
      </c>
      <c r="F2030" s="67">
        <v>2.59</v>
      </c>
      <c r="G2030" s="28">
        <f t="shared" si="267"/>
        <v>111.36999999999999</v>
      </c>
      <c r="H2030" s="28">
        <f t="shared" si="268"/>
        <v>89.095999999999989</v>
      </c>
      <c r="I2030" s="20"/>
      <c r="J2030" s="62" t="s">
        <v>2364</v>
      </c>
      <c r="K2030" s="471" t="s">
        <v>2365</v>
      </c>
      <c r="L2030" s="471"/>
      <c r="M2030" s="471"/>
      <c r="N2030" s="66" t="s">
        <v>11</v>
      </c>
      <c r="O2030" s="66"/>
      <c r="P2030" s="67">
        <v>4.0999999999999996</v>
      </c>
      <c r="Q2030" s="28">
        <f t="shared" si="265"/>
        <v>176.29999999999998</v>
      </c>
      <c r="R2030" s="28">
        <f t="shared" si="266"/>
        <v>141.04</v>
      </c>
    </row>
    <row r="2031" spans="1:18" ht="10.5" customHeight="1" x14ac:dyDescent="0.3">
      <c r="A2031" s="251" t="s">
        <v>2366</v>
      </c>
      <c r="B2031" s="471" t="s">
        <v>2367</v>
      </c>
      <c r="C2031" s="471"/>
      <c r="D2031" s="471"/>
      <c r="E2031" s="66" t="s">
        <v>11</v>
      </c>
      <c r="F2031" s="67">
        <v>2.68</v>
      </c>
      <c r="G2031" s="28">
        <f t="shared" si="267"/>
        <v>115.24000000000001</v>
      </c>
      <c r="H2031" s="28">
        <f t="shared" si="268"/>
        <v>92.192000000000007</v>
      </c>
      <c r="I2031" s="20"/>
      <c r="J2031" s="62" t="s">
        <v>2368</v>
      </c>
      <c r="K2031" s="471" t="s">
        <v>2369</v>
      </c>
      <c r="L2031" s="471"/>
      <c r="M2031" s="471"/>
      <c r="N2031" s="66" t="s">
        <v>11</v>
      </c>
      <c r="O2031" s="66"/>
      <c r="P2031" s="67">
        <v>4.63</v>
      </c>
      <c r="Q2031" s="28">
        <f t="shared" si="265"/>
        <v>199.09</v>
      </c>
      <c r="R2031" s="28">
        <f t="shared" si="266"/>
        <v>159.27199999999999</v>
      </c>
    </row>
    <row r="2032" spans="1:18" ht="10.5" customHeight="1" x14ac:dyDescent="0.3">
      <c r="A2032" s="251" t="s">
        <v>2370</v>
      </c>
      <c r="B2032" s="471" t="s">
        <v>2371</v>
      </c>
      <c r="C2032" s="471"/>
      <c r="D2032" s="471"/>
      <c r="E2032" s="66" t="s">
        <v>11</v>
      </c>
      <c r="F2032" s="67">
        <v>2.81</v>
      </c>
      <c r="G2032" s="28">
        <f t="shared" si="267"/>
        <v>120.83</v>
      </c>
      <c r="H2032" s="28">
        <f t="shared" si="268"/>
        <v>96.664000000000001</v>
      </c>
      <c r="I2032" s="83"/>
      <c r="J2032" s="335"/>
      <c r="K2032" s="493"/>
      <c r="L2032" s="493"/>
      <c r="M2032" s="493"/>
      <c r="N2032" s="384"/>
      <c r="O2032" s="384"/>
      <c r="P2032" s="385"/>
      <c r="Q2032" s="283"/>
      <c r="R2032" s="386"/>
    </row>
    <row r="2033" spans="1:18" ht="10.5" customHeight="1" x14ac:dyDescent="0.3">
      <c r="A2033" s="20"/>
      <c r="B2033" s="20"/>
      <c r="C2033" s="20"/>
      <c r="D2033" s="20"/>
      <c r="E2033" s="20"/>
      <c r="F2033" s="20"/>
      <c r="G2033" s="20"/>
      <c r="H2033" s="20"/>
      <c r="I2033" s="20"/>
      <c r="J2033" s="20"/>
      <c r="K2033" s="20"/>
      <c r="L2033" s="20"/>
      <c r="M2033" s="20"/>
      <c r="N2033" s="20"/>
      <c r="O2033" s="20"/>
      <c r="P2033" s="20"/>
      <c r="Q2033" s="20"/>
      <c r="R2033" s="20"/>
    </row>
    <row r="2034" spans="1:18" ht="10.5" customHeight="1" x14ac:dyDescent="0.3">
      <c r="A2034" s="166" t="s">
        <v>2372</v>
      </c>
      <c r="B2034" s="48" t="s">
        <v>2373</v>
      </c>
      <c r="C2034" s="49"/>
      <c r="D2034" s="49"/>
      <c r="E2034" s="49"/>
      <c r="F2034" s="49"/>
      <c r="G2034" s="49"/>
      <c r="H2034" s="49"/>
      <c r="I2034" s="49"/>
      <c r="J2034" s="452" t="s">
        <v>78</v>
      </c>
      <c r="K2034" s="477" t="s">
        <v>79</v>
      </c>
      <c r="L2034" s="477"/>
      <c r="M2034" s="477"/>
      <c r="N2034" s="473" t="s">
        <v>80</v>
      </c>
      <c r="O2034" s="434"/>
      <c r="P2034" s="61"/>
      <c r="Q2034" s="16" t="s">
        <v>81</v>
      </c>
      <c r="R2034" s="17" t="s">
        <v>82</v>
      </c>
    </row>
    <row r="2035" spans="1:18" ht="10.5" customHeight="1" thickTop="1" x14ac:dyDescent="0.3">
      <c r="A2035" s="18"/>
      <c r="B2035" s="20"/>
      <c r="C2035" s="20"/>
      <c r="D2035" s="20"/>
      <c r="E2035" s="20"/>
      <c r="F2035" s="20"/>
      <c r="G2035" s="20"/>
      <c r="H2035" s="20"/>
      <c r="I2035" s="20"/>
      <c r="J2035" s="452"/>
      <c r="K2035" s="477"/>
      <c r="L2035" s="477"/>
      <c r="M2035" s="477"/>
      <c r="N2035" s="473"/>
      <c r="O2035" s="369"/>
      <c r="P2035" s="68"/>
      <c r="Q2035" s="69" t="s">
        <v>375</v>
      </c>
      <c r="R2035" s="69" t="s">
        <v>375</v>
      </c>
    </row>
    <row r="2036" spans="1:18" ht="10.5" customHeight="1" x14ac:dyDescent="0.3">
      <c r="A2036" s="18"/>
      <c r="B2036" s="20"/>
      <c r="C2036" s="20"/>
      <c r="D2036" s="20"/>
      <c r="E2036" s="20"/>
      <c r="F2036" s="20"/>
      <c r="G2036" s="20"/>
      <c r="H2036" s="20"/>
      <c r="I2036" s="20"/>
      <c r="J2036" s="361" t="s">
        <v>2374</v>
      </c>
      <c r="K2036" s="486" t="s">
        <v>2323</v>
      </c>
      <c r="L2036" s="486"/>
      <c r="M2036" s="486"/>
      <c r="N2036" s="291" t="s">
        <v>11</v>
      </c>
      <c r="O2036" s="291"/>
      <c r="P2036" s="292">
        <v>2.1800000000000002</v>
      </c>
      <c r="Q2036" s="319">
        <f>P2036*$F$10</f>
        <v>93.740000000000009</v>
      </c>
      <c r="R2036" s="319">
        <f>Q2036-Q2036*0.2</f>
        <v>74.992000000000004</v>
      </c>
    </row>
    <row r="2037" spans="1:18" ht="10.5" customHeight="1" x14ac:dyDescent="0.3">
      <c r="A2037" s="18"/>
      <c r="B2037" s="20"/>
      <c r="C2037" s="20"/>
      <c r="D2037" s="20"/>
      <c r="E2037" s="20"/>
      <c r="F2037" s="20"/>
      <c r="G2037" s="20"/>
      <c r="H2037" s="20"/>
      <c r="I2037" s="20"/>
      <c r="J2037" s="251" t="s">
        <v>2375</v>
      </c>
      <c r="K2037" s="471" t="s">
        <v>2349</v>
      </c>
      <c r="L2037" s="471"/>
      <c r="M2037" s="471"/>
      <c r="N2037" s="66" t="s">
        <v>11</v>
      </c>
      <c r="O2037" s="66"/>
      <c r="P2037" s="67">
        <v>2.7</v>
      </c>
      <c r="Q2037" s="28">
        <f>P2037*$F$10</f>
        <v>116.10000000000001</v>
      </c>
      <c r="R2037" s="28">
        <f>Q2037-Q2037*0.2</f>
        <v>92.88000000000001</v>
      </c>
    </row>
    <row r="2038" spans="1:18" ht="10.5" customHeight="1" x14ac:dyDescent="0.3">
      <c r="A2038" s="262"/>
      <c r="B2038" s="20"/>
      <c r="C2038" s="20"/>
      <c r="D2038" s="20"/>
      <c r="E2038" s="20"/>
      <c r="F2038" s="20"/>
      <c r="G2038" s="20"/>
      <c r="H2038" s="20"/>
      <c r="I2038" s="20"/>
      <c r="J2038" s="62" t="s">
        <v>2376</v>
      </c>
      <c r="K2038" s="471" t="s">
        <v>2357</v>
      </c>
      <c r="L2038" s="471"/>
      <c r="M2038" s="471"/>
      <c r="N2038" s="66" t="s">
        <v>11</v>
      </c>
      <c r="O2038" s="66"/>
      <c r="P2038" s="67">
        <v>3.2</v>
      </c>
      <c r="Q2038" s="28">
        <f>P2038*$F$10</f>
        <v>137.6</v>
      </c>
      <c r="R2038" s="28">
        <f>Q2038-Q2038*0.2</f>
        <v>110.08</v>
      </c>
    </row>
    <row r="2039" spans="1:18" ht="10.5" customHeight="1" x14ac:dyDescent="0.3">
      <c r="A2039" s="262"/>
      <c r="B2039" s="20"/>
      <c r="C2039" s="20"/>
      <c r="D2039" s="20"/>
      <c r="E2039" s="20"/>
      <c r="F2039" s="20"/>
      <c r="G2039" s="20"/>
      <c r="H2039" s="20"/>
      <c r="I2039" s="20"/>
      <c r="J2039" s="62" t="s">
        <v>2377</v>
      </c>
      <c r="K2039" s="471" t="s">
        <v>2365</v>
      </c>
      <c r="L2039" s="471"/>
      <c r="M2039" s="471"/>
      <c r="N2039" s="66" t="s">
        <v>11</v>
      </c>
      <c r="O2039" s="66"/>
      <c r="P2039" s="67">
        <v>3.69</v>
      </c>
      <c r="Q2039" s="28">
        <f>P2039*$F$10</f>
        <v>158.66999999999999</v>
      </c>
      <c r="R2039" s="28">
        <f>Q2039-Q2039*0.2</f>
        <v>126.93599999999999</v>
      </c>
    </row>
    <row r="2040" spans="1:18" ht="21" customHeight="1" x14ac:dyDescent="0.3">
      <c r="A2040" s="328" t="s">
        <v>2006</v>
      </c>
      <c r="B2040" s="83"/>
      <c r="C2040" s="83"/>
      <c r="D2040" s="83"/>
      <c r="E2040" s="83"/>
      <c r="F2040" s="83"/>
      <c r="G2040" s="83"/>
      <c r="H2040" s="83"/>
      <c r="I2040" s="116"/>
      <c r="J2040" s="387" t="s">
        <v>2378</v>
      </c>
      <c r="K2040" s="491" t="s">
        <v>2369</v>
      </c>
      <c r="L2040" s="491"/>
      <c r="M2040" s="491"/>
      <c r="N2040" s="377" t="s">
        <v>11</v>
      </c>
      <c r="O2040" s="377"/>
      <c r="P2040" s="378">
        <v>4.21</v>
      </c>
      <c r="Q2040" s="379">
        <f>P2040*$F$10</f>
        <v>181.03</v>
      </c>
      <c r="R2040" s="379">
        <f>Q2040-Q2040*0.2</f>
        <v>144.82400000000001</v>
      </c>
    </row>
    <row r="2041" spans="1:18" ht="10.5" customHeight="1" x14ac:dyDescent="0.3">
      <c r="A2041" s="20"/>
      <c r="B2041" s="20"/>
      <c r="C2041" s="20"/>
      <c r="D2041" s="20"/>
      <c r="E2041" s="20"/>
      <c r="F2041" s="20"/>
      <c r="G2041" s="20"/>
      <c r="H2041" s="20"/>
      <c r="I2041" s="20"/>
      <c r="J2041" s="20"/>
      <c r="K2041" s="20"/>
      <c r="L2041" s="20"/>
      <c r="M2041" s="20"/>
      <c r="N2041" s="20"/>
      <c r="O2041" s="20"/>
      <c r="P2041" s="20"/>
      <c r="Q2041" s="20"/>
      <c r="R2041" s="20"/>
    </row>
    <row r="2042" spans="1:18" ht="10.5" customHeight="1" x14ac:dyDescent="0.3">
      <c r="A2042" s="166" t="s">
        <v>2379</v>
      </c>
      <c r="B2042" s="48" t="s">
        <v>2380</v>
      </c>
      <c r="C2042" s="49"/>
      <c r="D2042" s="49"/>
      <c r="E2042" s="49"/>
      <c r="F2042" s="49"/>
      <c r="G2042" s="49"/>
      <c r="H2042" s="49"/>
      <c r="I2042" s="49"/>
      <c r="J2042" s="452" t="s">
        <v>78</v>
      </c>
      <c r="K2042" s="477" t="s">
        <v>79</v>
      </c>
      <c r="L2042" s="477"/>
      <c r="M2042" s="477"/>
      <c r="N2042" s="473" t="s">
        <v>80</v>
      </c>
      <c r="O2042" s="434"/>
      <c r="P2042" s="61"/>
      <c r="Q2042" s="16" t="s">
        <v>81</v>
      </c>
      <c r="R2042" s="17" t="s">
        <v>82</v>
      </c>
    </row>
    <row r="2043" spans="1:18" ht="10.5" customHeight="1" thickTop="1" x14ac:dyDescent="0.3">
      <c r="A2043" s="18"/>
      <c r="B2043" s="20"/>
      <c r="C2043" s="20"/>
      <c r="D2043" s="20"/>
      <c r="E2043" s="20"/>
      <c r="F2043" s="20"/>
      <c r="G2043" s="20"/>
      <c r="H2043" s="20"/>
      <c r="I2043" s="20"/>
      <c r="J2043" s="452"/>
      <c r="K2043" s="477"/>
      <c r="L2043" s="477"/>
      <c r="M2043" s="477"/>
      <c r="N2043" s="473"/>
      <c r="O2043" s="369"/>
      <c r="P2043" s="68"/>
      <c r="Q2043" s="69" t="s">
        <v>375</v>
      </c>
      <c r="R2043" s="69" t="s">
        <v>375</v>
      </c>
    </row>
    <row r="2044" spans="1:18" ht="10.5" customHeight="1" x14ac:dyDescent="0.3">
      <c r="A2044" s="18"/>
      <c r="B2044" s="20"/>
      <c r="C2044" s="20"/>
      <c r="D2044" s="20"/>
      <c r="E2044" s="20"/>
      <c r="F2044" s="20"/>
      <c r="G2044" s="20"/>
      <c r="H2044" s="20"/>
      <c r="I2044" s="20"/>
      <c r="J2044" s="361" t="s">
        <v>2381</v>
      </c>
      <c r="K2044" s="486" t="s">
        <v>2382</v>
      </c>
      <c r="L2044" s="486"/>
      <c r="M2044" s="486"/>
      <c r="N2044" s="291" t="s">
        <v>11</v>
      </c>
      <c r="O2044" s="291"/>
      <c r="P2044" s="292">
        <v>0.75</v>
      </c>
      <c r="Q2044" s="319">
        <f>P2044*$F$10</f>
        <v>32.25</v>
      </c>
      <c r="R2044" s="319">
        <f>Q2044-Q2044*0.2</f>
        <v>25.8</v>
      </c>
    </row>
    <row r="2045" spans="1:18" ht="10.5" customHeight="1" x14ac:dyDescent="0.3">
      <c r="A2045" s="18"/>
      <c r="B2045" s="20"/>
      <c r="C2045" s="20"/>
      <c r="D2045" s="20"/>
      <c r="E2045" s="20"/>
      <c r="F2045" s="20"/>
      <c r="G2045" s="20"/>
      <c r="H2045" s="20"/>
      <c r="I2045" s="20"/>
      <c r="J2045" s="251" t="s">
        <v>2383</v>
      </c>
      <c r="K2045" s="471" t="s">
        <v>2384</v>
      </c>
      <c r="L2045" s="471"/>
      <c r="M2045" s="471"/>
      <c r="N2045" s="66" t="s">
        <v>11</v>
      </c>
      <c r="O2045" s="66"/>
      <c r="P2045" s="67">
        <v>0.75</v>
      </c>
      <c r="Q2045" s="28">
        <f>P2045*$F$10</f>
        <v>32.25</v>
      </c>
      <c r="R2045" s="28">
        <f>Q2045-Q2045*0.2</f>
        <v>25.8</v>
      </c>
    </row>
    <row r="2046" spans="1:18" ht="10.5" customHeight="1" x14ac:dyDescent="0.3">
      <c r="A2046" s="262"/>
      <c r="B2046" s="20"/>
      <c r="C2046" s="20"/>
      <c r="D2046" s="20"/>
      <c r="E2046" s="20"/>
      <c r="F2046" s="20"/>
      <c r="G2046" s="20"/>
      <c r="H2046" s="20"/>
      <c r="I2046" s="20"/>
      <c r="J2046" s="62" t="s">
        <v>2385</v>
      </c>
      <c r="K2046" s="471" t="s">
        <v>2386</v>
      </c>
      <c r="L2046" s="471"/>
      <c r="M2046" s="471"/>
      <c r="N2046" s="66" t="s">
        <v>11</v>
      </c>
      <c r="O2046" s="66"/>
      <c r="P2046" s="67">
        <v>0.75</v>
      </c>
      <c r="Q2046" s="28">
        <f>P2046*$F$10</f>
        <v>32.25</v>
      </c>
      <c r="R2046" s="28">
        <f>Q2046-Q2046*0.2</f>
        <v>25.8</v>
      </c>
    </row>
    <row r="2047" spans="1:18" ht="10.5" customHeight="1" x14ac:dyDescent="0.3">
      <c r="A2047" s="328" t="s">
        <v>2006</v>
      </c>
      <c r="B2047" s="83"/>
      <c r="C2047" s="83"/>
      <c r="D2047" s="83"/>
      <c r="E2047" s="83"/>
      <c r="F2047" s="83"/>
      <c r="G2047" s="83"/>
      <c r="H2047" s="83"/>
      <c r="I2047" s="116"/>
      <c r="J2047" s="62" t="s">
        <v>2387</v>
      </c>
      <c r="K2047" s="471" t="s">
        <v>2388</v>
      </c>
      <c r="L2047" s="471"/>
      <c r="M2047" s="471"/>
      <c r="N2047" s="66" t="s">
        <v>11</v>
      </c>
      <c r="O2047" s="66"/>
      <c r="P2047" s="67">
        <v>0.75</v>
      </c>
      <c r="Q2047" s="28">
        <f>P2047*$F$10</f>
        <v>32.25</v>
      </c>
      <c r="R2047" s="28">
        <f>Q2047-Q2047*0.2</f>
        <v>25.8</v>
      </c>
    </row>
    <row r="2048" spans="1:18" ht="10.5" customHeight="1" x14ac:dyDescent="0.3">
      <c r="A2048" s="20"/>
      <c r="B2048" s="20"/>
      <c r="C2048" s="20"/>
      <c r="D2048" s="20"/>
      <c r="E2048" s="20"/>
      <c r="F2048" s="20"/>
      <c r="G2048" s="20"/>
      <c r="H2048" s="20"/>
      <c r="I2048" s="20"/>
      <c r="J2048" s="20"/>
      <c r="K2048" s="20"/>
      <c r="L2048" s="20"/>
      <c r="M2048" s="20"/>
      <c r="N2048" s="20"/>
      <c r="O2048" s="20"/>
      <c r="P2048" s="20"/>
      <c r="Q2048" s="20"/>
      <c r="R2048" s="20"/>
    </row>
    <row r="2049" spans="1:18" ht="10.5" customHeight="1" x14ac:dyDescent="0.3">
      <c r="A2049" s="20"/>
      <c r="B2049" s="20"/>
      <c r="C2049" s="20"/>
      <c r="D2049" s="20"/>
      <c r="E2049" s="20"/>
      <c r="F2049" s="20"/>
      <c r="G2049" s="20"/>
      <c r="H2049" s="20"/>
      <c r="I2049" s="20"/>
      <c r="J2049" s="20"/>
      <c r="K2049" s="20"/>
      <c r="L2049" s="20"/>
      <c r="M2049" s="20"/>
      <c r="N2049" s="20"/>
      <c r="O2049" s="20"/>
      <c r="P2049" s="20"/>
      <c r="Q2049" s="20"/>
      <c r="R2049" s="20"/>
    </row>
    <row r="2050" spans="1:18" ht="10.5" customHeight="1" x14ac:dyDescent="0.3">
      <c r="A2050" s="20"/>
      <c r="B2050" s="20"/>
      <c r="C2050" s="20"/>
      <c r="D2050" s="20"/>
      <c r="E2050" s="20"/>
      <c r="F2050" s="20"/>
      <c r="G2050" s="20"/>
      <c r="H2050" s="20"/>
      <c r="I2050" s="20"/>
      <c r="J2050" s="20"/>
      <c r="K2050" s="20"/>
      <c r="L2050" s="20"/>
      <c r="M2050" s="20"/>
      <c r="N2050" s="20"/>
      <c r="O2050" s="20"/>
      <c r="P2050" s="20"/>
      <c r="Q2050" s="20"/>
      <c r="R2050" s="20"/>
    </row>
    <row r="2051" spans="1:18" ht="10.5" customHeight="1" x14ac:dyDescent="0.3">
      <c r="A2051" s="20"/>
      <c r="B2051" s="20"/>
      <c r="C2051" s="20"/>
      <c r="D2051" s="20"/>
      <c r="E2051" s="20"/>
      <c r="F2051" s="20"/>
      <c r="G2051" s="20"/>
      <c r="H2051" s="20"/>
      <c r="I2051" s="20"/>
      <c r="J2051" s="20"/>
      <c r="K2051" s="20"/>
      <c r="L2051" s="20"/>
      <c r="M2051" s="20"/>
      <c r="N2051" s="20"/>
      <c r="O2051" s="20"/>
      <c r="P2051" s="20"/>
      <c r="Q2051" s="20"/>
      <c r="R2051" s="20"/>
    </row>
    <row r="2052" spans="1:18" ht="10.5" customHeight="1" x14ac:dyDescent="0.3">
      <c r="A2052" s="166" t="s">
        <v>2389</v>
      </c>
      <c r="B2052" s="48" t="s">
        <v>2390</v>
      </c>
      <c r="C2052" s="49"/>
      <c r="D2052" s="49"/>
      <c r="E2052" s="49"/>
      <c r="F2052" s="49"/>
      <c r="G2052" s="49"/>
      <c r="H2052" s="49"/>
      <c r="I2052" s="49"/>
      <c r="J2052" s="452" t="s">
        <v>78</v>
      </c>
      <c r="K2052" s="477" t="s">
        <v>79</v>
      </c>
      <c r="L2052" s="477"/>
      <c r="M2052" s="477"/>
      <c r="N2052" s="473" t="s">
        <v>80</v>
      </c>
      <c r="O2052" s="434"/>
      <c r="P2052" s="61"/>
      <c r="Q2052" s="16" t="s">
        <v>81</v>
      </c>
      <c r="R2052" s="17" t="s">
        <v>82</v>
      </c>
    </row>
    <row r="2053" spans="1:18" ht="10.5" customHeight="1" x14ac:dyDescent="0.3">
      <c r="A2053" s="18"/>
      <c r="B2053" s="20"/>
      <c r="C2053" s="20"/>
      <c r="D2053" s="20"/>
      <c r="E2053" s="20"/>
      <c r="F2053" s="20"/>
      <c r="G2053" s="20"/>
      <c r="H2053" s="20"/>
      <c r="I2053" s="20"/>
      <c r="J2053" s="452"/>
      <c r="K2053" s="477"/>
      <c r="L2053" s="477"/>
      <c r="M2053" s="477"/>
      <c r="N2053" s="473"/>
      <c r="O2053" s="369"/>
      <c r="P2053" s="68"/>
      <c r="Q2053" s="69" t="s">
        <v>375</v>
      </c>
      <c r="R2053" s="69" t="s">
        <v>375</v>
      </c>
    </row>
    <row r="2054" spans="1:18" ht="10.5" customHeight="1" x14ac:dyDescent="0.3">
      <c r="A2054" s="18"/>
      <c r="B2054" s="20"/>
      <c r="C2054" s="20"/>
      <c r="D2054" s="20"/>
      <c r="E2054" s="20"/>
      <c r="F2054" s="20"/>
      <c r="G2054" s="20"/>
      <c r="H2054" s="20"/>
      <c r="I2054" s="20"/>
      <c r="J2054" s="361" t="s">
        <v>2391</v>
      </c>
      <c r="K2054" s="486" t="s">
        <v>2392</v>
      </c>
      <c r="L2054" s="486"/>
      <c r="M2054" s="486"/>
      <c r="N2054" s="291" t="s">
        <v>11</v>
      </c>
      <c r="O2054" s="291"/>
      <c r="P2054" s="292">
        <v>2.4577041666666659</v>
      </c>
      <c r="Q2054" s="319">
        <f>P2054*$F$10</f>
        <v>105.68127916666663</v>
      </c>
      <c r="R2054" s="319">
        <f>Q2054-Q2054*0.2</f>
        <v>84.545023333333305</v>
      </c>
    </row>
    <row r="2055" spans="1:18" ht="10.5" customHeight="1" x14ac:dyDescent="0.3">
      <c r="A2055" s="18"/>
      <c r="B2055" s="20"/>
      <c r="C2055" s="20"/>
      <c r="D2055" s="20"/>
      <c r="E2055" s="20"/>
      <c r="F2055" s="20"/>
      <c r="G2055" s="20"/>
      <c r="H2055" s="20"/>
      <c r="I2055" s="20"/>
      <c r="J2055" s="251" t="s">
        <v>2393</v>
      </c>
      <c r="K2055" s="471" t="s">
        <v>2394</v>
      </c>
      <c r="L2055" s="471"/>
      <c r="M2055" s="471"/>
      <c r="N2055" s="66" t="s">
        <v>11</v>
      </c>
      <c r="O2055" s="66"/>
      <c r="P2055" s="67">
        <v>2.7885489583333332</v>
      </c>
      <c r="Q2055" s="28">
        <f>P2055*$F$10</f>
        <v>119.90760520833332</v>
      </c>
      <c r="R2055" s="28">
        <f>Q2055-Q2055*0.2</f>
        <v>95.926084166666655</v>
      </c>
    </row>
    <row r="2056" spans="1:18" ht="42" customHeight="1" x14ac:dyDescent="0.3">
      <c r="A2056" s="328" t="s">
        <v>2006</v>
      </c>
      <c r="B2056" s="83"/>
      <c r="C2056" s="83"/>
      <c r="D2056" s="83"/>
      <c r="E2056" s="83"/>
      <c r="F2056" s="83"/>
      <c r="G2056" s="83"/>
      <c r="H2056" s="83"/>
      <c r="I2056" s="116"/>
      <c r="J2056" s="387" t="s">
        <v>2395</v>
      </c>
      <c r="K2056" s="491" t="s">
        <v>2396</v>
      </c>
      <c r="L2056" s="491"/>
      <c r="M2056" s="491"/>
      <c r="N2056" s="377" t="s">
        <v>11</v>
      </c>
      <c r="O2056" s="377"/>
      <c r="P2056" s="378">
        <v>3.4975020833333326</v>
      </c>
      <c r="Q2056" s="379">
        <f>P2056*$F$10</f>
        <v>150.39258958333329</v>
      </c>
      <c r="R2056" s="379">
        <f>Q2056-Q2056*0.2</f>
        <v>120.31407166666663</v>
      </c>
    </row>
    <row r="2057" spans="1:18" ht="10.5" customHeight="1" x14ac:dyDescent="0.3">
      <c r="A2057" s="20"/>
      <c r="B2057" s="20"/>
      <c r="C2057" s="20"/>
      <c r="D2057" s="20"/>
      <c r="E2057" s="20"/>
      <c r="F2057" s="20"/>
      <c r="G2057" s="20"/>
      <c r="H2057" s="20"/>
      <c r="I2057" s="20"/>
      <c r="J2057" s="20"/>
      <c r="K2057" s="20"/>
      <c r="L2057" s="20"/>
      <c r="M2057" s="20"/>
      <c r="N2057" s="20"/>
      <c r="O2057" s="20"/>
      <c r="P2057" s="20"/>
      <c r="Q2057" s="20"/>
      <c r="R2057" s="20"/>
    </row>
    <row r="2058" spans="1:18" ht="10.5" customHeight="1" x14ac:dyDescent="0.3">
      <c r="A2058" s="166" t="s">
        <v>2397</v>
      </c>
      <c r="B2058" s="48" t="s">
        <v>2398</v>
      </c>
      <c r="C2058" s="49"/>
      <c r="D2058" s="49"/>
      <c r="E2058" s="49"/>
      <c r="F2058" s="49"/>
      <c r="G2058" s="49"/>
      <c r="H2058" s="49"/>
      <c r="I2058" s="49"/>
      <c r="J2058" s="452" t="s">
        <v>78</v>
      </c>
      <c r="K2058" s="477" t="s">
        <v>79</v>
      </c>
      <c r="L2058" s="477"/>
      <c r="M2058" s="477"/>
      <c r="N2058" s="473" t="s">
        <v>80</v>
      </c>
      <c r="O2058" s="434"/>
      <c r="P2058" s="61"/>
      <c r="Q2058" s="16" t="s">
        <v>81</v>
      </c>
      <c r="R2058" s="17" t="s">
        <v>82</v>
      </c>
    </row>
    <row r="2059" spans="1:18" ht="10.5" customHeight="1" thickTop="1" x14ac:dyDescent="0.3">
      <c r="A2059" s="18"/>
      <c r="B2059" s="20"/>
      <c r="C2059" s="20"/>
      <c r="D2059" s="20"/>
      <c r="E2059" s="20"/>
      <c r="F2059" s="20"/>
      <c r="G2059" s="20"/>
      <c r="H2059" s="20"/>
      <c r="I2059" s="20"/>
      <c r="J2059" s="452"/>
      <c r="K2059" s="477"/>
      <c r="L2059" s="477"/>
      <c r="M2059" s="477"/>
      <c r="N2059" s="473"/>
      <c r="O2059" s="369"/>
      <c r="P2059" s="68"/>
      <c r="Q2059" s="69" t="s">
        <v>375</v>
      </c>
      <c r="R2059" s="69" t="s">
        <v>375</v>
      </c>
    </row>
    <row r="2060" spans="1:18" ht="10.5" customHeight="1" x14ac:dyDescent="0.3">
      <c r="A2060" s="18"/>
      <c r="B2060" s="20"/>
      <c r="C2060" s="20"/>
      <c r="D2060" s="20"/>
      <c r="E2060" s="20"/>
      <c r="F2060" s="20"/>
      <c r="G2060" s="20"/>
      <c r="H2060" s="20"/>
      <c r="I2060" s="20"/>
      <c r="J2060" s="361" t="s">
        <v>2399</v>
      </c>
      <c r="K2060" s="486" t="s">
        <v>2400</v>
      </c>
      <c r="L2060" s="486"/>
      <c r="M2060" s="486"/>
      <c r="N2060" s="291" t="s">
        <v>11</v>
      </c>
      <c r="O2060" s="291"/>
      <c r="P2060" s="292">
        <v>1.65</v>
      </c>
      <c r="Q2060" s="319">
        <f>P2060*$F$10</f>
        <v>70.95</v>
      </c>
      <c r="R2060" s="319">
        <f>Q2060-Q2060*0.2</f>
        <v>56.760000000000005</v>
      </c>
    </row>
    <row r="2061" spans="1:18" ht="37.5" customHeight="1" x14ac:dyDescent="0.3">
      <c r="A2061" s="328" t="s">
        <v>2006</v>
      </c>
      <c r="B2061" s="83"/>
      <c r="C2061" s="83"/>
      <c r="D2061" s="83"/>
      <c r="E2061" s="83"/>
      <c r="F2061" s="83"/>
      <c r="G2061" s="83"/>
      <c r="H2061" s="83"/>
      <c r="I2061" s="116"/>
      <c r="J2061" s="376" t="s">
        <v>2401</v>
      </c>
      <c r="K2061" s="491" t="s">
        <v>2402</v>
      </c>
      <c r="L2061" s="491"/>
      <c r="M2061" s="491"/>
      <c r="N2061" s="377" t="s">
        <v>11</v>
      </c>
      <c r="O2061" s="377"/>
      <c r="P2061" s="378">
        <v>1.65</v>
      </c>
      <c r="Q2061" s="379">
        <f>P2061*$F$10</f>
        <v>70.95</v>
      </c>
      <c r="R2061" s="379">
        <f>Q2061-Q2061*0.2</f>
        <v>56.760000000000005</v>
      </c>
    </row>
    <row r="2062" spans="1:18" ht="10.5" customHeight="1" x14ac:dyDescent="0.3">
      <c r="A2062" s="20"/>
      <c r="B2062" s="20"/>
      <c r="C2062" s="20"/>
      <c r="D2062" s="20"/>
      <c r="E2062" s="20"/>
      <c r="F2062" s="20"/>
      <c r="G2062" s="20"/>
      <c r="H2062" s="20"/>
      <c r="I2062" s="20"/>
      <c r="J2062" s="20"/>
      <c r="K2062" s="20"/>
      <c r="L2062" s="20"/>
      <c r="M2062" s="20"/>
      <c r="N2062" s="20"/>
      <c r="O2062" s="20"/>
      <c r="P2062" s="20"/>
      <c r="Q2062" s="20"/>
      <c r="R2062" s="20"/>
    </row>
    <row r="2063" spans="1:18" ht="10.5" customHeight="1" x14ac:dyDescent="0.3">
      <c r="A2063" s="166" t="s">
        <v>2403</v>
      </c>
      <c r="B2063" s="48" t="s">
        <v>2404</v>
      </c>
      <c r="C2063" s="49"/>
      <c r="D2063" s="49"/>
      <c r="E2063" s="49"/>
      <c r="F2063" s="49"/>
      <c r="G2063" s="49"/>
      <c r="H2063" s="49"/>
      <c r="I2063" s="49"/>
      <c r="J2063" s="452" t="s">
        <v>78</v>
      </c>
      <c r="K2063" s="477" t="s">
        <v>79</v>
      </c>
      <c r="L2063" s="477"/>
      <c r="M2063" s="477"/>
      <c r="N2063" s="473" t="s">
        <v>80</v>
      </c>
      <c r="O2063" s="434"/>
      <c r="P2063" s="61"/>
      <c r="Q2063" s="16" t="s">
        <v>81</v>
      </c>
      <c r="R2063" s="17" t="s">
        <v>82</v>
      </c>
    </row>
    <row r="2064" spans="1:18" ht="10.5" customHeight="1" thickTop="1" x14ac:dyDescent="0.3">
      <c r="A2064" s="18"/>
      <c r="B2064" s="20"/>
      <c r="C2064" s="20"/>
      <c r="D2064" s="20"/>
      <c r="E2064" s="20"/>
      <c r="F2064" s="20"/>
      <c r="G2064" s="20"/>
      <c r="H2064" s="20"/>
      <c r="I2064" s="20"/>
      <c r="J2064" s="452"/>
      <c r="K2064" s="477"/>
      <c r="L2064" s="477"/>
      <c r="M2064" s="477"/>
      <c r="N2064" s="473"/>
      <c r="O2064" s="369"/>
      <c r="P2064" s="68"/>
      <c r="Q2064" s="69" t="s">
        <v>375</v>
      </c>
      <c r="R2064" s="69" t="s">
        <v>375</v>
      </c>
    </row>
    <row r="2065" spans="1:18" ht="10.5" customHeight="1" x14ac:dyDescent="0.3">
      <c r="A2065" s="18"/>
      <c r="B2065" s="20"/>
      <c r="C2065" s="20"/>
      <c r="D2065" s="20"/>
      <c r="E2065" s="20"/>
      <c r="F2065" s="20"/>
      <c r="G2065" s="20"/>
      <c r="H2065" s="20"/>
      <c r="I2065" s="20"/>
      <c r="J2065" s="361" t="s">
        <v>2405</v>
      </c>
      <c r="K2065" s="486" t="s">
        <v>2406</v>
      </c>
      <c r="L2065" s="486"/>
      <c r="M2065" s="486"/>
      <c r="N2065" s="291" t="s">
        <v>11</v>
      </c>
      <c r="O2065" s="291"/>
      <c r="P2065" s="292">
        <v>1.2</v>
      </c>
      <c r="Q2065" s="319">
        <f>P2065*$F$10</f>
        <v>51.6</v>
      </c>
      <c r="R2065" s="319">
        <f>Q2065-Q2065*0.2</f>
        <v>41.28</v>
      </c>
    </row>
    <row r="2066" spans="1:18" ht="10.5" customHeight="1" x14ac:dyDescent="0.3">
      <c r="A2066" s="18"/>
      <c r="B2066" s="20"/>
      <c r="C2066" s="20"/>
      <c r="D2066" s="20"/>
      <c r="E2066" s="20"/>
      <c r="F2066" s="20"/>
      <c r="G2066" s="20"/>
      <c r="H2066" s="20"/>
      <c r="I2066" s="20"/>
      <c r="J2066" s="251" t="s">
        <v>2407</v>
      </c>
      <c r="K2066" s="471" t="s">
        <v>2408</v>
      </c>
      <c r="L2066" s="471"/>
      <c r="M2066" s="471"/>
      <c r="N2066" s="66" t="s">
        <v>11</v>
      </c>
      <c r="O2066" s="66"/>
      <c r="P2066" s="67">
        <v>1.48</v>
      </c>
      <c r="Q2066" s="28">
        <f>P2066*$F$10</f>
        <v>63.64</v>
      </c>
      <c r="R2066" s="28">
        <f>Q2066-Q2066*0.2</f>
        <v>50.911999999999999</v>
      </c>
    </row>
    <row r="2067" spans="1:18" ht="10.5" customHeight="1" x14ac:dyDescent="0.3">
      <c r="A2067" s="328" t="s">
        <v>2006</v>
      </c>
      <c r="B2067" s="83"/>
      <c r="C2067" s="83"/>
      <c r="D2067" s="83"/>
      <c r="E2067" s="83"/>
      <c r="F2067" s="83"/>
      <c r="G2067" s="83"/>
      <c r="H2067" s="83"/>
      <c r="I2067" s="116"/>
      <c r="J2067" s="62" t="s">
        <v>2409</v>
      </c>
      <c r="K2067" s="471" t="s">
        <v>2410</v>
      </c>
      <c r="L2067" s="471"/>
      <c r="M2067" s="471"/>
      <c r="N2067" s="66" t="s">
        <v>11</v>
      </c>
      <c r="O2067" s="66"/>
      <c r="P2067" s="67">
        <v>1.77</v>
      </c>
      <c r="Q2067" s="28">
        <f>P2067*$F$10</f>
        <v>76.11</v>
      </c>
      <c r="R2067" s="28">
        <f>Q2067-Q2067*0.2</f>
        <v>60.887999999999998</v>
      </c>
    </row>
    <row r="2068" spans="1:18" ht="10.5" customHeight="1" x14ac:dyDescent="0.3">
      <c r="A2068" s="20"/>
      <c r="B2068" s="20"/>
      <c r="C2068" s="20"/>
      <c r="D2068" s="20"/>
      <c r="E2068" s="20"/>
      <c r="F2068" s="20"/>
      <c r="G2068" s="20"/>
      <c r="H2068" s="20"/>
      <c r="I2068" s="20"/>
      <c r="J2068" s="20"/>
      <c r="K2068" s="20"/>
      <c r="L2068" s="20"/>
      <c r="M2068" s="20"/>
      <c r="N2068" s="20"/>
      <c r="O2068" s="20"/>
      <c r="P2068" s="20"/>
      <c r="Q2068" s="20"/>
      <c r="R2068" s="20"/>
    </row>
    <row r="2069" spans="1:18" ht="10.5" customHeight="1" x14ac:dyDescent="0.3">
      <c r="A2069" s="166" t="s">
        <v>2411</v>
      </c>
      <c r="B2069" s="48" t="s">
        <v>2412</v>
      </c>
      <c r="C2069" s="49"/>
      <c r="D2069" s="49"/>
      <c r="E2069" s="49"/>
      <c r="F2069" s="49"/>
      <c r="G2069" s="49"/>
      <c r="H2069" s="49"/>
      <c r="I2069" s="49"/>
      <c r="J2069" s="452" t="s">
        <v>78</v>
      </c>
      <c r="K2069" s="477" t="s">
        <v>79</v>
      </c>
      <c r="L2069" s="477"/>
      <c r="M2069" s="477"/>
      <c r="N2069" s="473" t="s">
        <v>80</v>
      </c>
      <c r="O2069" s="434"/>
      <c r="P2069" s="61"/>
      <c r="Q2069" s="16" t="s">
        <v>81</v>
      </c>
      <c r="R2069" s="17" t="s">
        <v>82</v>
      </c>
    </row>
    <row r="2070" spans="1:18" ht="10.5" customHeight="1" thickTop="1" x14ac:dyDescent="0.3">
      <c r="A2070" s="18"/>
      <c r="B2070" s="20"/>
      <c r="C2070" s="20"/>
      <c r="D2070" s="20"/>
      <c r="E2070" s="20"/>
      <c r="F2070" s="20"/>
      <c r="G2070" s="20"/>
      <c r="H2070" s="20"/>
      <c r="I2070" s="20"/>
      <c r="J2070" s="452"/>
      <c r="K2070" s="477"/>
      <c r="L2070" s="477"/>
      <c r="M2070" s="477"/>
      <c r="N2070" s="473"/>
      <c r="O2070" s="369"/>
      <c r="P2070" s="68"/>
      <c r="Q2070" s="69" t="s">
        <v>375</v>
      </c>
      <c r="R2070" s="69" t="s">
        <v>375</v>
      </c>
    </row>
    <row r="2071" spans="1:18" ht="10.5" customHeight="1" x14ac:dyDescent="0.3">
      <c r="A2071" s="18"/>
      <c r="B2071" s="20"/>
      <c r="C2071" s="20"/>
      <c r="D2071" s="20"/>
      <c r="E2071" s="20"/>
      <c r="F2071" s="20"/>
      <c r="G2071" s="20"/>
      <c r="H2071" s="20"/>
      <c r="I2071" s="20"/>
      <c r="J2071" s="361" t="s">
        <v>2413</v>
      </c>
      <c r="K2071" s="486" t="s">
        <v>2406</v>
      </c>
      <c r="L2071" s="486"/>
      <c r="M2071" s="486"/>
      <c r="N2071" s="291" t="s">
        <v>11</v>
      </c>
      <c r="O2071" s="291"/>
      <c r="P2071" s="292">
        <v>1.2</v>
      </c>
      <c r="Q2071" s="319">
        <f>P2071*$F$10</f>
        <v>51.6</v>
      </c>
      <c r="R2071" s="319">
        <f>Q2071-Q2071*0.2</f>
        <v>41.28</v>
      </c>
    </row>
    <row r="2072" spans="1:18" ht="10.5" customHeight="1" x14ac:dyDescent="0.3">
      <c r="A2072" s="18"/>
      <c r="B2072" s="20"/>
      <c r="C2072" s="20"/>
      <c r="D2072" s="20"/>
      <c r="E2072" s="20"/>
      <c r="F2072" s="20"/>
      <c r="G2072" s="20"/>
      <c r="H2072" s="20"/>
      <c r="I2072" s="20"/>
      <c r="J2072" s="251" t="s">
        <v>2414</v>
      </c>
      <c r="K2072" s="471" t="s">
        <v>2408</v>
      </c>
      <c r="L2072" s="471"/>
      <c r="M2072" s="471"/>
      <c r="N2072" s="66" t="s">
        <v>11</v>
      </c>
      <c r="O2072" s="66"/>
      <c r="P2072" s="67">
        <v>1.48</v>
      </c>
      <c r="Q2072" s="28">
        <f>P2072*$F$10</f>
        <v>63.64</v>
      </c>
      <c r="R2072" s="28">
        <f>Q2072-Q2072*0.2</f>
        <v>50.911999999999999</v>
      </c>
    </row>
    <row r="2073" spans="1:18" ht="10.5" customHeight="1" x14ac:dyDescent="0.3">
      <c r="A2073" s="328" t="s">
        <v>2006</v>
      </c>
      <c r="B2073" s="83"/>
      <c r="C2073" s="83"/>
      <c r="D2073" s="83"/>
      <c r="E2073" s="83"/>
      <c r="F2073" s="83"/>
      <c r="G2073" s="83"/>
      <c r="H2073" s="83"/>
      <c r="I2073" s="116"/>
      <c r="J2073" s="62" t="s">
        <v>2415</v>
      </c>
      <c r="K2073" s="471" t="s">
        <v>2410</v>
      </c>
      <c r="L2073" s="471"/>
      <c r="M2073" s="471"/>
      <c r="N2073" s="66" t="s">
        <v>11</v>
      </c>
      <c r="O2073" s="66"/>
      <c r="P2073" s="67">
        <v>1.77</v>
      </c>
      <c r="Q2073" s="28">
        <f>P2073*$F$10</f>
        <v>76.11</v>
      </c>
      <c r="R2073" s="28">
        <f>Q2073-Q2073*0.2</f>
        <v>60.887999999999998</v>
      </c>
    </row>
    <row r="2074" spans="1:18" ht="10.5" customHeight="1" x14ac:dyDescent="0.3">
      <c r="A2074" s="20"/>
      <c r="B2074" s="20"/>
      <c r="C2074" s="20"/>
      <c r="D2074" s="20"/>
      <c r="E2074" s="20"/>
      <c r="F2074" s="20"/>
      <c r="G2074" s="20"/>
      <c r="H2074" s="20"/>
      <c r="I2074" s="20"/>
      <c r="J2074" s="20"/>
      <c r="K2074" s="20"/>
      <c r="L2074" s="20"/>
      <c r="M2074" s="20"/>
      <c r="N2074" s="20"/>
      <c r="O2074" s="20"/>
      <c r="P2074" s="20"/>
      <c r="Q2074" s="20"/>
      <c r="R2074" s="20"/>
    </row>
    <row r="2075" spans="1:18" ht="10.5" customHeight="1" x14ac:dyDescent="0.3">
      <c r="A2075" s="166" t="s">
        <v>2416</v>
      </c>
      <c r="B2075" s="48" t="s">
        <v>2417</v>
      </c>
      <c r="C2075" s="49"/>
      <c r="D2075" s="49"/>
      <c r="E2075" s="49"/>
      <c r="F2075" s="49"/>
      <c r="G2075" s="49"/>
      <c r="H2075" s="49"/>
      <c r="I2075" s="49"/>
      <c r="J2075" s="452" t="s">
        <v>78</v>
      </c>
      <c r="K2075" s="477" t="s">
        <v>79</v>
      </c>
      <c r="L2075" s="477"/>
      <c r="M2075" s="477"/>
      <c r="N2075" s="473" t="s">
        <v>80</v>
      </c>
      <c r="O2075" s="434"/>
      <c r="P2075" s="61"/>
      <c r="Q2075" s="16" t="s">
        <v>81</v>
      </c>
      <c r="R2075" s="17" t="s">
        <v>82</v>
      </c>
    </row>
    <row r="2076" spans="1:18" ht="10.5" customHeight="1" thickTop="1" x14ac:dyDescent="0.3">
      <c r="A2076" s="18"/>
      <c r="B2076" s="20"/>
      <c r="C2076" s="20"/>
      <c r="D2076" s="20"/>
      <c r="E2076" s="20"/>
      <c r="F2076" s="20"/>
      <c r="G2076" s="20"/>
      <c r="H2076" s="20"/>
      <c r="I2076" s="20"/>
      <c r="J2076" s="452"/>
      <c r="K2076" s="477"/>
      <c r="L2076" s="477"/>
      <c r="M2076" s="477"/>
      <c r="N2076" s="473"/>
      <c r="O2076" s="369"/>
      <c r="P2076" s="68"/>
      <c r="Q2076" s="69" t="s">
        <v>375</v>
      </c>
      <c r="R2076" s="69" t="s">
        <v>375</v>
      </c>
    </row>
    <row r="2077" spans="1:18" ht="10.5" customHeight="1" x14ac:dyDescent="0.3">
      <c r="A2077" s="18"/>
      <c r="B2077" s="20"/>
      <c r="C2077" s="20"/>
      <c r="D2077" s="20"/>
      <c r="E2077" s="20"/>
      <c r="F2077" s="20"/>
      <c r="G2077" s="20"/>
      <c r="H2077" s="20"/>
      <c r="I2077" s="20"/>
      <c r="J2077" s="361" t="s">
        <v>2418</v>
      </c>
      <c r="K2077" s="486" t="s">
        <v>2419</v>
      </c>
      <c r="L2077" s="486"/>
      <c r="M2077" s="486"/>
      <c r="N2077" s="291" t="s">
        <v>11</v>
      </c>
      <c r="O2077" s="291"/>
      <c r="P2077" s="292">
        <v>6.67</v>
      </c>
      <c r="Q2077" s="319">
        <f t="shared" ref="Q2077:Q2082" si="269">P2077*$F$10</f>
        <v>286.81</v>
      </c>
      <c r="R2077" s="319">
        <f t="shared" ref="R2077:R2082" si="270">Q2077-Q2077*0.2</f>
        <v>229.44800000000001</v>
      </c>
    </row>
    <row r="2078" spans="1:18" ht="10.5" customHeight="1" x14ac:dyDescent="0.3">
      <c r="A2078" s="18"/>
      <c r="B2078" s="20"/>
      <c r="C2078" s="20"/>
      <c r="D2078" s="20"/>
      <c r="E2078" s="20"/>
      <c r="F2078" s="20"/>
      <c r="G2078" s="20"/>
      <c r="H2078" s="20"/>
      <c r="I2078" s="20"/>
      <c r="J2078" s="251" t="s">
        <v>2420</v>
      </c>
      <c r="K2078" s="471" t="s">
        <v>2421</v>
      </c>
      <c r="L2078" s="471"/>
      <c r="M2078" s="471"/>
      <c r="N2078" s="66" t="s">
        <v>11</v>
      </c>
      <c r="O2078" s="66"/>
      <c r="P2078" s="67">
        <v>6.89</v>
      </c>
      <c r="Q2078" s="28">
        <f t="shared" si="269"/>
        <v>296.27</v>
      </c>
      <c r="R2078" s="28">
        <f t="shared" si="270"/>
        <v>237.01599999999999</v>
      </c>
    </row>
    <row r="2079" spans="1:18" ht="10.5" customHeight="1" x14ac:dyDescent="0.3">
      <c r="A2079" s="262"/>
      <c r="B2079" s="20"/>
      <c r="C2079" s="20"/>
      <c r="D2079" s="20"/>
      <c r="E2079" s="20"/>
      <c r="F2079" s="20"/>
      <c r="G2079" s="20"/>
      <c r="H2079" s="20"/>
      <c r="I2079" s="20"/>
      <c r="J2079" s="62" t="s">
        <v>2422</v>
      </c>
      <c r="K2079" s="471" t="s">
        <v>2423</v>
      </c>
      <c r="L2079" s="471"/>
      <c r="M2079" s="471"/>
      <c r="N2079" s="66" t="s">
        <v>11</v>
      </c>
      <c r="O2079" s="66"/>
      <c r="P2079" s="67">
        <v>7.05</v>
      </c>
      <c r="Q2079" s="28">
        <f t="shared" si="269"/>
        <v>303.14999999999998</v>
      </c>
      <c r="R2079" s="28">
        <f t="shared" si="270"/>
        <v>242.51999999999998</v>
      </c>
    </row>
    <row r="2080" spans="1:18" ht="10.5" customHeight="1" x14ac:dyDescent="0.3">
      <c r="A2080" s="262"/>
      <c r="B2080" s="20"/>
      <c r="C2080" s="20"/>
      <c r="D2080" s="20"/>
      <c r="E2080" s="20"/>
      <c r="F2080" s="20"/>
      <c r="G2080" s="20"/>
      <c r="H2080" s="20"/>
      <c r="I2080" s="20"/>
      <c r="J2080" s="62" t="s">
        <v>2424</v>
      </c>
      <c r="K2080" s="471" t="s">
        <v>2425</v>
      </c>
      <c r="L2080" s="471"/>
      <c r="M2080" s="471"/>
      <c r="N2080" s="66" t="s">
        <v>11</v>
      </c>
      <c r="O2080" s="66"/>
      <c r="P2080" s="67">
        <v>7.3</v>
      </c>
      <c r="Q2080" s="28">
        <f t="shared" si="269"/>
        <v>313.89999999999998</v>
      </c>
      <c r="R2080" s="28">
        <f t="shared" si="270"/>
        <v>251.11999999999998</v>
      </c>
    </row>
    <row r="2081" spans="1:18" ht="10.5" customHeight="1" x14ac:dyDescent="0.3">
      <c r="A2081" s="262"/>
      <c r="B2081" s="20"/>
      <c r="C2081" s="20"/>
      <c r="D2081" s="20"/>
      <c r="E2081" s="20"/>
      <c r="F2081" s="20"/>
      <c r="G2081" s="20"/>
      <c r="H2081" s="20"/>
      <c r="I2081" s="20"/>
      <c r="J2081" s="251">
        <v>320370006</v>
      </c>
      <c r="K2081" s="494" t="s">
        <v>2426</v>
      </c>
      <c r="L2081" s="495"/>
      <c r="M2081" s="496"/>
      <c r="N2081" s="66" t="s">
        <v>11</v>
      </c>
      <c r="O2081" s="66"/>
      <c r="P2081" s="67">
        <v>7.07</v>
      </c>
      <c r="Q2081" s="28">
        <f t="shared" si="269"/>
        <v>304.01</v>
      </c>
      <c r="R2081" s="28">
        <f t="shared" si="270"/>
        <v>243.208</v>
      </c>
    </row>
    <row r="2082" spans="1:18" ht="10.5" customHeight="1" x14ac:dyDescent="0.3">
      <c r="A2082" s="328" t="s">
        <v>2006</v>
      </c>
      <c r="B2082" s="83"/>
      <c r="C2082" s="83"/>
      <c r="D2082" s="83"/>
      <c r="E2082" s="83"/>
      <c r="F2082" s="83"/>
      <c r="G2082" s="83"/>
      <c r="H2082" s="83"/>
      <c r="I2082" s="116"/>
      <c r="J2082" s="62" t="s">
        <v>2427</v>
      </c>
      <c r="K2082" s="471" t="s">
        <v>2428</v>
      </c>
      <c r="L2082" s="471"/>
      <c r="M2082" s="471"/>
      <c r="N2082" s="66" t="s">
        <v>11</v>
      </c>
      <c r="O2082" s="66"/>
      <c r="P2082" s="67">
        <v>7.74</v>
      </c>
      <c r="Q2082" s="28">
        <f t="shared" si="269"/>
        <v>332.82</v>
      </c>
      <c r="R2082" s="28">
        <f t="shared" si="270"/>
        <v>266.25599999999997</v>
      </c>
    </row>
    <row r="2083" spans="1:18" ht="10.5" customHeight="1" x14ac:dyDescent="0.3">
      <c r="A2083" s="20"/>
      <c r="B2083" s="20"/>
      <c r="C2083" s="20"/>
      <c r="D2083" s="20"/>
      <c r="E2083" s="363"/>
      <c r="F2083" s="20"/>
      <c r="G2083" s="20"/>
      <c r="H2083" s="20"/>
      <c r="I2083" s="20"/>
      <c r="J2083" s="364"/>
      <c r="K2083" s="365"/>
      <c r="L2083" s="366"/>
      <c r="M2083" s="366"/>
      <c r="N2083" s="367"/>
      <c r="O2083" s="367"/>
      <c r="P2083" s="368"/>
      <c r="Q2083" s="368"/>
      <c r="R2083" s="368"/>
    </row>
    <row r="2084" spans="1:18" ht="10.5" customHeight="1" thickBot="1" x14ac:dyDescent="0.35">
      <c r="A2084" s="166" t="s">
        <v>2429</v>
      </c>
      <c r="B2084" s="48" t="s">
        <v>2430</v>
      </c>
      <c r="C2084" s="49"/>
      <c r="D2084" s="49"/>
      <c r="E2084" s="49"/>
      <c r="F2084" s="49"/>
      <c r="G2084" s="49"/>
      <c r="H2084" s="49"/>
      <c r="I2084" s="49"/>
      <c r="J2084" s="452" t="s">
        <v>78</v>
      </c>
      <c r="K2084" s="477" t="s">
        <v>79</v>
      </c>
      <c r="L2084" s="477"/>
      <c r="M2084" s="477"/>
      <c r="N2084" s="473" t="s">
        <v>80</v>
      </c>
      <c r="O2084" s="434"/>
      <c r="P2084" s="61"/>
      <c r="Q2084" s="16" t="s">
        <v>81</v>
      </c>
      <c r="R2084" s="17" t="s">
        <v>82</v>
      </c>
    </row>
    <row r="2085" spans="1:18" ht="10.5" customHeight="1" x14ac:dyDescent="0.3">
      <c r="A2085" s="18"/>
      <c r="B2085" s="20"/>
      <c r="C2085" s="20"/>
      <c r="D2085" s="20"/>
      <c r="E2085" s="20"/>
      <c r="F2085" s="20"/>
      <c r="G2085" s="20"/>
      <c r="H2085" s="20"/>
      <c r="I2085" s="20"/>
      <c r="J2085" s="452"/>
      <c r="K2085" s="477"/>
      <c r="L2085" s="477"/>
      <c r="M2085" s="477"/>
      <c r="N2085" s="473"/>
      <c r="O2085" s="369"/>
      <c r="P2085" s="68"/>
      <c r="Q2085" s="69" t="s">
        <v>375</v>
      </c>
      <c r="R2085" s="15" t="s">
        <v>375</v>
      </c>
    </row>
    <row r="2086" spans="1:18" ht="10.5" customHeight="1" x14ac:dyDescent="0.3">
      <c r="A2086" s="18"/>
      <c r="B2086" s="20"/>
      <c r="C2086" s="20"/>
      <c r="D2086" s="20"/>
      <c r="E2086" s="20"/>
      <c r="F2086" s="20"/>
      <c r="G2086" s="20"/>
      <c r="H2086" s="20"/>
      <c r="I2086" s="20"/>
      <c r="J2086" s="361" t="s">
        <v>2431</v>
      </c>
      <c r="K2086" s="486" t="s">
        <v>2432</v>
      </c>
      <c r="L2086" s="486"/>
      <c r="M2086" s="486"/>
      <c r="N2086" s="291" t="s">
        <v>11</v>
      </c>
      <c r="O2086" s="291"/>
      <c r="P2086" s="292">
        <v>11.414118055555555</v>
      </c>
      <c r="Q2086" s="319">
        <f>P2086*$F$10</f>
        <v>490.80707638888885</v>
      </c>
      <c r="R2086" s="319">
        <f>Q2086-Q2086*0.2</f>
        <v>392.64566111111105</v>
      </c>
    </row>
    <row r="2087" spans="1:18" ht="10.5" customHeight="1" x14ac:dyDescent="0.3">
      <c r="A2087" s="18"/>
      <c r="B2087" s="20"/>
      <c r="C2087" s="20"/>
      <c r="D2087" s="20"/>
      <c r="E2087" s="20"/>
      <c r="F2087" s="20"/>
      <c r="G2087" s="20"/>
      <c r="H2087" s="20"/>
      <c r="I2087" s="20"/>
      <c r="J2087" s="251" t="s">
        <v>2433</v>
      </c>
      <c r="K2087" s="471" t="s">
        <v>2434</v>
      </c>
      <c r="L2087" s="471"/>
      <c r="M2087" s="471"/>
      <c r="N2087" s="66" t="s">
        <v>11</v>
      </c>
      <c r="O2087" s="66"/>
      <c r="P2087" s="67">
        <v>14.876295138888887</v>
      </c>
      <c r="Q2087" s="28">
        <f>P2087*$F$10</f>
        <v>639.68069097222212</v>
      </c>
      <c r="R2087" s="28">
        <f>Q2087-Q2087*0.2</f>
        <v>511.7445527777777</v>
      </c>
    </row>
    <row r="2088" spans="1:18" ht="10.5" customHeight="1" x14ac:dyDescent="0.3">
      <c r="A2088" s="328" t="s">
        <v>2006</v>
      </c>
      <c r="B2088" s="489"/>
      <c r="C2088" s="489"/>
      <c r="D2088" s="489"/>
      <c r="E2088" s="369"/>
      <c r="F2088" s="370"/>
      <c r="G2088" s="371"/>
      <c r="H2088" s="372"/>
      <c r="I2088" s="83"/>
      <c r="J2088" s="83"/>
      <c r="K2088" s="490"/>
      <c r="L2088" s="490"/>
      <c r="M2088" s="490"/>
      <c r="N2088" s="373"/>
      <c r="O2088" s="373"/>
      <c r="P2088" s="374"/>
      <c r="Q2088" s="232"/>
      <c r="R2088" s="233"/>
    </row>
    <row r="2089" spans="1:18" ht="10.5" customHeight="1" x14ac:dyDescent="0.3">
      <c r="A2089" s="20"/>
      <c r="B2089" s="20"/>
      <c r="C2089" s="20"/>
      <c r="D2089" s="20"/>
      <c r="E2089" s="20"/>
      <c r="F2089" s="20"/>
      <c r="G2089" s="20"/>
      <c r="H2089" s="20"/>
      <c r="I2089" s="20"/>
      <c r="J2089" s="20"/>
      <c r="K2089" s="20"/>
      <c r="L2089" s="20"/>
      <c r="M2089" s="20"/>
      <c r="N2089" s="20"/>
      <c r="O2089" s="20"/>
      <c r="P2089" s="20"/>
      <c r="Q2089" s="20"/>
      <c r="R2089" s="20"/>
    </row>
    <row r="2090" spans="1:18" ht="10.5" customHeight="1" x14ac:dyDescent="0.3">
      <c r="A2090" s="166" t="s">
        <v>2435</v>
      </c>
      <c r="B2090" s="48" t="s">
        <v>2436</v>
      </c>
      <c r="C2090" s="49"/>
      <c r="D2090" s="49"/>
      <c r="E2090" s="49"/>
      <c r="F2090" s="49"/>
      <c r="G2090" s="49"/>
      <c r="H2090" s="49"/>
      <c r="I2090" s="49"/>
      <c r="J2090" s="452" t="s">
        <v>78</v>
      </c>
      <c r="K2090" s="477" t="s">
        <v>79</v>
      </c>
      <c r="L2090" s="477"/>
      <c r="M2090" s="477"/>
      <c r="N2090" s="473" t="s">
        <v>80</v>
      </c>
      <c r="O2090" s="434"/>
      <c r="P2090" s="61"/>
      <c r="Q2090" s="16" t="s">
        <v>81</v>
      </c>
      <c r="R2090" s="17" t="s">
        <v>82</v>
      </c>
    </row>
    <row r="2091" spans="1:18" ht="10.5" customHeight="1" x14ac:dyDescent="0.3">
      <c r="A2091" s="18"/>
      <c r="B2091" s="20"/>
      <c r="C2091" s="20"/>
      <c r="D2091" s="20"/>
      <c r="E2091" s="20"/>
      <c r="F2091" s="20"/>
      <c r="G2091" s="20"/>
      <c r="H2091" s="20"/>
      <c r="I2091" s="20"/>
      <c r="J2091" s="452"/>
      <c r="K2091" s="477"/>
      <c r="L2091" s="477"/>
      <c r="M2091" s="477"/>
      <c r="N2091" s="473"/>
      <c r="O2091" s="369"/>
      <c r="P2091" s="68"/>
      <c r="Q2091" s="69" t="s">
        <v>375</v>
      </c>
      <c r="R2091" s="69" t="s">
        <v>375</v>
      </c>
    </row>
    <row r="2092" spans="1:18" ht="10.5" customHeight="1" x14ac:dyDescent="0.3">
      <c r="A2092" s="18"/>
      <c r="B2092" s="20"/>
      <c r="C2092" s="20"/>
      <c r="D2092" s="20"/>
      <c r="E2092" s="20"/>
      <c r="F2092" s="20"/>
      <c r="G2092" s="20"/>
      <c r="H2092" s="20"/>
      <c r="I2092" s="20"/>
      <c r="J2092" s="361" t="s">
        <v>2437</v>
      </c>
      <c r="K2092" s="486" t="s">
        <v>2438</v>
      </c>
      <c r="L2092" s="486"/>
      <c r="M2092" s="486"/>
      <c r="N2092" s="291" t="s">
        <v>11</v>
      </c>
      <c r="O2092" s="291"/>
      <c r="P2092" s="292">
        <v>7.6199513888888877</v>
      </c>
      <c r="Q2092" s="319">
        <f>P2092*$F$10</f>
        <v>327.65790972222214</v>
      </c>
      <c r="R2092" s="319">
        <f>Q2092-Q2092*0.2</f>
        <v>262.1263277777777</v>
      </c>
    </row>
    <row r="2093" spans="1:18" ht="21" customHeight="1" x14ac:dyDescent="0.3">
      <c r="A2093" s="328" t="s">
        <v>2006</v>
      </c>
      <c r="B2093" s="83"/>
      <c r="C2093" s="83"/>
      <c r="D2093" s="83"/>
      <c r="E2093" s="83"/>
      <c r="F2093" s="83"/>
      <c r="G2093" s="83"/>
      <c r="H2093" s="83"/>
      <c r="I2093" s="116"/>
      <c r="J2093" s="251" t="s">
        <v>2439</v>
      </c>
      <c r="K2093" s="471" t="s">
        <v>2440</v>
      </c>
      <c r="L2093" s="471"/>
      <c r="M2093" s="471"/>
      <c r="N2093" s="66" t="s">
        <v>11</v>
      </c>
      <c r="O2093" s="66"/>
      <c r="P2093" s="67">
        <v>16.88</v>
      </c>
      <c r="Q2093" s="28">
        <f>P2093*$F$10</f>
        <v>725.83999999999992</v>
      </c>
      <c r="R2093" s="28">
        <f>Q2093-Q2093*0.2</f>
        <v>580.67199999999991</v>
      </c>
    </row>
    <row r="2094" spans="1:18" ht="10.5" customHeight="1" x14ac:dyDescent="0.3">
      <c r="A2094" s="20"/>
      <c r="B2094" s="20"/>
      <c r="C2094" s="20"/>
      <c r="D2094" s="20"/>
      <c r="E2094" s="20"/>
      <c r="F2094" s="20"/>
      <c r="G2094" s="20"/>
      <c r="H2094" s="20"/>
      <c r="I2094" s="20"/>
      <c r="J2094" s="20"/>
      <c r="K2094" s="20"/>
      <c r="L2094" s="20"/>
      <c r="M2094" s="20"/>
      <c r="N2094" s="20"/>
      <c r="O2094" s="20"/>
      <c r="P2094" s="20"/>
      <c r="Q2094" s="20"/>
      <c r="R2094" s="20"/>
    </row>
    <row r="2095" spans="1:18" ht="10.5" customHeight="1" x14ac:dyDescent="0.3">
      <c r="A2095" s="166" t="s">
        <v>2441</v>
      </c>
      <c r="B2095" s="48" t="s">
        <v>2442</v>
      </c>
      <c r="C2095" s="49"/>
      <c r="D2095" s="49"/>
      <c r="E2095" s="49"/>
      <c r="F2095" s="49"/>
      <c r="G2095" s="49"/>
      <c r="H2095" s="49"/>
      <c r="I2095" s="49"/>
      <c r="J2095" s="452" t="s">
        <v>78</v>
      </c>
      <c r="K2095" s="477" t="s">
        <v>79</v>
      </c>
      <c r="L2095" s="477"/>
      <c r="M2095" s="477"/>
      <c r="N2095" s="473" t="s">
        <v>80</v>
      </c>
      <c r="O2095" s="434"/>
      <c r="P2095" s="61"/>
      <c r="Q2095" s="16" t="s">
        <v>81</v>
      </c>
      <c r="R2095" s="17" t="s">
        <v>82</v>
      </c>
    </row>
    <row r="2096" spans="1:18" ht="10.5" customHeight="1" thickTop="1" x14ac:dyDescent="0.3">
      <c r="A2096" s="18"/>
      <c r="B2096" s="20"/>
      <c r="C2096" s="20"/>
      <c r="D2096" s="20"/>
      <c r="E2096" s="20"/>
      <c r="F2096" s="20"/>
      <c r="G2096" s="20"/>
      <c r="H2096" s="20"/>
      <c r="I2096" s="20"/>
      <c r="J2096" s="452"/>
      <c r="K2096" s="477"/>
      <c r="L2096" s="477"/>
      <c r="M2096" s="477"/>
      <c r="N2096" s="473"/>
      <c r="O2096" s="369"/>
      <c r="P2096" s="68"/>
      <c r="Q2096" s="69" t="s">
        <v>2443</v>
      </c>
      <c r="R2096" s="69" t="s">
        <v>2443</v>
      </c>
    </row>
    <row r="2097" spans="1:18" ht="10.5" customHeight="1" x14ac:dyDescent="0.3">
      <c r="A2097" s="18"/>
      <c r="B2097" s="20"/>
      <c r="C2097" s="20"/>
      <c r="D2097" s="20"/>
      <c r="E2097" s="20"/>
      <c r="F2097" s="20"/>
      <c r="G2097" s="20"/>
      <c r="H2097" s="20"/>
      <c r="I2097" s="20"/>
      <c r="J2097" s="361" t="s">
        <v>2444</v>
      </c>
      <c r="K2097" s="486" t="s">
        <v>2445</v>
      </c>
      <c r="L2097" s="486"/>
      <c r="M2097" s="486"/>
      <c r="N2097" s="291" t="s">
        <v>20</v>
      </c>
      <c r="O2097" s="291"/>
      <c r="P2097" s="292">
        <v>4.42</v>
      </c>
      <c r="Q2097" s="319">
        <f>P2097*$F$10</f>
        <v>190.06</v>
      </c>
      <c r="R2097" s="319">
        <f>Q2097-Q2097*0.2</f>
        <v>152.048</v>
      </c>
    </row>
    <row r="2098" spans="1:18" ht="10.5" customHeight="1" x14ac:dyDescent="0.3">
      <c r="A2098" s="18"/>
      <c r="B2098" s="20"/>
      <c r="C2098" s="20"/>
      <c r="D2098" s="20"/>
      <c r="E2098" s="20"/>
      <c r="F2098" s="20"/>
      <c r="G2098" s="20"/>
      <c r="H2098" s="20"/>
      <c r="I2098" s="20"/>
      <c r="J2098" s="251" t="s">
        <v>2446</v>
      </c>
      <c r="K2098" s="471" t="s">
        <v>2447</v>
      </c>
      <c r="L2098" s="471"/>
      <c r="M2098" s="471"/>
      <c r="N2098" s="291" t="s">
        <v>20</v>
      </c>
      <c r="O2098" s="291"/>
      <c r="P2098" s="67">
        <v>6.62</v>
      </c>
      <c r="Q2098" s="28">
        <f>P2098*$F$10</f>
        <v>284.66000000000003</v>
      </c>
      <c r="R2098" s="28">
        <f>Q2098-Q2098*0.2</f>
        <v>227.72800000000001</v>
      </c>
    </row>
    <row r="2099" spans="1:18" ht="27" customHeight="1" x14ac:dyDescent="0.3">
      <c r="A2099" s="328" t="s">
        <v>2006</v>
      </c>
      <c r="B2099" s="83"/>
      <c r="C2099" s="83"/>
      <c r="D2099" s="83"/>
      <c r="E2099" s="83"/>
      <c r="F2099" s="83"/>
      <c r="G2099" s="83"/>
      <c r="H2099" s="83"/>
      <c r="I2099" s="116"/>
      <c r="J2099" s="387" t="s">
        <v>2448</v>
      </c>
      <c r="K2099" s="491" t="s">
        <v>2449</v>
      </c>
      <c r="L2099" s="491"/>
      <c r="M2099" s="491"/>
      <c r="N2099" s="377" t="s">
        <v>20</v>
      </c>
      <c r="O2099" s="377"/>
      <c r="P2099" s="378">
        <v>8.83</v>
      </c>
      <c r="Q2099" s="379">
        <f>P2099*$F$10</f>
        <v>379.69</v>
      </c>
      <c r="R2099" s="379">
        <f>Q2099-Q2099*0.2</f>
        <v>303.75200000000001</v>
      </c>
    </row>
    <row r="2100" spans="1:18" ht="10.5" customHeight="1" x14ac:dyDescent="0.3">
      <c r="A2100" s="20"/>
      <c r="B2100" s="20"/>
      <c r="C2100" s="20"/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</row>
    <row r="2101" spans="1:18" ht="10.5" customHeight="1" x14ac:dyDescent="0.3">
      <c r="A2101" s="166" t="s">
        <v>2450</v>
      </c>
      <c r="B2101" s="309" t="s">
        <v>2451</v>
      </c>
      <c r="C2101" s="49"/>
      <c r="D2101" s="49"/>
      <c r="E2101" s="49"/>
      <c r="F2101" s="49"/>
      <c r="G2101" s="49"/>
      <c r="H2101" s="49"/>
      <c r="I2101" s="49"/>
      <c r="J2101" s="446" t="s">
        <v>78</v>
      </c>
      <c r="K2101" s="446" t="s">
        <v>79</v>
      </c>
      <c r="L2101" s="446"/>
      <c r="M2101" s="446"/>
      <c r="N2101" s="447" t="s">
        <v>2452</v>
      </c>
      <c r="O2101" s="14"/>
      <c r="P2101" s="15"/>
      <c r="Q2101" s="16" t="s">
        <v>81</v>
      </c>
      <c r="R2101" s="17" t="s">
        <v>82</v>
      </c>
    </row>
    <row r="2102" spans="1:18" ht="10.5" customHeight="1" x14ac:dyDescent="0.3">
      <c r="A2102" s="18"/>
      <c r="B2102" s="20"/>
      <c r="C2102" s="20"/>
      <c r="D2102" s="20"/>
      <c r="E2102" s="20"/>
      <c r="F2102" s="20"/>
      <c r="G2102" s="20"/>
      <c r="H2102" s="20"/>
      <c r="I2102" s="20"/>
      <c r="J2102" s="446"/>
      <c r="K2102" s="446"/>
      <c r="L2102" s="446"/>
      <c r="M2102" s="446"/>
      <c r="N2102" s="447"/>
      <c r="O2102" s="14"/>
      <c r="P2102" s="19"/>
      <c r="Q2102" s="15" t="s">
        <v>2453</v>
      </c>
      <c r="R2102" s="15" t="s">
        <v>2453</v>
      </c>
    </row>
    <row r="2103" spans="1:18" ht="10.5" customHeight="1" x14ac:dyDescent="0.3">
      <c r="A2103" s="18"/>
      <c r="B2103" s="20"/>
      <c r="C2103" s="20"/>
      <c r="D2103" s="20"/>
      <c r="E2103" s="20"/>
      <c r="F2103" s="20"/>
      <c r="G2103" s="20"/>
      <c r="H2103" s="20"/>
      <c r="I2103" s="20"/>
      <c r="J2103" s="263">
        <v>320510001</v>
      </c>
      <c r="K2103" s="388">
        <v>12</v>
      </c>
      <c r="L2103" s="277" t="s">
        <v>86</v>
      </c>
      <c r="M2103" s="312">
        <v>0.55000000000000004</v>
      </c>
      <c r="N2103" s="94" t="s">
        <v>69</v>
      </c>
      <c r="O2103" s="87"/>
      <c r="P2103" s="78">
        <v>1.2108800000000002</v>
      </c>
      <c r="Q2103" s="113">
        <f t="shared" ref="Q2103:Q2109" si="271">P2103*$F$10</f>
        <v>52.067840000000011</v>
      </c>
      <c r="R2103" s="72">
        <f t="shared" ref="R2103:R2109" si="272">Q2103-Q2103*0.2</f>
        <v>41.654272000000006</v>
      </c>
    </row>
    <row r="2104" spans="1:18" ht="10.5" customHeight="1" x14ac:dyDescent="0.3">
      <c r="A2104" s="18"/>
      <c r="B2104" s="20"/>
      <c r="C2104" s="20"/>
      <c r="D2104" s="20"/>
      <c r="E2104" s="20"/>
      <c r="F2104" s="20"/>
      <c r="G2104" s="20"/>
      <c r="H2104" s="20"/>
      <c r="I2104" s="20"/>
      <c r="J2104" s="263">
        <v>320510002</v>
      </c>
      <c r="K2104" s="264">
        <v>18</v>
      </c>
      <c r="L2104" s="277" t="s">
        <v>86</v>
      </c>
      <c r="M2104" s="272">
        <v>0.55000000000000004</v>
      </c>
      <c r="N2104" s="94" t="s">
        <v>69</v>
      </c>
      <c r="O2104" s="87"/>
      <c r="P2104" s="78">
        <v>1.4466428571428571</v>
      </c>
      <c r="Q2104" s="113">
        <f t="shared" si="271"/>
        <v>62.205642857142855</v>
      </c>
      <c r="R2104" s="72">
        <f t="shared" si="272"/>
        <v>49.764514285714284</v>
      </c>
    </row>
    <row r="2105" spans="1:18" ht="10.5" customHeight="1" x14ac:dyDescent="0.3">
      <c r="A2105" s="20"/>
      <c r="B2105" s="20"/>
      <c r="C2105" s="20"/>
      <c r="D2105" s="20"/>
      <c r="E2105" s="20"/>
      <c r="F2105" s="20"/>
      <c r="G2105" s="20"/>
      <c r="H2105" s="20"/>
      <c r="I2105" s="389"/>
      <c r="J2105" s="307">
        <v>320510003</v>
      </c>
      <c r="K2105" s="261">
        <v>18</v>
      </c>
      <c r="L2105" s="277" t="s">
        <v>86</v>
      </c>
      <c r="M2105" s="312">
        <v>0.65</v>
      </c>
      <c r="N2105" s="94" t="s">
        <v>69</v>
      </c>
      <c r="O2105" s="87"/>
      <c r="P2105" s="78">
        <v>1.6417714285714287</v>
      </c>
      <c r="Q2105" s="113">
        <f t="shared" si="271"/>
        <v>70.596171428571438</v>
      </c>
      <c r="R2105" s="72">
        <f t="shared" si="272"/>
        <v>56.476937142857153</v>
      </c>
    </row>
    <row r="2106" spans="1:18" ht="10.5" customHeight="1" x14ac:dyDescent="0.3">
      <c r="A2106" s="20"/>
      <c r="B2106" s="20"/>
      <c r="C2106" s="20"/>
      <c r="D2106" s="20"/>
      <c r="E2106" s="20"/>
      <c r="F2106" s="20"/>
      <c r="G2106" s="20"/>
      <c r="H2106" s="20"/>
      <c r="I2106" s="389"/>
      <c r="J2106" s="263">
        <v>320510004</v>
      </c>
      <c r="K2106" s="388">
        <v>12</v>
      </c>
      <c r="L2106" s="277" t="s">
        <v>86</v>
      </c>
      <c r="M2106" s="312">
        <v>0.55000000000000004</v>
      </c>
      <c r="N2106" s="94" t="s">
        <v>20</v>
      </c>
      <c r="O2106" s="87"/>
      <c r="P2106" s="78">
        <v>2.4692799999999999</v>
      </c>
      <c r="Q2106" s="113">
        <f t="shared" si="271"/>
        <v>106.17904</v>
      </c>
      <c r="R2106" s="72">
        <f t="shared" si="272"/>
        <v>84.943231999999995</v>
      </c>
    </row>
    <row r="2107" spans="1:18" ht="10.5" customHeight="1" x14ac:dyDescent="0.3">
      <c r="A2107" s="20"/>
      <c r="B2107" s="20"/>
      <c r="C2107" s="20"/>
      <c r="D2107" s="20"/>
      <c r="E2107" s="20"/>
      <c r="F2107" s="20"/>
      <c r="G2107" s="20"/>
      <c r="H2107" s="20"/>
      <c r="I2107" s="389"/>
      <c r="J2107" s="263">
        <v>320510005</v>
      </c>
      <c r="K2107" s="264">
        <v>18</v>
      </c>
      <c r="L2107" s="277" t="s">
        <v>86</v>
      </c>
      <c r="M2107" s="272">
        <v>0.55000000000000004</v>
      </c>
      <c r="N2107" s="94" t="s">
        <v>20</v>
      </c>
      <c r="O2107" s="87"/>
      <c r="P2107" s="78">
        <v>2.7250714285714284</v>
      </c>
      <c r="Q2107" s="113">
        <f t="shared" si="271"/>
        <v>117.17807142857141</v>
      </c>
      <c r="R2107" s="72">
        <f t="shared" si="272"/>
        <v>93.742457142857134</v>
      </c>
    </row>
    <row r="2108" spans="1:18" ht="10.5" customHeight="1" x14ac:dyDescent="0.3">
      <c r="A2108" s="20"/>
      <c r="B2108" s="20"/>
      <c r="C2108" s="20"/>
      <c r="D2108" s="20"/>
      <c r="E2108" s="20"/>
      <c r="F2108" s="20"/>
      <c r="G2108" s="20"/>
      <c r="H2108" s="20"/>
      <c r="I2108" s="389"/>
      <c r="J2108" s="307">
        <v>320510006</v>
      </c>
      <c r="K2108" s="261">
        <v>18</v>
      </c>
      <c r="L2108" s="277" t="s">
        <v>86</v>
      </c>
      <c r="M2108" s="312">
        <v>0.65</v>
      </c>
      <c r="N2108" s="94" t="s">
        <v>20</v>
      </c>
      <c r="O2108" s="87"/>
      <c r="P2108" s="78">
        <v>3.1119642857142855</v>
      </c>
      <c r="Q2108" s="113">
        <f t="shared" si="271"/>
        <v>133.81446428571428</v>
      </c>
      <c r="R2108" s="72">
        <f t="shared" si="272"/>
        <v>107.05157142857142</v>
      </c>
    </row>
    <row r="2109" spans="1:18" ht="10.5" customHeight="1" x14ac:dyDescent="0.3">
      <c r="A2109" s="390"/>
      <c r="B2109" s="390"/>
      <c r="C2109" s="390"/>
      <c r="D2109" s="390"/>
      <c r="E2109" s="390"/>
      <c r="F2109" s="390"/>
      <c r="G2109" s="390"/>
      <c r="H2109" s="390"/>
      <c r="I2109" s="391"/>
      <c r="J2109" s="307">
        <v>320510007</v>
      </c>
      <c r="K2109" s="388">
        <v>12</v>
      </c>
      <c r="L2109" s="277" t="s">
        <v>86</v>
      </c>
      <c r="M2109" s="312">
        <v>0.55000000000000004</v>
      </c>
      <c r="N2109" s="94" t="s">
        <v>50</v>
      </c>
      <c r="O2109" s="87"/>
      <c r="P2109" s="78">
        <v>7.0910031249999994</v>
      </c>
      <c r="Q2109" s="113">
        <f t="shared" si="271"/>
        <v>304.91313437499997</v>
      </c>
      <c r="R2109" s="72">
        <f t="shared" si="272"/>
        <v>243.93050749999998</v>
      </c>
    </row>
    <row r="2110" spans="1:18" ht="10.5" customHeight="1" x14ac:dyDescent="0.3">
      <c r="A2110" s="20"/>
      <c r="B2110" s="20"/>
      <c r="C2110" s="20"/>
      <c r="D2110" s="20"/>
      <c r="E2110" s="20"/>
      <c r="F2110" s="20"/>
      <c r="G2110" s="20"/>
      <c r="H2110" s="20"/>
      <c r="I2110" s="20"/>
      <c r="J2110" s="20"/>
      <c r="K2110" s="20"/>
      <c r="L2110" s="20"/>
      <c r="M2110" s="20"/>
      <c r="N2110" s="20"/>
      <c r="O2110" s="20"/>
      <c r="P2110" s="20"/>
      <c r="Q2110" s="20"/>
      <c r="R2110" s="20"/>
    </row>
    <row r="2111" spans="1:18" ht="10.5" customHeight="1" x14ac:dyDescent="0.3">
      <c r="A2111" s="166" t="s">
        <v>2454</v>
      </c>
      <c r="B2111" s="48" t="s">
        <v>2455</v>
      </c>
      <c r="C2111" s="49"/>
      <c r="D2111" s="49"/>
      <c r="E2111" s="49"/>
      <c r="F2111" s="49"/>
      <c r="G2111" s="49"/>
      <c r="H2111" s="49"/>
      <c r="I2111" s="49"/>
      <c r="J2111" s="452" t="s">
        <v>78</v>
      </c>
      <c r="K2111" s="477" t="s">
        <v>79</v>
      </c>
      <c r="L2111" s="477"/>
      <c r="M2111" s="477"/>
      <c r="N2111" s="473" t="s">
        <v>80</v>
      </c>
      <c r="O2111" s="434"/>
      <c r="P2111" s="61"/>
      <c r="Q2111" s="16" t="s">
        <v>81</v>
      </c>
      <c r="R2111" s="17" t="s">
        <v>82</v>
      </c>
    </row>
    <row r="2112" spans="1:18" ht="10.5" customHeight="1" thickTop="1" x14ac:dyDescent="0.3">
      <c r="A2112" s="18"/>
      <c r="B2112" s="20"/>
      <c r="C2112" s="20"/>
      <c r="D2112" s="20"/>
      <c r="E2112" s="20"/>
      <c r="F2112" s="20"/>
      <c r="G2112" s="20"/>
      <c r="H2112" s="20"/>
      <c r="I2112" s="20"/>
      <c r="J2112" s="452"/>
      <c r="K2112" s="477"/>
      <c r="L2112" s="477"/>
      <c r="M2112" s="477"/>
      <c r="N2112" s="473"/>
      <c r="O2112" s="369"/>
      <c r="P2112" s="68"/>
      <c r="Q2112" s="69" t="s">
        <v>2443</v>
      </c>
      <c r="R2112" s="69" t="s">
        <v>2443</v>
      </c>
    </row>
    <row r="2113" spans="1:18" ht="10.5" customHeight="1" x14ac:dyDescent="0.3">
      <c r="A2113" s="18"/>
      <c r="B2113" s="20"/>
      <c r="C2113" s="20"/>
      <c r="D2113" s="20"/>
      <c r="E2113" s="20"/>
      <c r="F2113" s="20"/>
      <c r="G2113" s="20"/>
      <c r="H2113" s="20"/>
      <c r="I2113" s="20"/>
      <c r="J2113" s="361" t="s">
        <v>2456</v>
      </c>
      <c r="K2113" s="486" t="s">
        <v>2457</v>
      </c>
      <c r="L2113" s="486"/>
      <c r="M2113" s="486"/>
      <c r="N2113" s="291">
        <v>25</v>
      </c>
      <c r="O2113" s="291"/>
      <c r="P2113" s="292">
        <v>0.36399999999999999</v>
      </c>
      <c r="Q2113" s="319">
        <f t="shared" ref="Q2113:Q2120" si="273">P2113*$F$10</f>
        <v>15.651999999999999</v>
      </c>
      <c r="R2113" s="319">
        <f t="shared" ref="R2113:R2120" si="274">Q2113-Q2113*0.2</f>
        <v>12.521599999999999</v>
      </c>
    </row>
    <row r="2114" spans="1:18" ht="10.5" customHeight="1" x14ac:dyDescent="0.3">
      <c r="A2114" s="18"/>
      <c r="B2114" s="20"/>
      <c r="C2114" s="20"/>
      <c r="D2114" s="20"/>
      <c r="E2114" s="20"/>
      <c r="F2114" s="20"/>
      <c r="G2114" s="20"/>
      <c r="H2114" s="20"/>
      <c r="I2114" s="20"/>
      <c r="J2114" s="251" t="s">
        <v>2458</v>
      </c>
      <c r="K2114" s="471" t="s">
        <v>2459</v>
      </c>
      <c r="L2114" s="471"/>
      <c r="M2114" s="471"/>
      <c r="N2114" s="291">
        <v>25</v>
      </c>
      <c r="O2114" s="291"/>
      <c r="P2114" s="67">
        <v>0.51600000000000001</v>
      </c>
      <c r="Q2114" s="28">
        <f t="shared" si="273"/>
        <v>22.188000000000002</v>
      </c>
      <c r="R2114" s="28">
        <f t="shared" si="274"/>
        <v>17.750400000000003</v>
      </c>
    </row>
    <row r="2115" spans="1:18" ht="10.5" customHeight="1" x14ac:dyDescent="0.3">
      <c r="A2115" s="18"/>
      <c r="B2115" s="20"/>
      <c r="C2115" s="20"/>
      <c r="D2115" s="20"/>
      <c r="E2115" s="20"/>
      <c r="F2115" s="20"/>
      <c r="G2115" s="20"/>
      <c r="H2115" s="20"/>
      <c r="I2115" s="20"/>
      <c r="J2115" s="361" t="s">
        <v>2460</v>
      </c>
      <c r="K2115" s="486" t="s">
        <v>2461</v>
      </c>
      <c r="L2115" s="486"/>
      <c r="M2115" s="486"/>
      <c r="N2115" s="291">
        <v>25</v>
      </c>
      <c r="O2115" s="291"/>
      <c r="P2115" s="292">
        <v>0.497</v>
      </c>
      <c r="Q2115" s="319">
        <f t="shared" si="273"/>
        <v>21.370999999999999</v>
      </c>
      <c r="R2115" s="319">
        <f t="shared" si="274"/>
        <v>17.096799999999998</v>
      </c>
    </row>
    <row r="2116" spans="1:18" ht="10.5" customHeight="1" x14ac:dyDescent="0.3">
      <c r="A2116" s="18"/>
      <c r="B2116" s="20"/>
      <c r="C2116" s="20"/>
      <c r="D2116" s="20"/>
      <c r="E2116" s="20"/>
      <c r="F2116" s="20"/>
      <c r="G2116" s="20"/>
      <c r="H2116" s="20"/>
      <c r="I2116" s="20"/>
      <c r="J2116" s="251" t="s">
        <v>2462</v>
      </c>
      <c r="K2116" s="471" t="s">
        <v>2463</v>
      </c>
      <c r="L2116" s="471"/>
      <c r="M2116" s="471"/>
      <c r="N2116" s="291">
        <v>25</v>
      </c>
      <c r="O2116" s="291"/>
      <c r="P2116" s="67">
        <v>0.70399999999999996</v>
      </c>
      <c r="Q2116" s="28">
        <f t="shared" si="273"/>
        <v>30.271999999999998</v>
      </c>
      <c r="R2116" s="28">
        <f t="shared" si="274"/>
        <v>24.217599999999997</v>
      </c>
    </row>
    <row r="2117" spans="1:18" ht="10.5" customHeight="1" x14ac:dyDescent="0.3">
      <c r="A2117" s="18"/>
      <c r="B2117" s="20"/>
      <c r="C2117" s="20"/>
      <c r="D2117" s="20"/>
      <c r="E2117" s="20"/>
      <c r="F2117" s="20"/>
      <c r="G2117" s="20"/>
      <c r="H2117" s="20"/>
      <c r="I2117" s="20"/>
      <c r="J2117" s="361" t="s">
        <v>2464</v>
      </c>
      <c r="K2117" s="486" t="s">
        <v>2465</v>
      </c>
      <c r="L2117" s="486"/>
      <c r="M2117" s="486"/>
      <c r="N2117" s="291">
        <v>25</v>
      </c>
      <c r="O2117" s="291"/>
      <c r="P2117" s="292">
        <v>0.93799999999999994</v>
      </c>
      <c r="Q2117" s="319">
        <f t="shared" si="273"/>
        <v>40.333999999999996</v>
      </c>
      <c r="R2117" s="319">
        <f t="shared" si="274"/>
        <v>32.267199999999995</v>
      </c>
    </row>
    <row r="2118" spans="1:18" ht="10.5" customHeight="1" x14ac:dyDescent="0.3">
      <c r="A2118" s="18"/>
      <c r="B2118" s="20"/>
      <c r="C2118" s="20"/>
      <c r="D2118" s="20"/>
      <c r="E2118" s="20"/>
      <c r="F2118" s="20"/>
      <c r="G2118" s="20"/>
      <c r="H2118" s="20"/>
      <c r="I2118" s="20"/>
      <c r="J2118" s="251" t="s">
        <v>2466</v>
      </c>
      <c r="K2118" s="471" t="s">
        <v>2467</v>
      </c>
      <c r="L2118" s="471"/>
      <c r="M2118" s="471"/>
      <c r="N2118" s="291">
        <v>25</v>
      </c>
      <c r="O2118" s="291"/>
      <c r="P2118" s="67">
        <v>1.4350000000000001</v>
      </c>
      <c r="Q2118" s="28">
        <f t="shared" si="273"/>
        <v>61.705000000000005</v>
      </c>
      <c r="R2118" s="28">
        <f t="shared" si="274"/>
        <v>49.364000000000004</v>
      </c>
    </row>
    <row r="2119" spans="1:18" ht="10.5" customHeight="1" x14ac:dyDescent="0.3">
      <c r="A2119" s="18"/>
      <c r="B2119" s="20"/>
      <c r="C2119" s="20"/>
      <c r="D2119" s="20"/>
      <c r="E2119" s="20"/>
      <c r="F2119" s="20"/>
      <c r="G2119" s="20"/>
      <c r="H2119" s="20"/>
      <c r="I2119" s="20"/>
      <c r="J2119" s="361" t="s">
        <v>2468</v>
      </c>
      <c r="K2119" s="486" t="s">
        <v>2469</v>
      </c>
      <c r="L2119" s="486"/>
      <c r="M2119" s="486"/>
      <c r="N2119" s="291">
        <v>25</v>
      </c>
      <c r="O2119" s="291"/>
      <c r="P2119" s="292">
        <v>1.794</v>
      </c>
      <c r="Q2119" s="319">
        <f t="shared" si="273"/>
        <v>77.141999999999996</v>
      </c>
      <c r="R2119" s="319">
        <f t="shared" si="274"/>
        <v>61.7136</v>
      </c>
    </row>
    <row r="2120" spans="1:18" ht="10.5" customHeight="1" x14ac:dyDescent="0.3">
      <c r="A2120" s="328" t="s">
        <v>2006</v>
      </c>
      <c r="B2120" s="83"/>
      <c r="C2120" s="83"/>
      <c r="D2120" s="83"/>
      <c r="E2120" s="83"/>
      <c r="F2120" s="83"/>
      <c r="G2120" s="83"/>
      <c r="H2120" s="83"/>
      <c r="I2120" s="83"/>
      <c r="J2120" s="251" t="s">
        <v>2470</v>
      </c>
      <c r="K2120" s="471" t="s">
        <v>2471</v>
      </c>
      <c r="L2120" s="471"/>
      <c r="M2120" s="471"/>
      <c r="N2120" s="66">
        <v>25</v>
      </c>
      <c r="O2120" s="66"/>
      <c r="P2120" s="67">
        <v>2.7320000000000002</v>
      </c>
      <c r="Q2120" s="28">
        <f t="shared" si="273"/>
        <v>117.47600000000001</v>
      </c>
      <c r="R2120" s="28">
        <f t="shared" si="274"/>
        <v>93.980800000000016</v>
      </c>
    </row>
    <row r="2121" spans="1:18" ht="10.5" customHeight="1" x14ac:dyDescent="0.3">
      <c r="A2121" s="20"/>
      <c r="B2121" s="20"/>
      <c r="C2121" s="20"/>
      <c r="D2121" s="20"/>
      <c r="E2121" s="20"/>
      <c r="F2121" s="20"/>
      <c r="G2121" s="20"/>
      <c r="H2121" s="20"/>
      <c r="I2121" s="20"/>
      <c r="J2121" s="20"/>
      <c r="K2121" s="20"/>
      <c r="L2121" s="20"/>
      <c r="M2121" s="20"/>
      <c r="N2121" s="20"/>
      <c r="O2121" s="20"/>
      <c r="P2121" s="20"/>
      <c r="Q2121" s="20"/>
      <c r="R2121" s="20"/>
    </row>
    <row r="2122" spans="1:18" ht="10.5" customHeight="1" x14ac:dyDescent="0.3">
      <c r="A2122" s="20"/>
      <c r="B2122" s="20"/>
      <c r="C2122" s="20"/>
      <c r="D2122" s="20"/>
      <c r="E2122" s="363"/>
      <c r="F2122" s="20"/>
      <c r="G2122" s="20"/>
      <c r="H2122" s="20"/>
      <c r="I2122" s="20"/>
      <c r="J2122" s="364"/>
      <c r="K2122" s="365"/>
      <c r="L2122" s="366"/>
      <c r="M2122" s="366"/>
      <c r="N2122" s="367"/>
      <c r="O2122" s="367"/>
      <c r="P2122" s="368"/>
      <c r="Q2122" s="368"/>
      <c r="R2122" s="368"/>
    </row>
    <row r="2123" spans="1:18" ht="10.5" customHeight="1" x14ac:dyDescent="0.3">
      <c r="A2123" s="20"/>
      <c r="B2123" s="20"/>
      <c r="C2123" s="20"/>
      <c r="D2123" s="20"/>
      <c r="E2123" s="363"/>
      <c r="F2123" s="20"/>
      <c r="G2123" s="20"/>
      <c r="H2123" s="20"/>
      <c r="I2123" s="20"/>
      <c r="J2123" s="364"/>
      <c r="K2123" s="365"/>
      <c r="L2123" s="366"/>
      <c r="M2123" s="366"/>
      <c r="N2123" s="367"/>
      <c r="O2123" s="367"/>
      <c r="P2123" s="368"/>
      <c r="Q2123" s="368"/>
      <c r="R2123" s="368"/>
    </row>
    <row r="2124" spans="1:18" ht="10.5" customHeight="1" x14ac:dyDescent="0.3">
      <c r="A2124" s="20"/>
      <c r="B2124" s="20"/>
      <c r="C2124" s="20"/>
      <c r="D2124" s="20"/>
      <c r="E2124" s="363"/>
      <c r="F2124" s="20"/>
      <c r="G2124" s="20"/>
      <c r="H2124" s="20"/>
      <c r="I2124" s="20"/>
      <c r="J2124" s="364"/>
      <c r="K2124" s="365"/>
      <c r="L2124" s="366"/>
      <c r="M2124" s="366"/>
      <c r="N2124" s="367"/>
      <c r="O2124" s="367"/>
      <c r="P2124" s="368"/>
      <c r="Q2124" s="368"/>
      <c r="R2124" s="368"/>
    </row>
    <row r="2125" spans="1:18" ht="10.5" customHeight="1" x14ac:dyDescent="0.3">
      <c r="A2125" s="20"/>
      <c r="B2125" s="20"/>
      <c r="C2125" s="20"/>
      <c r="D2125" s="20"/>
      <c r="E2125" s="363"/>
      <c r="F2125" s="20"/>
      <c r="G2125" s="20"/>
      <c r="H2125" s="20"/>
      <c r="I2125" s="20"/>
      <c r="J2125" s="364"/>
      <c r="K2125" s="365"/>
      <c r="L2125" s="366"/>
      <c r="M2125" s="366"/>
      <c r="N2125" s="367"/>
      <c r="O2125" s="367"/>
      <c r="P2125" s="368"/>
      <c r="Q2125" s="368"/>
      <c r="R2125" s="368"/>
    </row>
    <row r="2126" spans="1:18" ht="10.5" customHeight="1" x14ac:dyDescent="0.3">
      <c r="A2126" s="20"/>
      <c r="B2126" s="20"/>
      <c r="C2126" s="20"/>
      <c r="D2126" s="20"/>
      <c r="E2126" s="363"/>
      <c r="F2126" s="20"/>
      <c r="G2126" s="20"/>
      <c r="H2126" s="20"/>
      <c r="I2126" s="20"/>
      <c r="J2126" s="364"/>
      <c r="K2126" s="365"/>
      <c r="L2126" s="366"/>
      <c r="M2126" s="366"/>
      <c r="N2126" s="367"/>
      <c r="O2126" s="367"/>
      <c r="P2126" s="368"/>
      <c r="Q2126" s="368"/>
      <c r="R2126" s="368"/>
    </row>
    <row r="2127" spans="1:18" ht="15" customHeight="1" x14ac:dyDescent="0.3">
      <c r="A2127" s="448" t="s">
        <v>2472</v>
      </c>
      <c r="B2127" s="448"/>
      <c r="C2127" s="448"/>
      <c r="D2127" s="448"/>
      <c r="E2127" s="448"/>
      <c r="F2127" s="448"/>
      <c r="G2127" s="448"/>
      <c r="H2127" s="448"/>
      <c r="I2127" s="448"/>
      <c r="J2127" s="448"/>
      <c r="K2127" s="448"/>
      <c r="L2127" s="448"/>
      <c r="M2127" s="448"/>
      <c r="N2127" s="448"/>
      <c r="O2127" s="448"/>
      <c r="P2127" s="448"/>
      <c r="Q2127" s="448"/>
      <c r="R2127" s="448"/>
    </row>
    <row r="2128" spans="1:18" ht="10.5" customHeight="1" x14ac:dyDescent="0.3">
      <c r="A2128" s="20"/>
      <c r="B2128" s="20"/>
      <c r="C2128" s="20"/>
      <c r="D2128" s="20"/>
      <c r="E2128" s="20"/>
      <c r="F2128" s="20"/>
      <c r="G2128" s="20"/>
      <c r="H2128" s="20"/>
      <c r="I2128" s="20"/>
      <c r="J2128" s="20"/>
      <c r="K2128" s="20"/>
      <c r="L2128" s="20"/>
      <c r="M2128" s="20"/>
      <c r="N2128" s="20"/>
      <c r="O2128" s="20"/>
      <c r="P2128" s="20"/>
      <c r="Q2128" s="20"/>
      <c r="R2128" s="20"/>
    </row>
    <row r="2129" spans="1:18" ht="10.5" customHeight="1" x14ac:dyDescent="0.3">
      <c r="A2129" s="209"/>
      <c r="B2129" s="49"/>
      <c r="C2129" s="49"/>
      <c r="D2129" s="50"/>
      <c r="E2129" s="446" t="s">
        <v>2473</v>
      </c>
      <c r="F2129" s="446"/>
      <c r="G2129" s="446"/>
      <c r="H2129" s="446"/>
      <c r="I2129" s="446"/>
      <c r="J2129" s="446" t="s">
        <v>78</v>
      </c>
      <c r="K2129" s="446" t="s">
        <v>2474</v>
      </c>
      <c r="L2129" s="446"/>
      <c r="M2129" s="446"/>
      <c r="N2129" s="447" t="s">
        <v>80</v>
      </c>
      <c r="O2129" s="14"/>
      <c r="P2129" s="15"/>
      <c r="Q2129" s="15" t="s">
        <v>2475</v>
      </c>
      <c r="R2129" s="15" t="s">
        <v>2476</v>
      </c>
    </row>
    <row r="2130" spans="1:18" ht="10.5" customHeight="1" x14ac:dyDescent="0.3">
      <c r="A2130" s="18"/>
      <c r="B2130" s="20"/>
      <c r="C2130" s="20"/>
      <c r="D2130" s="101"/>
      <c r="E2130" s="446"/>
      <c r="F2130" s="446"/>
      <c r="G2130" s="446"/>
      <c r="H2130" s="446"/>
      <c r="I2130" s="446"/>
      <c r="J2130" s="446"/>
      <c r="K2130" s="446"/>
      <c r="L2130" s="446"/>
      <c r="M2130" s="446"/>
      <c r="N2130" s="447"/>
      <c r="O2130" s="14"/>
      <c r="P2130" s="19"/>
      <c r="Q2130" s="15" t="s">
        <v>375</v>
      </c>
      <c r="R2130" s="15" t="s">
        <v>375</v>
      </c>
    </row>
    <row r="2131" spans="1:18" ht="10.5" customHeight="1" x14ac:dyDescent="0.3">
      <c r="A2131" s="18"/>
      <c r="B2131" s="20"/>
      <c r="C2131" s="20"/>
      <c r="D2131" s="101"/>
      <c r="E2131" s="392" t="s">
        <v>2477</v>
      </c>
      <c r="F2131" s="335"/>
      <c r="G2131" s="335"/>
      <c r="H2131" s="335"/>
      <c r="I2131" s="393"/>
      <c r="J2131" s="394" t="s">
        <v>2478</v>
      </c>
      <c r="K2131" s="497" t="s">
        <v>2479</v>
      </c>
      <c r="L2131" s="497"/>
      <c r="M2131" s="497"/>
      <c r="N2131" s="395" t="s">
        <v>20</v>
      </c>
      <c r="O2131" s="395"/>
      <c r="P2131" s="396">
        <v>10.244249999999999</v>
      </c>
      <c r="Q2131" s="113">
        <f>P2131*$F$10</f>
        <v>440.50274999999999</v>
      </c>
      <c r="R2131" s="396">
        <f>Q2131-Q2131*0.07</f>
        <v>409.66755749999999</v>
      </c>
    </row>
    <row r="2132" spans="1:18" ht="10.5" customHeight="1" x14ac:dyDescent="0.3">
      <c r="A2132" s="18"/>
      <c r="B2132" s="20"/>
      <c r="C2132" s="20"/>
      <c r="D2132" s="101"/>
      <c r="E2132" s="392" t="s">
        <v>2480</v>
      </c>
      <c r="F2132" s="335"/>
      <c r="G2132" s="335"/>
      <c r="H2132" s="335"/>
      <c r="I2132" s="393"/>
      <c r="J2132" s="394" t="s">
        <v>2481</v>
      </c>
      <c r="K2132" s="497" t="s">
        <v>2479</v>
      </c>
      <c r="L2132" s="497"/>
      <c r="M2132" s="497"/>
      <c r="N2132" s="395" t="s">
        <v>20</v>
      </c>
      <c r="O2132" s="395"/>
      <c r="P2132" s="396">
        <v>10.900395121951219</v>
      </c>
      <c r="Q2132" s="113">
        <f>P2132*$F$10</f>
        <v>468.71699024390239</v>
      </c>
      <c r="R2132" s="396">
        <f>Q2132-Q2132*0.07</f>
        <v>435.90680092682919</v>
      </c>
    </row>
    <row r="2133" spans="1:18" ht="10.5" customHeight="1" x14ac:dyDescent="0.3">
      <c r="A2133" s="55"/>
      <c r="B2133" s="83"/>
      <c r="C2133" s="83"/>
      <c r="D2133" s="116"/>
      <c r="E2133" s="397" t="s">
        <v>2482</v>
      </c>
      <c r="F2133" s="83"/>
      <c r="G2133" s="83"/>
      <c r="H2133" s="83"/>
      <c r="I2133" s="83"/>
      <c r="J2133" s="398" t="s">
        <v>2483</v>
      </c>
      <c r="K2133" s="491" t="s">
        <v>2479</v>
      </c>
      <c r="L2133" s="491"/>
      <c r="M2133" s="491"/>
      <c r="N2133" s="377" t="s">
        <v>20</v>
      </c>
      <c r="O2133" s="377"/>
      <c r="P2133" s="379">
        <v>9.0573299999999985</v>
      </c>
      <c r="Q2133" s="113">
        <f>P2133*$F$10</f>
        <v>389.46518999999995</v>
      </c>
      <c r="R2133" s="379">
        <f>Q2133-Q2133*0.07</f>
        <v>362.20262669999994</v>
      </c>
    </row>
    <row r="2134" spans="1:18" ht="10.5" customHeight="1" x14ac:dyDescent="0.3">
      <c r="A2134" s="20"/>
      <c r="B2134" s="20"/>
      <c r="C2134" s="20"/>
      <c r="D2134" s="20"/>
      <c r="E2134" s="20"/>
      <c r="F2134" s="20"/>
      <c r="G2134" s="20"/>
      <c r="H2134" s="20"/>
      <c r="I2134" s="20"/>
      <c r="J2134" s="20"/>
      <c r="K2134" s="20"/>
      <c r="L2134" s="20"/>
      <c r="M2134" s="20"/>
      <c r="N2134" s="20"/>
      <c r="O2134" s="20"/>
      <c r="P2134" s="20"/>
      <c r="Q2134" s="20"/>
      <c r="R2134" s="20"/>
    </row>
    <row r="2135" spans="1:18" ht="15" customHeight="1" x14ac:dyDescent="0.3">
      <c r="A2135" s="448" t="s">
        <v>2484</v>
      </c>
      <c r="B2135" s="448"/>
      <c r="C2135" s="448"/>
      <c r="D2135" s="448"/>
      <c r="E2135" s="448"/>
      <c r="F2135" s="448"/>
      <c r="G2135" s="448"/>
      <c r="H2135" s="448"/>
      <c r="I2135" s="448"/>
      <c r="J2135" s="448"/>
      <c r="K2135" s="448"/>
      <c r="L2135" s="448"/>
      <c r="M2135" s="448"/>
      <c r="N2135" s="448"/>
      <c r="O2135" s="448"/>
      <c r="P2135" s="448"/>
      <c r="Q2135" s="448"/>
      <c r="R2135" s="448"/>
    </row>
    <row r="2136" spans="1:18" ht="10.5" customHeight="1" x14ac:dyDescent="0.3">
      <c r="A2136" s="20"/>
      <c r="B2136" s="20"/>
      <c r="C2136" s="20"/>
      <c r="D2136" s="20"/>
      <c r="E2136" s="20"/>
      <c r="F2136" s="20"/>
      <c r="G2136" s="20"/>
      <c r="H2136" s="20"/>
      <c r="I2136" s="20"/>
      <c r="J2136" s="20"/>
      <c r="K2136" s="20"/>
      <c r="L2136" s="20"/>
      <c r="M2136" s="20"/>
      <c r="N2136" s="20"/>
      <c r="O2136" s="20"/>
      <c r="P2136" s="20"/>
      <c r="Q2136" s="20"/>
      <c r="R2136" s="20"/>
    </row>
    <row r="2137" spans="1:18" ht="10.5" customHeight="1" x14ac:dyDescent="0.3">
      <c r="A2137" s="183">
        <v>97001</v>
      </c>
      <c r="B2137" s="48" t="s">
        <v>2485</v>
      </c>
      <c r="C2137" s="49"/>
      <c r="D2137" s="49"/>
      <c r="E2137" s="49"/>
      <c r="F2137" s="49"/>
      <c r="G2137" s="49"/>
      <c r="H2137" s="49"/>
      <c r="I2137" s="49"/>
      <c r="J2137" s="446" t="s">
        <v>78</v>
      </c>
      <c r="K2137" s="446" t="s">
        <v>79</v>
      </c>
      <c r="L2137" s="446"/>
      <c r="M2137" s="446"/>
      <c r="N2137" s="447" t="s">
        <v>80</v>
      </c>
      <c r="O2137" s="14"/>
      <c r="P2137" s="15"/>
      <c r="Q2137" s="16" t="s">
        <v>81</v>
      </c>
      <c r="R2137" s="17" t="s">
        <v>82</v>
      </c>
    </row>
    <row r="2138" spans="1:18" ht="10.5" customHeight="1" x14ac:dyDescent="0.3">
      <c r="A2138" s="18"/>
      <c r="B2138" s="20"/>
      <c r="C2138" s="20"/>
      <c r="D2138" s="20"/>
      <c r="E2138" s="20"/>
      <c r="F2138" s="20"/>
      <c r="G2138" s="20"/>
      <c r="H2138" s="20"/>
      <c r="I2138" s="20"/>
      <c r="J2138" s="446"/>
      <c r="K2138" s="446"/>
      <c r="L2138" s="446"/>
      <c r="M2138" s="446"/>
      <c r="N2138" s="447"/>
      <c r="O2138" s="14"/>
      <c r="P2138" s="19"/>
      <c r="Q2138" s="15" t="s">
        <v>84</v>
      </c>
      <c r="R2138" s="15" t="s">
        <v>84</v>
      </c>
    </row>
    <row r="2139" spans="1:18" ht="10.5" customHeight="1" x14ac:dyDescent="0.3">
      <c r="A2139" s="18"/>
      <c r="B2139" s="20"/>
      <c r="C2139" s="20"/>
      <c r="D2139" s="20"/>
      <c r="E2139" s="20"/>
      <c r="F2139" s="20"/>
      <c r="G2139" s="20"/>
      <c r="H2139" s="20"/>
      <c r="I2139" s="20"/>
      <c r="J2139" s="21">
        <v>970010006</v>
      </c>
      <c r="K2139" s="399" t="s">
        <v>2486</v>
      </c>
      <c r="L2139" s="75">
        <v>50</v>
      </c>
      <c r="M2139" s="400" t="s">
        <v>874</v>
      </c>
      <c r="N2139" s="94">
        <v>10</v>
      </c>
      <c r="O2139" s="94"/>
      <c r="P2139" s="26">
        <v>40</v>
      </c>
      <c r="Q2139" s="111">
        <f t="shared" ref="Q2139:Q2147" si="275">P2139*$F$10</f>
        <v>1720</v>
      </c>
      <c r="R2139" s="28">
        <f t="shared" ref="R2139:R2147" si="276">Q2139-Q2139*0.2</f>
        <v>1376</v>
      </c>
    </row>
    <row r="2140" spans="1:18" ht="10.5" customHeight="1" x14ac:dyDescent="0.3">
      <c r="A2140" s="18"/>
      <c r="B2140" s="20"/>
      <c r="C2140" s="20"/>
      <c r="D2140" s="20"/>
      <c r="E2140" s="20"/>
      <c r="F2140" s="20"/>
      <c r="G2140" s="20"/>
      <c r="H2140" s="20"/>
      <c r="I2140" s="20"/>
      <c r="J2140" s="21">
        <v>970010007</v>
      </c>
      <c r="K2140" s="399" t="s">
        <v>2487</v>
      </c>
      <c r="L2140" s="23">
        <v>50</v>
      </c>
      <c r="M2140" s="401" t="s">
        <v>874</v>
      </c>
      <c r="N2140" s="94">
        <v>10</v>
      </c>
      <c r="O2140" s="94"/>
      <c r="P2140" s="26">
        <v>40</v>
      </c>
      <c r="Q2140" s="111">
        <f t="shared" si="275"/>
        <v>1720</v>
      </c>
      <c r="R2140" s="28">
        <f t="shared" si="276"/>
        <v>1376</v>
      </c>
    </row>
    <row r="2141" spans="1:18" ht="10.5" customHeight="1" x14ac:dyDescent="0.3">
      <c r="A2141" s="118" t="s">
        <v>2488</v>
      </c>
      <c r="B2141" s="20"/>
      <c r="C2141" s="20"/>
      <c r="D2141" s="20"/>
      <c r="E2141" s="20"/>
      <c r="F2141" s="20"/>
      <c r="G2141" s="20"/>
      <c r="H2141" s="20"/>
      <c r="I2141" s="20"/>
      <c r="J2141" s="21">
        <v>970010008</v>
      </c>
      <c r="K2141" s="399" t="s">
        <v>2489</v>
      </c>
      <c r="L2141" s="23">
        <v>50</v>
      </c>
      <c r="M2141" s="401" t="s">
        <v>874</v>
      </c>
      <c r="N2141" s="94">
        <v>10</v>
      </c>
      <c r="O2141" s="94"/>
      <c r="P2141" s="26">
        <v>40</v>
      </c>
      <c r="Q2141" s="111">
        <f t="shared" si="275"/>
        <v>1720</v>
      </c>
      <c r="R2141" s="28">
        <f t="shared" si="276"/>
        <v>1376</v>
      </c>
    </row>
    <row r="2142" spans="1:18" ht="10.5" customHeight="1" x14ac:dyDescent="0.3">
      <c r="A2142" s="446" t="s">
        <v>78</v>
      </c>
      <c r="B2142" s="446" t="s">
        <v>79</v>
      </c>
      <c r="C2142" s="446"/>
      <c r="D2142" s="446"/>
      <c r="E2142" s="447" t="s">
        <v>80</v>
      </c>
      <c r="F2142" s="15"/>
      <c r="G2142" s="16" t="s">
        <v>81</v>
      </c>
      <c r="H2142" s="17" t="s">
        <v>82</v>
      </c>
      <c r="I2142" s="20"/>
      <c r="J2142" s="21">
        <v>970010009</v>
      </c>
      <c r="K2142" s="399" t="s">
        <v>2486</v>
      </c>
      <c r="L2142" s="23">
        <v>75</v>
      </c>
      <c r="M2142" s="401" t="s">
        <v>874</v>
      </c>
      <c r="N2142" s="94">
        <v>5</v>
      </c>
      <c r="O2142" s="94"/>
      <c r="P2142" s="26">
        <v>63.4</v>
      </c>
      <c r="Q2142" s="111">
        <f t="shared" si="275"/>
        <v>2726.2</v>
      </c>
      <c r="R2142" s="28">
        <f t="shared" si="276"/>
        <v>2180.96</v>
      </c>
    </row>
    <row r="2143" spans="1:18" ht="10.5" customHeight="1" x14ac:dyDescent="0.3">
      <c r="A2143" s="446"/>
      <c r="B2143" s="446"/>
      <c r="C2143" s="446"/>
      <c r="D2143" s="446"/>
      <c r="E2143" s="447"/>
      <c r="F2143" s="19"/>
      <c r="G2143" s="15" t="s">
        <v>84</v>
      </c>
      <c r="H2143" s="15" t="s">
        <v>84</v>
      </c>
      <c r="I2143" s="20"/>
      <c r="J2143" s="21">
        <v>970010010</v>
      </c>
      <c r="K2143" s="399" t="s">
        <v>2487</v>
      </c>
      <c r="L2143" s="23">
        <v>75</v>
      </c>
      <c r="M2143" s="401" t="s">
        <v>874</v>
      </c>
      <c r="N2143" s="94">
        <v>5</v>
      </c>
      <c r="O2143" s="94"/>
      <c r="P2143" s="26">
        <v>63.4</v>
      </c>
      <c r="Q2143" s="111">
        <f t="shared" si="275"/>
        <v>2726.2</v>
      </c>
      <c r="R2143" s="28">
        <f t="shared" si="276"/>
        <v>2180.96</v>
      </c>
    </row>
    <row r="2144" spans="1:18" ht="10.5" customHeight="1" x14ac:dyDescent="0.3">
      <c r="A2144" s="29">
        <v>970010001</v>
      </c>
      <c r="B2144" s="402" t="s">
        <v>2490</v>
      </c>
      <c r="C2144" s="41">
        <v>25</v>
      </c>
      <c r="D2144" s="403" t="s">
        <v>874</v>
      </c>
      <c r="E2144" s="106">
        <v>10</v>
      </c>
      <c r="F2144" s="155">
        <v>20</v>
      </c>
      <c r="G2144" s="113">
        <f>F2144*$F$10</f>
        <v>860</v>
      </c>
      <c r="H2144" s="72">
        <f>G2144-G2144*0.2</f>
        <v>688</v>
      </c>
      <c r="I2144" s="20"/>
      <c r="J2144" s="21">
        <v>970010011</v>
      </c>
      <c r="K2144" s="399" t="s">
        <v>2486</v>
      </c>
      <c r="L2144" s="404" t="s">
        <v>2491</v>
      </c>
      <c r="M2144" s="248"/>
      <c r="N2144" s="94">
        <v>5</v>
      </c>
      <c r="O2144" s="94"/>
      <c r="P2144" s="26">
        <v>79.099999999999994</v>
      </c>
      <c r="Q2144" s="111">
        <f t="shared" si="275"/>
        <v>3401.2999999999997</v>
      </c>
      <c r="R2144" s="28">
        <f t="shared" si="276"/>
        <v>2721.04</v>
      </c>
    </row>
    <row r="2145" spans="1:18" ht="10.5" customHeight="1" x14ac:dyDescent="0.3">
      <c r="A2145" s="21">
        <v>970010002</v>
      </c>
      <c r="B2145" s="399" t="s">
        <v>2486</v>
      </c>
      <c r="C2145" s="23">
        <v>25</v>
      </c>
      <c r="D2145" s="401" t="s">
        <v>874</v>
      </c>
      <c r="E2145" s="211">
        <v>10</v>
      </c>
      <c r="F2145" s="26">
        <v>20</v>
      </c>
      <c r="G2145" s="111">
        <f>F2145*$F$10</f>
        <v>860</v>
      </c>
      <c r="H2145" s="28">
        <f>G2145-G2145*0.2</f>
        <v>688</v>
      </c>
      <c r="I2145" s="20"/>
      <c r="J2145" s="21">
        <v>970010012</v>
      </c>
      <c r="K2145" s="399" t="s">
        <v>2487</v>
      </c>
      <c r="L2145" s="404" t="s">
        <v>2491</v>
      </c>
      <c r="M2145" s="248"/>
      <c r="N2145" s="94">
        <v>5</v>
      </c>
      <c r="O2145" s="94"/>
      <c r="P2145" s="26">
        <v>79.099999999999994</v>
      </c>
      <c r="Q2145" s="111">
        <f t="shared" si="275"/>
        <v>3401.2999999999997</v>
      </c>
      <c r="R2145" s="28">
        <f t="shared" si="276"/>
        <v>2721.04</v>
      </c>
    </row>
    <row r="2146" spans="1:18" ht="10.5" customHeight="1" x14ac:dyDescent="0.3">
      <c r="A2146" s="21">
        <v>970010003</v>
      </c>
      <c r="B2146" s="399" t="s">
        <v>2487</v>
      </c>
      <c r="C2146" s="23">
        <v>25</v>
      </c>
      <c r="D2146" s="401" t="s">
        <v>874</v>
      </c>
      <c r="E2146" s="94">
        <v>10</v>
      </c>
      <c r="F2146" s="155">
        <v>20</v>
      </c>
      <c r="G2146" s="111">
        <f>F2146*$F$10</f>
        <v>860</v>
      </c>
      <c r="H2146" s="28">
        <f>G2146-G2146*0.2</f>
        <v>688</v>
      </c>
      <c r="I2146" s="20"/>
      <c r="J2146" s="21">
        <v>970010013</v>
      </c>
      <c r="K2146" s="399" t="s">
        <v>2489</v>
      </c>
      <c r="L2146" s="404" t="s">
        <v>2491</v>
      </c>
      <c r="M2146" s="248"/>
      <c r="N2146" s="94">
        <v>5</v>
      </c>
      <c r="O2146" s="94"/>
      <c r="P2146" s="26">
        <v>79.099999999999994</v>
      </c>
      <c r="Q2146" s="111">
        <f t="shared" si="275"/>
        <v>3401.2999999999997</v>
      </c>
      <c r="R2146" s="28">
        <f t="shared" si="276"/>
        <v>2721.04</v>
      </c>
    </row>
    <row r="2147" spans="1:18" ht="10.5" customHeight="1" x14ac:dyDescent="0.3">
      <c r="A2147" s="21">
        <v>970010004</v>
      </c>
      <c r="B2147" s="399" t="s">
        <v>2489</v>
      </c>
      <c r="C2147" s="23">
        <v>25</v>
      </c>
      <c r="D2147" s="401" t="s">
        <v>874</v>
      </c>
      <c r="E2147" s="94">
        <v>10</v>
      </c>
      <c r="F2147" s="26">
        <v>20</v>
      </c>
      <c r="G2147" s="111">
        <f>F2147*$F$10</f>
        <v>860</v>
      </c>
      <c r="H2147" s="28">
        <f>G2147-G2147*0.2</f>
        <v>688</v>
      </c>
      <c r="I2147" s="20"/>
      <c r="J2147" s="21">
        <v>970010014</v>
      </c>
      <c r="K2147" s="399" t="s">
        <v>2486</v>
      </c>
      <c r="L2147" s="404" t="s">
        <v>2492</v>
      </c>
      <c r="M2147" s="248"/>
      <c r="N2147" s="94">
        <v>5</v>
      </c>
      <c r="O2147" s="94"/>
      <c r="P2147" s="26">
        <v>136.44999999999999</v>
      </c>
      <c r="Q2147" s="111">
        <f t="shared" si="275"/>
        <v>5867.3499999999995</v>
      </c>
      <c r="R2147" s="28">
        <f t="shared" si="276"/>
        <v>4693.8799999999992</v>
      </c>
    </row>
    <row r="2148" spans="1:18" ht="10.5" customHeight="1" x14ac:dyDescent="0.3">
      <c r="A2148" s="21">
        <v>970010005</v>
      </c>
      <c r="B2148" s="399" t="s">
        <v>2490</v>
      </c>
      <c r="C2148" s="75">
        <v>50</v>
      </c>
      <c r="D2148" s="400" t="s">
        <v>874</v>
      </c>
      <c r="E2148" s="94">
        <v>10</v>
      </c>
      <c r="F2148" s="26">
        <v>40</v>
      </c>
      <c r="G2148" s="111">
        <f>F2148*$F$10</f>
        <v>1720</v>
      </c>
      <c r="H2148" s="28">
        <f>G2148-G2148*0.2</f>
        <v>1376</v>
      </c>
      <c r="I2148" s="83"/>
      <c r="J2148" s="83"/>
      <c r="K2148" s="83"/>
      <c r="L2148" s="83"/>
      <c r="M2148" s="83"/>
      <c r="N2148" s="83"/>
      <c r="O2148" s="83"/>
      <c r="P2148" s="83"/>
      <c r="Q2148" s="83"/>
      <c r="R2148" s="116"/>
    </row>
    <row r="2149" spans="1:18" ht="10.5" customHeight="1" x14ac:dyDescent="0.3">
      <c r="A2149" s="39"/>
      <c r="B2149" s="158"/>
      <c r="C2149" s="41"/>
      <c r="D2149" s="156"/>
      <c r="E2149" s="97"/>
      <c r="F2149" s="44"/>
      <c r="G2149" s="46"/>
      <c r="H2149" s="46"/>
      <c r="I2149" s="20"/>
      <c r="J2149" s="20"/>
      <c r="K2149" s="20"/>
      <c r="L2149" s="20"/>
      <c r="M2149" s="20"/>
      <c r="N2149" s="20"/>
      <c r="O2149" s="20"/>
      <c r="P2149" s="20"/>
      <c r="Q2149" s="20"/>
      <c r="R2149" s="20"/>
    </row>
    <row r="2150" spans="1:18" ht="10.5" customHeight="1" x14ac:dyDescent="0.3">
      <c r="A2150" s="183">
        <v>97002</v>
      </c>
      <c r="B2150" s="49"/>
      <c r="C2150" s="49"/>
      <c r="D2150" s="49"/>
      <c r="E2150" s="49"/>
      <c r="F2150" s="49"/>
      <c r="G2150" s="49"/>
      <c r="H2150" s="49"/>
      <c r="I2150" s="49"/>
      <c r="J2150" s="446" t="s">
        <v>78</v>
      </c>
      <c r="K2150" s="446" t="s">
        <v>79</v>
      </c>
      <c r="L2150" s="446"/>
      <c r="M2150" s="446"/>
      <c r="N2150" s="447" t="s">
        <v>80</v>
      </c>
      <c r="O2150" s="14"/>
      <c r="P2150" s="15"/>
      <c r="Q2150" s="16" t="s">
        <v>81</v>
      </c>
      <c r="R2150" s="17" t="s">
        <v>82</v>
      </c>
    </row>
    <row r="2151" spans="1:18" ht="10.5" customHeight="1" x14ac:dyDescent="0.3">
      <c r="A2151" s="99" t="s">
        <v>2493</v>
      </c>
      <c r="B2151" s="20"/>
      <c r="C2151" s="20"/>
      <c r="D2151" s="20"/>
      <c r="E2151" s="20"/>
      <c r="F2151" s="20"/>
      <c r="G2151" s="20"/>
      <c r="H2151" s="20"/>
      <c r="I2151" s="20"/>
      <c r="J2151" s="446"/>
      <c r="K2151" s="446"/>
      <c r="L2151" s="446"/>
      <c r="M2151" s="446"/>
      <c r="N2151" s="447"/>
      <c r="O2151" s="14"/>
      <c r="P2151" s="19"/>
      <c r="Q2151" s="104" t="s">
        <v>84</v>
      </c>
      <c r="R2151" s="15" t="s">
        <v>84</v>
      </c>
    </row>
    <row r="2152" spans="1:18" ht="10.5" customHeight="1" x14ac:dyDescent="0.3">
      <c r="A2152" s="18"/>
      <c r="B2152" s="20"/>
      <c r="C2152" s="20"/>
      <c r="D2152" s="20"/>
      <c r="E2152" s="20"/>
      <c r="F2152" s="20"/>
      <c r="G2152" s="20"/>
      <c r="H2152" s="20"/>
      <c r="I2152" s="20"/>
      <c r="J2152" s="21">
        <v>97002006</v>
      </c>
      <c r="K2152" s="399" t="s">
        <v>2486</v>
      </c>
      <c r="L2152" s="499" t="s">
        <v>2494</v>
      </c>
      <c r="M2152" s="499"/>
      <c r="N2152" s="94">
        <v>10</v>
      </c>
      <c r="O2152" s="94"/>
      <c r="P2152" s="26">
        <v>40</v>
      </c>
      <c r="Q2152" s="28">
        <f t="shared" ref="Q2152:Q2160" si="277">P2152*$F$10</f>
        <v>1720</v>
      </c>
      <c r="R2152" s="28">
        <f t="shared" ref="R2152:R2160" si="278">Q2152-Q2152*0.2</f>
        <v>1376</v>
      </c>
    </row>
    <row r="2153" spans="1:18" ht="10.5" customHeight="1" x14ac:dyDescent="0.3">
      <c r="A2153" s="18"/>
      <c r="B2153" s="20"/>
      <c r="C2153" s="20"/>
      <c r="D2153" s="20"/>
      <c r="E2153" s="20"/>
      <c r="F2153" s="20"/>
      <c r="G2153" s="20"/>
      <c r="H2153" s="20"/>
      <c r="I2153" s="20"/>
      <c r="J2153" s="21">
        <v>97002007</v>
      </c>
      <c r="K2153" s="399" t="s">
        <v>2487</v>
      </c>
      <c r="L2153" s="499" t="s">
        <v>2494</v>
      </c>
      <c r="M2153" s="499"/>
      <c r="N2153" s="94">
        <v>10</v>
      </c>
      <c r="O2153" s="94"/>
      <c r="P2153" s="26">
        <v>40</v>
      </c>
      <c r="Q2153" s="28">
        <f t="shared" si="277"/>
        <v>1720</v>
      </c>
      <c r="R2153" s="28">
        <f t="shared" si="278"/>
        <v>1376</v>
      </c>
    </row>
    <row r="2154" spans="1:18" ht="10.5" customHeight="1" x14ac:dyDescent="0.3">
      <c r="A2154" s="118" t="s">
        <v>2488</v>
      </c>
      <c r="B2154" s="20"/>
      <c r="C2154" s="20"/>
      <c r="D2154" s="20"/>
      <c r="E2154" s="20"/>
      <c r="F2154" s="20"/>
      <c r="G2154" s="20"/>
      <c r="H2154" s="20"/>
      <c r="I2154" s="20"/>
      <c r="J2154" s="21">
        <v>97002008</v>
      </c>
      <c r="K2154" s="399" t="s">
        <v>2489</v>
      </c>
      <c r="L2154" s="499" t="s">
        <v>2494</v>
      </c>
      <c r="M2154" s="499"/>
      <c r="N2154" s="94">
        <v>10</v>
      </c>
      <c r="O2154" s="94"/>
      <c r="P2154" s="26">
        <v>40</v>
      </c>
      <c r="Q2154" s="28">
        <f t="shared" si="277"/>
        <v>1720</v>
      </c>
      <c r="R2154" s="28">
        <f t="shared" si="278"/>
        <v>1376</v>
      </c>
    </row>
    <row r="2155" spans="1:18" ht="10.5" customHeight="1" x14ac:dyDescent="0.3">
      <c r="A2155" s="446" t="s">
        <v>78</v>
      </c>
      <c r="B2155" s="446" t="s">
        <v>79</v>
      </c>
      <c r="C2155" s="446"/>
      <c r="D2155" s="446"/>
      <c r="E2155" s="447" t="s">
        <v>80</v>
      </c>
      <c r="F2155" s="15"/>
      <c r="G2155" s="16" t="s">
        <v>81</v>
      </c>
      <c r="H2155" s="17" t="s">
        <v>82</v>
      </c>
      <c r="I2155" s="20"/>
      <c r="J2155" s="430">
        <v>97002009</v>
      </c>
      <c r="K2155" s="399" t="s">
        <v>2486</v>
      </c>
      <c r="L2155" s="499" t="s">
        <v>2495</v>
      </c>
      <c r="M2155" s="499"/>
      <c r="N2155" s="94">
        <v>5</v>
      </c>
      <c r="O2155" s="94"/>
      <c r="P2155" s="26">
        <v>63.4</v>
      </c>
      <c r="Q2155" s="28">
        <f t="shared" si="277"/>
        <v>2726.2</v>
      </c>
      <c r="R2155" s="28">
        <f t="shared" si="278"/>
        <v>2180.96</v>
      </c>
    </row>
    <row r="2156" spans="1:18" ht="10.5" customHeight="1" x14ac:dyDescent="0.3">
      <c r="A2156" s="446"/>
      <c r="B2156" s="446"/>
      <c r="C2156" s="446"/>
      <c r="D2156" s="446"/>
      <c r="E2156" s="447"/>
      <c r="F2156" s="19"/>
      <c r="G2156" s="15" t="s">
        <v>84</v>
      </c>
      <c r="H2156" s="15" t="s">
        <v>84</v>
      </c>
      <c r="I2156" s="20"/>
      <c r="J2156" s="430">
        <v>97002010</v>
      </c>
      <c r="K2156" s="399" t="s">
        <v>2487</v>
      </c>
      <c r="L2156" s="499" t="s">
        <v>2495</v>
      </c>
      <c r="M2156" s="499"/>
      <c r="N2156" s="94">
        <v>5</v>
      </c>
      <c r="O2156" s="94"/>
      <c r="P2156" s="26">
        <v>63.4</v>
      </c>
      <c r="Q2156" s="28">
        <f t="shared" si="277"/>
        <v>2726.2</v>
      </c>
      <c r="R2156" s="28">
        <f t="shared" si="278"/>
        <v>2180.96</v>
      </c>
    </row>
    <row r="2157" spans="1:18" ht="10.5" customHeight="1" x14ac:dyDescent="0.3">
      <c r="A2157" s="30">
        <v>97002001</v>
      </c>
      <c r="B2157" s="405" t="s">
        <v>2490</v>
      </c>
      <c r="C2157" s="500" t="s">
        <v>2496</v>
      </c>
      <c r="D2157" s="500"/>
      <c r="E2157" s="87">
        <v>10</v>
      </c>
      <c r="F2157" s="78">
        <v>20</v>
      </c>
      <c r="G2157" s="28">
        <f>F2157*$F$10</f>
        <v>860</v>
      </c>
      <c r="H2157" s="72">
        <f>G2157-G2157*0.2</f>
        <v>688</v>
      </c>
      <c r="I2157" s="20"/>
      <c r="J2157" s="430">
        <v>97002011</v>
      </c>
      <c r="K2157" s="399" t="s">
        <v>2486</v>
      </c>
      <c r="L2157" s="498" t="s">
        <v>2491</v>
      </c>
      <c r="M2157" s="498"/>
      <c r="N2157" s="94">
        <v>5</v>
      </c>
      <c r="O2157" s="94"/>
      <c r="P2157" s="26">
        <v>79.099999999999994</v>
      </c>
      <c r="Q2157" s="28">
        <f t="shared" si="277"/>
        <v>3401.2999999999997</v>
      </c>
      <c r="R2157" s="28">
        <f t="shared" si="278"/>
        <v>2721.04</v>
      </c>
    </row>
    <row r="2158" spans="1:18" ht="10.5" customHeight="1" x14ac:dyDescent="0.3">
      <c r="A2158" s="21">
        <v>97002002</v>
      </c>
      <c r="B2158" s="399" t="s">
        <v>2486</v>
      </c>
      <c r="C2158" s="498" t="s">
        <v>2496</v>
      </c>
      <c r="D2158" s="498"/>
      <c r="E2158" s="94">
        <v>10</v>
      </c>
      <c r="F2158" s="26">
        <v>20</v>
      </c>
      <c r="G2158" s="28">
        <f>F2158*$F$10</f>
        <v>860</v>
      </c>
      <c r="H2158" s="28">
        <f>G2158-G2158*0.2</f>
        <v>688</v>
      </c>
      <c r="I2158" s="20"/>
      <c r="J2158" s="430">
        <v>97002012</v>
      </c>
      <c r="K2158" s="399" t="s">
        <v>2487</v>
      </c>
      <c r="L2158" s="498" t="s">
        <v>2491</v>
      </c>
      <c r="M2158" s="498"/>
      <c r="N2158" s="94">
        <v>5</v>
      </c>
      <c r="O2158" s="94"/>
      <c r="P2158" s="26">
        <v>79.099999999999994</v>
      </c>
      <c r="Q2158" s="28">
        <f t="shared" si="277"/>
        <v>3401.2999999999997</v>
      </c>
      <c r="R2158" s="28">
        <f t="shared" si="278"/>
        <v>2721.04</v>
      </c>
    </row>
    <row r="2159" spans="1:18" ht="10.5" customHeight="1" x14ac:dyDescent="0.3">
      <c r="A2159" s="21">
        <v>97002003</v>
      </c>
      <c r="B2159" s="399" t="s">
        <v>2487</v>
      </c>
      <c r="C2159" s="498" t="s">
        <v>2496</v>
      </c>
      <c r="D2159" s="498"/>
      <c r="E2159" s="94">
        <v>10</v>
      </c>
      <c r="F2159" s="26">
        <v>20</v>
      </c>
      <c r="G2159" s="28">
        <f>F2159*$F$10</f>
        <v>860</v>
      </c>
      <c r="H2159" s="28">
        <f>G2159-G2159*0.2</f>
        <v>688</v>
      </c>
      <c r="I2159" s="20"/>
      <c r="J2159" s="430">
        <v>97002013</v>
      </c>
      <c r="K2159" s="399" t="s">
        <v>2486</v>
      </c>
      <c r="L2159" s="498" t="s">
        <v>2492</v>
      </c>
      <c r="M2159" s="498"/>
      <c r="N2159" s="94">
        <v>5</v>
      </c>
      <c r="O2159" s="94"/>
      <c r="P2159" s="26">
        <v>136.44999999999999</v>
      </c>
      <c r="Q2159" s="28">
        <f t="shared" si="277"/>
        <v>5867.3499999999995</v>
      </c>
      <c r="R2159" s="28">
        <f t="shared" si="278"/>
        <v>4693.8799999999992</v>
      </c>
    </row>
    <row r="2160" spans="1:18" ht="10.5" customHeight="1" x14ac:dyDescent="0.3">
      <c r="A2160" s="21">
        <v>97002004</v>
      </c>
      <c r="B2160" s="399" t="s">
        <v>2489</v>
      </c>
      <c r="C2160" s="499" t="s">
        <v>2496</v>
      </c>
      <c r="D2160" s="499"/>
      <c r="E2160" s="94">
        <v>10</v>
      </c>
      <c r="F2160" s="26">
        <v>20</v>
      </c>
      <c r="G2160" s="28">
        <f>F2160*$F$10</f>
        <v>860</v>
      </c>
      <c r="H2160" s="28">
        <f>G2160-G2160*0.2</f>
        <v>688</v>
      </c>
      <c r="I2160" s="20"/>
      <c r="J2160" s="430">
        <v>97002014</v>
      </c>
      <c r="K2160" s="399" t="s">
        <v>2487</v>
      </c>
      <c r="L2160" s="498" t="s">
        <v>2492</v>
      </c>
      <c r="M2160" s="498"/>
      <c r="N2160" s="94">
        <v>5</v>
      </c>
      <c r="O2160" s="94"/>
      <c r="P2160" s="26">
        <v>136.44999999999999</v>
      </c>
      <c r="Q2160" s="28">
        <f t="shared" si="277"/>
        <v>5867.3499999999995</v>
      </c>
      <c r="R2160" s="28">
        <f t="shared" si="278"/>
        <v>4693.8799999999992</v>
      </c>
    </row>
    <row r="2161" spans="1:18" ht="10.5" customHeight="1" x14ac:dyDescent="0.3">
      <c r="A2161" s="21">
        <v>97002005</v>
      </c>
      <c r="B2161" s="399" t="s">
        <v>2490</v>
      </c>
      <c r="C2161" s="499" t="s">
        <v>2494</v>
      </c>
      <c r="D2161" s="499"/>
      <c r="E2161" s="94">
        <v>10</v>
      </c>
      <c r="F2161" s="26">
        <v>40</v>
      </c>
      <c r="G2161" s="28">
        <f>F2161*$F$10</f>
        <v>1720</v>
      </c>
      <c r="H2161" s="28">
        <f>G2161-G2161*0.2</f>
        <v>1376</v>
      </c>
      <c r="I2161" s="83"/>
      <c r="J2161" s="83"/>
      <c r="K2161" s="83"/>
      <c r="L2161" s="83"/>
      <c r="M2161" s="83"/>
      <c r="N2161" s="83"/>
      <c r="O2161" s="83"/>
      <c r="P2161" s="83"/>
      <c r="Q2161" s="83"/>
      <c r="R2161" s="116"/>
    </row>
    <row r="2162" spans="1:18" ht="10.5" customHeight="1" x14ac:dyDescent="0.3">
      <c r="A2162" s="20"/>
      <c r="B2162" s="20"/>
      <c r="C2162" s="20"/>
      <c r="D2162" s="20"/>
      <c r="E2162" s="20"/>
      <c r="F2162" s="20"/>
      <c r="G2162" s="20"/>
      <c r="H2162" s="20"/>
      <c r="I2162" s="20"/>
      <c r="J2162" s="20"/>
      <c r="K2162" s="20"/>
      <c r="L2162" s="20"/>
      <c r="M2162" s="20"/>
      <c r="N2162" s="20"/>
      <c r="O2162" s="20"/>
      <c r="P2162" s="20"/>
      <c r="Q2162" s="20"/>
      <c r="R2162" s="20"/>
    </row>
    <row r="2163" spans="1:18" ht="10.5" customHeight="1" x14ac:dyDescent="0.3">
      <c r="A2163" s="183">
        <v>97004</v>
      </c>
      <c r="B2163" s="48" t="s">
        <v>2497</v>
      </c>
      <c r="C2163" s="49"/>
      <c r="D2163" s="49"/>
      <c r="E2163" s="49"/>
      <c r="F2163" s="49"/>
      <c r="G2163" s="49"/>
      <c r="H2163" s="50"/>
      <c r="I2163" s="49"/>
      <c r="J2163" s="183">
        <v>97005</v>
      </c>
      <c r="K2163" s="48" t="s">
        <v>2498</v>
      </c>
      <c r="L2163" s="49"/>
      <c r="M2163" s="49"/>
      <c r="N2163" s="49"/>
      <c r="O2163" s="49"/>
      <c r="P2163" s="49"/>
      <c r="Q2163" s="49"/>
      <c r="R2163" s="50"/>
    </row>
    <row r="2164" spans="1:18" ht="10.5" customHeight="1" x14ac:dyDescent="0.3">
      <c r="A2164" s="18"/>
      <c r="B2164" s="20"/>
      <c r="C2164" s="20"/>
      <c r="D2164" s="20"/>
      <c r="E2164" s="20"/>
      <c r="F2164" s="20"/>
      <c r="G2164" s="20"/>
      <c r="H2164" s="101"/>
      <c r="I2164" s="20"/>
      <c r="J2164" s="18"/>
      <c r="K2164" s="20"/>
      <c r="L2164" s="20"/>
      <c r="M2164" s="20"/>
      <c r="N2164" s="20"/>
      <c r="O2164" s="20"/>
      <c r="P2164" s="20"/>
      <c r="Q2164" s="20"/>
      <c r="R2164" s="101"/>
    </row>
    <row r="2165" spans="1:18" ht="10.5" customHeight="1" x14ac:dyDescent="0.3">
      <c r="A2165" s="18"/>
      <c r="B2165" s="20"/>
      <c r="C2165" s="20"/>
      <c r="D2165" s="20"/>
      <c r="E2165" s="20"/>
      <c r="F2165" s="20"/>
      <c r="G2165" s="20"/>
      <c r="H2165" s="101"/>
      <c r="I2165" s="20"/>
      <c r="J2165" s="18"/>
      <c r="K2165" s="20"/>
      <c r="L2165" s="20"/>
      <c r="M2165" s="20"/>
      <c r="N2165" s="20"/>
      <c r="O2165" s="20"/>
      <c r="P2165" s="20"/>
      <c r="Q2165" s="20"/>
      <c r="R2165" s="101"/>
    </row>
    <row r="2166" spans="1:18" ht="10.5" customHeight="1" x14ac:dyDescent="0.3">
      <c r="A2166" s="18"/>
      <c r="B2166" s="20"/>
      <c r="C2166" s="20"/>
      <c r="D2166" s="20"/>
      <c r="E2166" s="20"/>
      <c r="F2166" s="20"/>
      <c r="G2166" s="20"/>
      <c r="H2166" s="101"/>
      <c r="I2166" s="20"/>
      <c r="J2166" s="178"/>
      <c r="K2166" s="20"/>
      <c r="L2166" s="20"/>
      <c r="M2166" s="20"/>
      <c r="N2166" s="20"/>
      <c r="O2166" s="20"/>
      <c r="P2166" s="20"/>
      <c r="Q2166" s="20"/>
      <c r="R2166" s="101"/>
    </row>
    <row r="2167" spans="1:18" ht="10.5" customHeight="1" x14ac:dyDescent="0.3">
      <c r="A2167" s="118" t="s">
        <v>2499</v>
      </c>
      <c r="B2167" s="20"/>
      <c r="C2167" s="20"/>
      <c r="D2167" s="20"/>
      <c r="E2167" s="20"/>
      <c r="F2167" s="20"/>
      <c r="G2167" s="20"/>
      <c r="H2167" s="101"/>
      <c r="I2167" s="20"/>
      <c r="J2167" s="139" t="s">
        <v>2499</v>
      </c>
      <c r="K2167" s="83"/>
      <c r="L2167" s="83"/>
      <c r="M2167" s="83"/>
      <c r="N2167" s="83"/>
      <c r="O2167" s="83"/>
      <c r="P2167" s="83"/>
      <c r="Q2167" s="83"/>
      <c r="R2167" s="101"/>
    </row>
    <row r="2168" spans="1:18" ht="10.5" customHeight="1" x14ac:dyDescent="0.3">
      <c r="A2168" s="446" t="s">
        <v>78</v>
      </c>
      <c r="B2168" s="446" t="s">
        <v>79</v>
      </c>
      <c r="C2168" s="446"/>
      <c r="D2168" s="446"/>
      <c r="E2168" s="447" t="s">
        <v>80</v>
      </c>
      <c r="F2168" s="15"/>
      <c r="G2168" s="16" t="s">
        <v>81</v>
      </c>
      <c r="H2168" s="17" t="s">
        <v>82</v>
      </c>
      <c r="I2168" s="20"/>
      <c r="J2168" s="446" t="s">
        <v>78</v>
      </c>
      <c r="K2168" s="446" t="s">
        <v>79</v>
      </c>
      <c r="L2168" s="446"/>
      <c r="M2168" s="446"/>
      <c r="N2168" s="447" t="s">
        <v>80</v>
      </c>
      <c r="O2168" s="14"/>
      <c r="P2168" s="15"/>
      <c r="Q2168" s="16" t="s">
        <v>81</v>
      </c>
      <c r="R2168" s="17" t="s">
        <v>82</v>
      </c>
    </row>
    <row r="2169" spans="1:18" ht="10.5" customHeight="1" x14ac:dyDescent="0.3">
      <c r="A2169" s="446"/>
      <c r="B2169" s="446"/>
      <c r="C2169" s="446"/>
      <c r="D2169" s="446"/>
      <c r="E2169" s="447"/>
      <c r="F2169" s="19"/>
      <c r="G2169" s="15" t="s">
        <v>84</v>
      </c>
      <c r="H2169" s="15" t="s">
        <v>84</v>
      </c>
      <c r="I2169" s="20"/>
      <c r="J2169" s="446"/>
      <c r="K2169" s="446"/>
      <c r="L2169" s="446"/>
      <c r="M2169" s="446"/>
      <c r="N2169" s="447"/>
      <c r="O2169" s="14"/>
      <c r="P2169" s="19"/>
      <c r="Q2169" s="15" t="s">
        <v>84</v>
      </c>
      <c r="R2169" s="15" t="s">
        <v>84</v>
      </c>
    </row>
    <row r="2170" spans="1:18" ht="10.5" customHeight="1" x14ac:dyDescent="0.3">
      <c r="A2170" s="30">
        <f>97004001</f>
        <v>97004001</v>
      </c>
      <c r="B2170" s="405" t="s">
        <v>2500</v>
      </c>
      <c r="C2170" s="75">
        <v>25</v>
      </c>
      <c r="D2170" s="400" t="s">
        <v>874</v>
      </c>
      <c r="E2170" s="87">
        <v>10</v>
      </c>
      <c r="F2170" s="78">
        <v>21.3</v>
      </c>
      <c r="G2170" s="72">
        <f t="shared" ref="G2170:G2176" si="279">F2170*$F$10</f>
        <v>915.9</v>
      </c>
      <c r="H2170" s="72">
        <f t="shared" ref="H2170:H2176" si="280">G2170-G2170*0.2</f>
        <v>732.72</v>
      </c>
      <c r="I2170" s="20"/>
      <c r="J2170" s="406">
        <v>970050001</v>
      </c>
      <c r="K2170" s="160" t="s">
        <v>2501</v>
      </c>
      <c r="L2170" s="75">
        <v>25</v>
      </c>
      <c r="M2170" s="400" t="s">
        <v>874</v>
      </c>
      <c r="N2170" s="87">
        <v>10</v>
      </c>
      <c r="O2170" s="87"/>
      <c r="P2170" s="78">
        <v>21.3</v>
      </c>
      <c r="Q2170" s="113">
        <f t="shared" ref="Q2170:Q2177" si="281">P2170*$F$10</f>
        <v>915.9</v>
      </c>
      <c r="R2170" s="72">
        <f t="shared" ref="R2170:R2177" si="282">Q2170-Q2170*0.2</f>
        <v>732.72</v>
      </c>
    </row>
    <row r="2171" spans="1:18" ht="10.5" customHeight="1" x14ac:dyDescent="0.3">
      <c r="A2171" s="62">
        <v>97004002</v>
      </c>
      <c r="B2171" s="287" t="s">
        <v>2502</v>
      </c>
      <c r="C2171" s="335">
        <v>25</v>
      </c>
      <c r="D2171" s="393" t="s">
        <v>874</v>
      </c>
      <c r="E2171" s="66">
        <v>10</v>
      </c>
      <c r="F2171" s="67">
        <v>21.3</v>
      </c>
      <c r="G2171" s="28">
        <f t="shared" si="279"/>
        <v>915.9</v>
      </c>
      <c r="H2171" s="28">
        <f t="shared" si="280"/>
        <v>732.72</v>
      </c>
      <c r="I2171" s="20"/>
      <c r="J2171" s="257">
        <v>970050002</v>
      </c>
      <c r="K2171" s="399" t="s">
        <v>2501</v>
      </c>
      <c r="L2171" s="23">
        <v>50</v>
      </c>
      <c r="M2171" s="401" t="s">
        <v>874</v>
      </c>
      <c r="N2171" s="94">
        <v>10</v>
      </c>
      <c r="O2171" s="94"/>
      <c r="P2171" s="26">
        <v>42.3</v>
      </c>
      <c r="Q2171" s="113">
        <f t="shared" si="281"/>
        <v>1818.8999999999999</v>
      </c>
      <c r="R2171" s="28">
        <f t="shared" si="282"/>
        <v>1455.12</v>
      </c>
    </row>
    <row r="2172" spans="1:18" ht="10.5" customHeight="1" x14ac:dyDescent="0.3">
      <c r="A2172" s="62">
        <v>97004003</v>
      </c>
      <c r="B2172" s="287" t="s">
        <v>2503</v>
      </c>
      <c r="C2172" s="335">
        <v>25</v>
      </c>
      <c r="D2172" s="393" t="s">
        <v>874</v>
      </c>
      <c r="E2172" s="66">
        <v>10</v>
      </c>
      <c r="F2172" s="67">
        <v>21.3</v>
      </c>
      <c r="G2172" s="28">
        <f t="shared" si="279"/>
        <v>915.9</v>
      </c>
      <c r="H2172" s="28">
        <f t="shared" si="280"/>
        <v>732.72</v>
      </c>
      <c r="I2172" s="20"/>
      <c r="J2172" s="257">
        <v>970050003</v>
      </c>
      <c r="K2172" s="399" t="s">
        <v>2504</v>
      </c>
      <c r="L2172" s="23">
        <v>25</v>
      </c>
      <c r="M2172" s="401" t="s">
        <v>874</v>
      </c>
      <c r="N2172" s="94">
        <v>10</v>
      </c>
      <c r="O2172" s="94"/>
      <c r="P2172" s="26">
        <v>21.3</v>
      </c>
      <c r="Q2172" s="113">
        <f t="shared" si="281"/>
        <v>915.9</v>
      </c>
      <c r="R2172" s="28">
        <f t="shared" si="282"/>
        <v>732.72</v>
      </c>
    </row>
    <row r="2173" spans="1:18" ht="10.5" customHeight="1" x14ac:dyDescent="0.3">
      <c r="A2173" s="62">
        <v>97004004</v>
      </c>
      <c r="B2173" s="287" t="s">
        <v>2505</v>
      </c>
      <c r="C2173" s="335">
        <v>25</v>
      </c>
      <c r="D2173" s="393" t="s">
        <v>874</v>
      </c>
      <c r="E2173" s="66">
        <v>10</v>
      </c>
      <c r="F2173" s="67">
        <v>21.3</v>
      </c>
      <c r="G2173" s="28">
        <f t="shared" si="279"/>
        <v>915.9</v>
      </c>
      <c r="H2173" s="28">
        <f t="shared" si="280"/>
        <v>732.72</v>
      </c>
      <c r="I2173" s="20"/>
      <c r="J2173" s="257">
        <v>970050004</v>
      </c>
      <c r="K2173" s="399" t="s">
        <v>2504</v>
      </c>
      <c r="L2173" s="23">
        <v>50</v>
      </c>
      <c r="M2173" s="401" t="s">
        <v>874</v>
      </c>
      <c r="N2173" s="94">
        <v>10</v>
      </c>
      <c r="O2173" s="94"/>
      <c r="P2173" s="26">
        <v>42.3</v>
      </c>
      <c r="Q2173" s="113">
        <f t="shared" si="281"/>
        <v>1818.8999999999999</v>
      </c>
      <c r="R2173" s="28">
        <f t="shared" si="282"/>
        <v>1455.12</v>
      </c>
    </row>
    <row r="2174" spans="1:18" ht="10.5" customHeight="1" x14ac:dyDescent="0.3">
      <c r="A2174" s="62">
        <v>97004005</v>
      </c>
      <c r="B2174" s="287" t="s">
        <v>2505</v>
      </c>
      <c r="C2174" s="335">
        <v>50</v>
      </c>
      <c r="D2174" s="393" t="s">
        <v>874</v>
      </c>
      <c r="E2174" s="66">
        <v>10</v>
      </c>
      <c r="F2174" s="67">
        <v>42.3</v>
      </c>
      <c r="G2174" s="28">
        <f t="shared" si="279"/>
        <v>1818.8999999999999</v>
      </c>
      <c r="H2174" s="28">
        <f t="shared" si="280"/>
        <v>1455.12</v>
      </c>
      <c r="I2174" s="20"/>
      <c r="J2174" s="257">
        <v>970050005</v>
      </c>
      <c r="K2174" s="399" t="s">
        <v>2506</v>
      </c>
      <c r="L2174" s="23">
        <v>25</v>
      </c>
      <c r="M2174" s="401" t="s">
        <v>874</v>
      </c>
      <c r="N2174" s="94">
        <v>10</v>
      </c>
      <c r="O2174" s="94"/>
      <c r="P2174" s="26">
        <v>21.3</v>
      </c>
      <c r="Q2174" s="113">
        <f t="shared" si="281"/>
        <v>915.9</v>
      </c>
      <c r="R2174" s="28">
        <f t="shared" si="282"/>
        <v>732.72</v>
      </c>
    </row>
    <row r="2175" spans="1:18" ht="10.5" customHeight="1" x14ac:dyDescent="0.3">
      <c r="A2175" s="62">
        <v>97004006</v>
      </c>
      <c r="B2175" s="287" t="s">
        <v>2507</v>
      </c>
      <c r="C2175" s="335">
        <v>25</v>
      </c>
      <c r="D2175" s="393" t="s">
        <v>874</v>
      </c>
      <c r="E2175" s="66">
        <v>10</v>
      </c>
      <c r="F2175" s="67">
        <v>21.3</v>
      </c>
      <c r="G2175" s="28">
        <f t="shared" si="279"/>
        <v>915.9</v>
      </c>
      <c r="H2175" s="28">
        <f t="shared" si="280"/>
        <v>732.72</v>
      </c>
      <c r="I2175" s="20"/>
      <c r="J2175" s="257">
        <v>970050008</v>
      </c>
      <c r="K2175" s="399" t="s">
        <v>2506</v>
      </c>
      <c r="L2175" s="23">
        <v>50</v>
      </c>
      <c r="M2175" s="401" t="s">
        <v>874</v>
      </c>
      <c r="N2175" s="94">
        <v>10</v>
      </c>
      <c r="O2175" s="94"/>
      <c r="P2175" s="26">
        <v>42.3</v>
      </c>
      <c r="Q2175" s="113">
        <f t="shared" si="281"/>
        <v>1818.8999999999999</v>
      </c>
      <c r="R2175" s="28">
        <f t="shared" si="282"/>
        <v>1455.12</v>
      </c>
    </row>
    <row r="2176" spans="1:18" ht="10.5" customHeight="1" x14ac:dyDescent="0.3">
      <c r="A2176" s="62">
        <v>97004007</v>
      </c>
      <c r="B2176" s="287" t="s">
        <v>2508</v>
      </c>
      <c r="C2176" s="335">
        <v>25</v>
      </c>
      <c r="D2176" s="393" t="s">
        <v>874</v>
      </c>
      <c r="E2176" s="66">
        <v>10</v>
      </c>
      <c r="F2176" s="67">
        <v>21.3</v>
      </c>
      <c r="G2176" s="28">
        <f t="shared" si="279"/>
        <v>915.9</v>
      </c>
      <c r="H2176" s="28">
        <f t="shared" si="280"/>
        <v>732.72</v>
      </c>
      <c r="I2176" s="20"/>
      <c r="J2176" s="257">
        <v>970050006</v>
      </c>
      <c r="K2176" s="399" t="s">
        <v>2509</v>
      </c>
      <c r="L2176" s="23">
        <v>25</v>
      </c>
      <c r="M2176" s="401" t="s">
        <v>874</v>
      </c>
      <c r="N2176" s="94">
        <v>10</v>
      </c>
      <c r="O2176" s="94"/>
      <c r="P2176" s="26">
        <v>21.3</v>
      </c>
      <c r="Q2176" s="113">
        <f t="shared" si="281"/>
        <v>915.9</v>
      </c>
      <c r="R2176" s="28">
        <f t="shared" si="282"/>
        <v>732.72</v>
      </c>
    </row>
    <row r="2177" spans="1:18" ht="10.5" customHeight="1" x14ac:dyDescent="0.3">
      <c r="A2177" s="20"/>
      <c r="B2177" s="20"/>
      <c r="C2177" s="20"/>
      <c r="D2177" s="20"/>
      <c r="E2177" s="20"/>
      <c r="F2177" s="20"/>
      <c r="G2177" s="20"/>
      <c r="H2177" s="20"/>
      <c r="I2177" s="20"/>
      <c r="J2177" s="257">
        <v>970050007</v>
      </c>
      <c r="K2177" s="399" t="s">
        <v>2509</v>
      </c>
      <c r="L2177" s="23">
        <v>50</v>
      </c>
      <c r="M2177" s="401" t="s">
        <v>874</v>
      </c>
      <c r="N2177" s="94">
        <v>10</v>
      </c>
      <c r="O2177" s="94"/>
      <c r="P2177" s="26">
        <v>42.3</v>
      </c>
      <c r="Q2177" s="113">
        <f t="shared" si="281"/>
        <v>1818.8999999999999</v>
      </c>
      <c r="R2177" s="28">
        <f t="shared" si="282"/>
        <v>1455.12</v>
      </c>
    </row>
    <row r="2178" spans="1:18" ht="10.5" customHeight="1" x14ac:dyDescent="0.3">
      <c r="A2178" s="20"/>
      <c r="B2178" s="20"/>
      <c r="C2178" s="20"/>
      <c r="D2178" s="20"/>
      <c r="E2178" s="20"/>
      <c r="F2178" s="20"/>
      <c r="G2178" s="20"/>
      <c r="H2178" s="20"/>
      <c r="I2178" s="20"/>
      <c r="J2178" s="20"/>
      <c r="K2178" s="20"/>
      <c r="L2178" s="20"/>
      <c r="M2178" s="20"/>
      <c r="N2178" s="20"/>
      <c r="O2178" s="20"/>
      <c r="P2178" s="20"/>
      <c r="Q2178" s="20"/>
      <c r="R2178" s="20"/>
    </row>
    <row r="2179" spans="1:18" ht="10.5" customHeight="1" x14ac:dyDescent="0.3">
      <c r="A2179" s="183">
        <v>97016</v>
      </c>
      <c r="B2179" s="48" t="s">
        <v>2510</v>
      </c>
      <c r="C2179" s="49"/>
      <c r="D2179" s="49"/>
      <c r="E2179" s="49"/>
      <c r="F2179" s="49"/>
      <c r="G2179" s="49"/>
      <c r="H2179" s="49"/>
      <c r="I2179" s="50"/>
      <c r="J2179" s="446" t="s">
        <v>78</v>
      </c>
      <c r="K2179" s="446" t="s">
        <v>79</v>
      </c>
      <c r="L2179" s="446"/>
      <c r="M2179" s="446"/>
      <c r="N2179" s="447" t="s">
        <v>80</v>
      </c>
      <c r="O2179" s="14"/>
      <c r="P2179" s="15"/>
      <c r="Q2179" s="16" t="s">
        <v>81</v>
      </c>
      <c r="R2179" s="17" t="s">
        <v>82</v>
      </c>
    </row>
    <row r="2180" spans="1:18" ht="10.5" customHeight="1" x14ac:dyDescent="0.3">
      <c r="A2180" s="18"/>
      <c r="B2180" s="20"/>
      <c r="C2180" s="20"/>
      <c r="D2180" s="20"/>
      <c r="E2180" s="20"/>
      <c r="F2180" s="20"/>
      <c r="G2180" s="20"/>
      <c r="H2180" s="20"/>
      <c r="I2180" s="101"/>
      <c r="J2180" s="446"/>
      <c r="K2180" s="446"/>
      <c r="L2180" s="446"/>
      <c r="M2180" s="446"/>
      <c r="N2180" s="447"/>
      <c r="O2180" s="14"/>
      <c r="P2180" s="19"/>
      <c r="Q2180" s="15" t="s">
        <v>84</v>
      </c>
      <c r="R2180" s="15" t="s">
        <v>84</v>
      </c>
    </row>
    <row r="2181" spans="1:18" ht="10.5" customHeight="1" x14ac:dyDescent="0.3">
      <c r="A2181" s="18"/>
      <c r="B2181" s="20"/>
      <c r="C2181" s="20"/>
      <c r="D2181" s="20"/>
      <c r="E2181" s="20"/>
      <c r="F2181" s="20"/>
      <c r="G2181" s="20"/>
      <c r="H2181" s="20"/>
      <c r="I2181" s="101"/>
      <c r="J2181" s="21" t="str">
        <f>97016&amp;0&amp;8&amp;65</f>
        <v>970160865</v>
      </c>
      <c r="K2181" s="399" t="s">
        <v>2511</v>
      </c>
      <c r="L2181" s="23">
        <v>65</v>
      </c>
      <c r="M2181" s="401" t="s">
        <v>874</v>
      </c>
      <c r="N2181" s="94">
        <v>1</v>
      </c>
      <c r="O2181" s="427"/>
      <c r="P2181" s="130">
        <v>124.44921910112363</v>
      </c>
      <c r="Q2181" s="72">
        <f t="shared" ref="Q2181:Q2186" si="283">P2181*$F$10</f>
        <v>5351.316421348316</v>
      </c>
      <c r="R2181" s="28">
        <f t="shared" ref="R2181:R2186" si="284">Q2181-Q2181*0.2</f>
        <v>4281.053137078653</v>
      </c>
    </row>
    <row r="2182" spans="1:18" ht="10.5" customHeight="1" x14ac:dyDescent="0.3">
      <c r="A2182" s="18"/>
      <c r="B2182" s="20"/>
      <c r="C2182" s="20"/>
      <c r="D2182" s="20"/>
      <c r="E2182" s="20"/>
      <c r="F2182" s="20"/>
      <c r="G2182" s="20"/>
      <c r="H2182" s="20"/>
      <c r="I2182" s="101"/>
      <c r="J2182" s="21" t="str">
        <f>97016&amp;10&amp;50</f>
        <v>970161050</v>
      </c>
      <c r="K2182" s="399" t="s">
        <v>2512</v>
      </c>
      <c r="L2182" s="23">
        <v>50</v>
      </c>
      <c r="M2182" s="401" t="s">
        <v>874</v>
      </c>
      <c r="N2182" s="94">
        <v>1</v>
      </c>
      <c r="O2182" s="427"/>
      <c r="P2182" s="130">
        <v>107.23069916292137</v>
      </c>
      <c r="Q2182" s="72">
        <f t="shared" si="283"/>
        <v>4610.9200640056188</v>
      </c>
      <c r="R2182" s="28">
        <f t="shared" si="284"/>
        <v>3688.7360512044952</v>
      </c>
    </row>
    <row r="2183" spans="1:18" ht="10.5" customHeight="1" x14ac:dyDescent="0.3">
      <c r="A2183" s="55"/>
      <c r="B2183" s="83"/>
      <c r="C2183" s="83"/>
      <c r="D2183" s="83"/>
      <c r="E2183" s="83"/>
      <c r="F2183" s="83"/>
      <c r="G2183" s="83"/>
      <c r="H2183" s="83"/>
      <c r="I2183" s="116"/>
      <c r="J2183" s="21" t="str">
        <f>97016&amp;10&amp;65</f>
        <v>970161065</v>
      </c>
      <c r="K2183" s="399" t="s">
        <v>2512</v>
      </c>
      <c r="L2183" s="23">
        <v>65</v>
      </c>
      <c r="M2183" s="401" t="s">
        <v>874</v>
      </c>
      <c r="N2183" s="94">
        <v>1</v>
      </c>
      <c r="O2183" s="427"/>
      <c r="P2183" s="130">
        <v>128.67364213483145</v>
      </c>
      <c r="Q2183" s="72">
        <f t="shared" si="283"/>
        <v>5532.9666117977522</v>
      </c>
      <c r="R2183" s="28">
        <f t="shared" si="284"/>
        <v>4426.3732894382019</v>
      </c>
    </row>
    <row r="2184" spans="1:18" ht="10.5" customHeight="1" x14ac:dyDescent="0.3">
      <c r="A2184" s="484" t="s">
        <v>78</v>
      </c>
      <c r="B2184" s="484" t="s">
        <v>79</v>
      </c>
      <c r="C2184" s="484"/>
      <c r="D2184" s="484"/>
      <c r="E2184" s="485" t="s">
        <v>80</v>
      </c>
      <c r="F2184" s="69"/>
      <c r="G2184" s="16" t="s">
        <v>81</v>
      </c>
      <c r="H2184" s="17" t="s">
        <v>82</v>
      </c>
      <c r="I2184" s="20"/>
      <c r="J2184" s="21" t="str">
        <f>97016&amp;12&amp;50</f>
        <v>970161250</v>
      </c>
      <c r="K2184" s="399" t="s">
        <v>2513</v>
      </c>
      <c r="L2184" s="23">
        <v>50</v>
      </c>
      <c r="M2184" s="401" t="s">
        <v>874</v>
      </c>
      <c r="N2184" s="94">
        <v>1</v>
      </c>
      <c r="O2184" s="427"/>
      <c r="P2184" s="130">
        <v>136.82563685393259</v>
      </c>
      <c r="Q2184" s="72">
        <f t="shared" si="283"/>
        <v>5883.5023847191014</v>
      </c>
      <c r="R2184" s="28">
        <f t="shared" si="284"/>
        <v>4706.8019077752815</v>
      </c>
    </row>
    <row r="2185" spans="1:18" ht="10.5" customHeight="1" x14ac:dyDescent="0.3">
      <c r="A2185" s="484"/>
      <c r="B2185" s="484"/>
      <c r="C2185" s="484"/>
      <c r="D2185" s="484"/>
      <c r="E2185" s="485"/>
      <c r="F2185" s="19"/>
      <c r="G2185" s="15" t="s">
        <v>84</v>
      </c>
      <c r="H2185" s="15" t="s">
        <v>84</v>
      </c>
      <c r="I2185" s="20"/>
      <c r="J2185" s="21" t="str">
        <f>97016&amp;12&amp;65</f>
        <v>970161265</v>
      </c>
      <c r="K2185" s="399" t="s">
        <v>2513</v>
      </c>
      <c r="L2185" s="23">
        <v>65</v>
      </c>
      <c r="M2185" s="401" t="s">
        <v>874</v>
      </c>
      <c r="N2185" s="94">
        <v>1</v>
      </c>
      <c r="O2185" s="427"/>
      <c r="P2185" s="130">
        <v>164.19342827528095</v>
      </c>
      <c r="Q2185" s="72">
        <f t="shared" si="283"/>
        <v>7060.3174158370812</v>
      </c>
      <c r="R2185" s="28">
        <f t="shared" si="284"/>
        <v>5648.2539326696651</v>
      </c>
    </row>
    <row r="2186" spans="1:18" ht="10.5" customHeight="1" x14ac:dyDescent="0.3">
      <c r="A2186" s="21" t="str">
        <f>97016&amp;0&amp;7&amp;65</f>
        <v>970160765</v>
      </c>
      <c r="B2186" s="399" t="s">
        <v>2514</v>
      </c>
      <c r="C2186" s="23">
        <v>65</v>
      </c>
      <c r="D2186" s="401" t="s">
        <v>874</v>
      </c>
      <c r="E2186" s="94">
        <v>1</v>
      </c>
      <c r="F2186" s="130">
        <v>111.79155372471911</v>
      </c>
      <c r="G2186" s="72">
        <f>F2186*$F$10</f>
        <v>4807.0368101629219</v>
      </c>
      <c r="H2186" s="28">
        <f>G2186-G2186*0.2</f>
        <v>3845.6294481303376</v>
      </c>
      <c r="I2186" s="20"/>
      <c r="J2186" s="21" t="str">
        <f>97016&amp;13&amp;65</f>
        <v>970161365</v>
      </c>
      <c r="K2186" s="399" t="s">
        <v>2515</v>
      </c>
      <c r="L2186" s="23">
        <v>65</v>
      </c>
      <c r="M2186" s="401" t="s">
        <v>874</v>
      </c>
      <c r="N2186" s="94">
        <v>1</v>
      </c>
      <c r="O2186" s="427"/>
      <c r="P2186" s="130">
        <v>188.10861016853937</v>
      </c>
      <c r="Q2186" s="72">
        <f t="shared" si="283"/>
        <v>8088.6702372471927</v>
      </c>
      <c r="R2186" s="28">
        <f t="shared" si="284"/>
        <v>6470.9361897977542</v>
      </c>
    </row>
    <row r="2187" spans="1:18" ht="10.5" customHeight="1" x14ac:dyDescent="0.3">
      <c r="A2187" s="21" t="str">
        <f>97016&amp;0&amp;8&amp;50</f>
        <v>970160850</v>
      </c>
      <c r="B2187" s="399" t="s">
        <v>2511</v>
      </c>
      <c r="C2187" s="23">
        <v>50</v>
      </c>
      <c r="D2187" s="401" t="s">
        <v>874</v>
      </c>
      <c r="E2187" s="94">
        <v>1</v>
      </c>
      <c r="F2187" s="130">
        <v>103.92727646629216</v>
      </c>
      <c r="G2187" s="72">
        <f>F2187*$F$10</f>
        <v>4468.8728880505623</v>
      </c>
      <c r="H2187" s="28">
        <f>G2187-G2187*0.2</f>
        <v>3575.0983104404499</v>
      </c>
      <c r="I2187" s="20"/>
      <c r="J2187" s="20"/>
      <c r="K2187" s="20"/>
      <c r="L2187" s="20"/>
      <c r="M2187" s="20"/>
      <c r="N2187" s="20"/>
      <c r="O2187" s="20"/>
      <c r="P2187" s="20"/>
      <c r="Q2187" s="20"/>
      <c r="R2187" s="20"/>
    </row>
    <row r="2188" spans="1:18" ht="10.5" customHeight="1" x14ac:dyDescent="0.3">
      <c r="A2188" s="20"/>
      <c r="B2188" s="20"/>
      <c r="C2188" s="20"/>
      <c r="D2188" s="20"/>
      <c r="E2188" s="20"/>
      <c r="F2188" s="20"/>
      <c r="G2188" s="20"/>
      <c r="H2188" s="20"/>
      <c r="I2188" s="20"/>
      <c r="J2188" s="20"/>
      <c r="K2188" s="20"/>
      <c r="L2188" s="20"/>
      <c r="M2188" s="20"/>
      <c r="N2188" s="20"/>
      <c r="O2188" s="20"/>
      <c r="P2188" s="20"/>
      <c r="Q2188" s="20"/>
      <c r="R2188" s="20"/>
    </row>
    <row r="2189" spans="1:18" ht="10.5" customHeight="1" x14ac:dyDescent="0.3">
      <c r="A2189" s="183">
        <v>97017</v>
      </c>
      <c r="B2189" s="48" t="s">
        <v>2516</v>
      </c>
      <c r="C2189" s="49"/>
      <c r="D2189" s="49"/>
      <c r="E2189" s="49"/>
      <c r="F2189" s="49"/>
      <c r="G2189" s="49"/>
      <c r="H2189" s="50"/>
      <c r="I2189" s="49"/>
      <c r="J2189" s="183">
        <v>97017</v>
      </c>
      <c r="K2189" s="48" t="s">
        <v>2517</v>
      </c>
      <c r="L2189" s="49"/>
      <c r="M2189" s="49"/>
      <c r="N2189" s="49"/>
      <c r="O2189" s="49"/>
      <c r="P2189" s="49"/>
      <c r="Q2189" s="49"/>
      <c r="R2189" s="50"/>
    </row>
    <row r="2190" spans="1:18" ht="10.5" customHeight="1" x14ac:dyDescent="0.3">
      <c r="A2190" s="18"/>
      <c r="B2190" s="20"/>
      <c r="C2190" s="20"/>
      <c r="D2190" s="20"/>
      <c r="E2190" s="20"/>
      <c r="F2190" s="20"/>
      <c r="G2190" s="20"/>
      <c r="H2190" s="101"/>
      <c r="I2190" s="20"/>
      <c r="J2190" s="18"/>
      <c r="K2190" s="20"/>
      <c r="L2190" s="20"/>
      <c r="M2190" s="20"/>
      <c r="N2190" s="20"/>
      <c r="O2190" s="20"/>
      <c r="P2190" s="20"/>
      <c r="Q2190" s="20"/>
      <c r="R2190" s="101"/>
    </row>
    <row r="2191" spans="1:18" ht="10.5" customHeight="1" x14ac:dyDescent="0.3">
      <c r="A2191" s="18"/>
      <c r="B2191" s="20"/>
      <c r="C2191" s="20"/>
      <c r="D2191" s="20"/>
      <c r="E2191" s="20"/>
      <c r="F2191" s="20"/>
      <c r="G2191" s="20"/>
      <c r="H2191" s="101"/>
      <c r="I2191" s="20"/>
      <c r="J2191" s="18"/>
      <c r="K2191" s="20"/>
      <c r="L2191" s="20"/>
      <c r="M2191" s="20"/>
      <c r="N2191" s="20"/>
      <c r="O2191" s="20"/>
      <c r="P2191" s="20"/>
      <c r="Q2191" s="20"/>
      <c r="R2191" s="101"/>
    </row>
    <row r="2192" spans="1:18" ht="10.5" customHeight="1" x14ac:dyDescent="0.3">
      <c r="A2192" s="18"/>
      <c r="B2192" s="20"/>
      <c r="C2192" s="20"/>
      <c r="D2192" s="20"/>
      <c r="E2192" s="20"/>
      <c r="F2192" s="20"/>
      <c r="G2192" s="20"/>
      <c r="H2192" s="116"/>
      <c r="I2192" s="20"/>
      <c r="J2192" s="55"/>
      <c r="K2192" s="83"/>
      <c r="L2192" s="83"/>
      <c r="M2192" s="83"/>
      <c r="N2192" s="83"/>
      <c r="O2192" s="83"/>
      <c r="P2192" s="83"/>
      <c r="Q2192" s="83"/>
      <c r="R2192" s="116"/>
    </row>
    <row r="2193" spans="1:18" ht="10.5" customHeight="1" x14ac:dyDescent="0.3">
      <c r="A2193" s="446" t="s">
        <v>78</v>
      </c>
      <c r="B2193" s="446" t="s">
        <v>79</v>
      </c>
      <c r="C2193" s="446"/>
      <c r="D2193" s="446"/>
      <c r="E2193" s="447" t="s">
        <v>80</v>
      </c>
      <c r="F2193" s="15"/>
      <c r="G2193" s="16" t="s">
        <v>81</v>
      </c>
      <c r="H2193" s="17" t="s">
        <v>82</v>
      </c>
      <c r="I2193" s="20"/>
      <c r="J2193" s="446" t="s">
        <v>78</v>
      </c>
      <c r="K2193" s="446" t="s">
        <v>79</v>
      </c>
      <c r="L2193" s="446"/>
      <c r="M2193" s="446"/>
      <c r="N2193" s="447" t="s">
        <v>80</v>
      </c>
      <c r="O2193" s="14"/>
      <c r="P2193" s="15"/>
      <c r="Q2193" s="16" t="s">
        <v>81</v>
      </c>
      <c r="R2193" s="17" t="s">
        <v>82</v>
      </c>
    </row>
    <row r="2194" spans="1:18" ht="10.5" customHeight="1" x14ac:dyDescent="0.3">
      <c r="A2194" s="446"/>
      <c r="B2194" s="446"/>
      <c r="C2194" s="446"/>
      <c r="D2194" s="446"/>
      <c r="E2194" s="447"/>
      <c r="F2194" s="19"/>
      <c r="G2194" s="15" t="s">
        <v>84</v>
      </c>
      <c r="H2194" s="15" t="s">
        <v>84</v>
      </c>
      <c r="I2194" s="20"/>
      <c r="J2194" s="446"/>
      <c r="K2194" s="446"/>
      <c r="L2194" s="446"/>
      <c r="M2194" s="446"/>
      <c r="N2194" s="447"/>
      <c r="O2194" s="14"/>
      <c r="P2194" s="19"/>
      <c r="Q2194" s="15" t="s">
        <v>84</v>
      </c>
      <c r="R2194" s="15" t="s">
        <v>84</v>
      </c>
    </row>
    <row r="2195" spans="1:18" ht="10.5" customHeight="1" x14ac:dyDescent="0.3">
      <c r="A2195" s="30">
        <v>970170001</v>
      </c>
      <c r="B2195" s="405" t="s">
        <v>2512</v>
      </c>
      <c r="C2195" s="75">
        <v>60</v>
      </c>
      <c r="D2195" s="400" t="s">
        <v>874</v>
      </c>
      <c r="E2195" s="407">
        <v>1</v>
      </c>
      <c r="F2195" s="78">
        <v>1.26</v>
      </c>
      <c r="G2195" s="72">
        <f>F2195*$F$10</f>
        <v>54.18</v>
      </c>
      <c r="H2195" s="72">
        <f>G2195-G2195*0.2</f>
        <v>43.344000000000001</v>
      </c>
      <c r="I2195" s="83"/>
      <c r="J2195" s="406">
        <v>970170101</v>
      </c>
      <c r="K2195" s="405" t="s">
        <v>2512</v>
      </c>
      <c r="L2195" s="408">
        <v>60</v>
      </c>
      <c r="M2195" s="400" t="s">
        <v>874</v>
      </c>
      <c r="N2195" s="407">
        <v>1</v>
      </c>
      <c r="O2195" s="407"/>
      <c r="P2195" s="78">
        <v>15.001349999999999</v>
      </c>
      <c r="Q2195" s="72">
        <f>P2195*$F$10</f>
        <v>645.05804999999998</v>
      </c>
      <c r="R2195" s="72">
        <f>Q2195-Q2195*0.2</f>
        <v>516.04643999999996</v>
      </c>
    </row>
    <row r="2196" spans="1:18" ht="10.5" customHeight="1" x14ac:dyDescent="0.3">
      <c r="A2196" s="20"/>
      <c r="B2196" s="20"/>
      <c r="C2196" s="20"/>
      <c r="D2196" s="20"/>
      <c r="E2196" s="20"/>
      <c r="F2196" s="20"/>
      <c r="G2196" s="20"/>
      <c r="H2196" s="20"/>
      <c r="I2196" s="20"/>
      <c r="J2196" s="20"/>
      <c r="K2196" s="20"/>
      <c r="L2196" s="20"/>
      <c r="M2196" s="20"/>
      <c r="N2196" s="20"/>
      <c r="O2196" s="20"/>
      <c r="P2196" s="20"/>
      <c r="Q2196" s="20"/>
      <c r="R2196" s="20"/>
    </row>
    <row r="2197" spans="1:18" ht="10.5" customHeight="1" x14ac:dyDescent="0.3">
      <c r="A2197" s="183">
        <v>97020</v>
      </c>
      <c r="B2197" s="48" t="s">
        <v>2518</v>
      </c>
      <c r="C2197" s="49"/>
      <c r="D2197" s="49"/>
      <c r="E2197" s="49"/>
      <c r="F2197" s="49"/>
      <c r="G2197" s="49"/>
      <c r="H2197" s="49"/>
      <c r="I2197" s="50"/>
      <c r="J2197" s="446" t="s">
        <v>78</v>
      </c>
      <c r="K2197" s="446" t="s">
        <v>79</v>
      </c>
      <c r="L2197" s="446"/>
      <c r="M2197" s="446"/>
      <c r="N2197" s="447" t="s">
        <v>80</v>
      </c>
      <c r="O2197" s="14"/>
      <c r="P2197" s="15"/>
      <c r="Q2197" s="16" t="s">
        <v>81</v>
      </c>
      <c r="R2197" s="17" t="s">
        <v>82</v>
      </c>
    </row>
    <row r="2198" spans="1:18" ht="10.5" customHeight="1" x14ac:dyDescent="0.3">
      <c r="A2198" s="18"/>
      <c r="B2198" s="20"/>
      <c r="C2198" s="20"/>
      <c r="D2198" s="20"/>
      <c r="E2198" s="20"/>
      <c r="F2198" s="20"/>
      <c r="G2198" s="20"/>
      <c r="H2198" s="20"/>
      <c r="I2198" s="101"/>
      <c r="J2198" s="446"/>
      <c r="K2198" s="446"/>
      <c r="L2198" s="446"/>
      <c r="M2198" s="446"/>
      <c r="N2198" s="447"/>
      <c r="O2198" s="14"/>
      <c r="P2198" s="19"/>
      <c r="Q2198" s="15" t="s">
        <v>375</v>
      </c>
      <c r="R2198" s="15" t="s">
        <v>375</v>
      </c>
    </row>
    <row r="2199" spans="1:18" ht="10.5" customHeight="1" x14ac:dyDescent="0.3">
      <c r="A2199" s="18"/>
      <c r="B2199" s="20"/>
      <c r="C2199" s="20"/>
      <c r="D2199" s="20"/>
      <c r="E2199" s="20"/>
      <c r="F2199" s="20"/>
      <c r="G2199" s="20"/>
      <c r="H2199" s="20"/>
      <c r="I2199" s="101"/>
      <c r="J2199" s="21">
        <v>970200008</v>
      </c>
      <c r="K2199" s="399">
        <v>8</v>
      </c>
      <c r="L2199" s="23" t="s">
        <v>86</v>
      </c>
      <c r="M2199" s="401">
        <v>160</v>
      </c>
      <c r="N2199" s="94">
        <v>1</v>
      </c>
      <c r="O2199" s="427"/>
      <c r="P2199" s="130">
        <v>0.94</v>
      </c>
      <c r="Q2199" s="72">
        <f t="shared" ref="Q2199:Q2207" si="285">P2199*$F$10</f>
        <v>40.419999999999995</v>
      </c>
      <c r="R2199" s="28">
        <f t="shared" ref="R2199:R2207" si="286">Q2199-Q2199*0.2</f>
        <v>32.335999999999999</v>
      </c>
    </row>
    <row r="2200" spans="1:18" ht="10.5" customHeight="1" x14ac:dyDescent="0.3">
      <c r="A2200" s="18"/>
      <c r="B2200" s="20"/>
      <c r="C2200" s="20"/>
      <c r="D2200" s="20"/>
      <c r="E2200" s="20"/>
      <c r="F2200" s="20"/>
      <c r="G2200" s="20"/>
      <c r="H2200" s="20"/>
      <c r="I2200" s="101"/>
      <c r="J2200" s="30">
        <v>970200009</v>
      </c>
      <c r="K2200" s="405">
        <v>8</v>
      </c>
      <c r="L2200" s="75" t="s">
        <v>86</v>
      </c>
      <c r="M2200" s="400">
        <v>210</v>
      </c>
      <c r="N2200" s="87">
        <v>1</v>
      </c>
      <c r="O2200" s="439"/>
      <c r="P2200" s="126">
        <v>1.17</v>
      </c>
      <c r="Q2200" s="72">
        <f t="shared" si="285"/>
        <v>50.309999999999995</v>
      </c>
      <c r="R2200" s="72">
        <f t="shared" si="286"/>
        <v>40.247999999999998</v>
      </c>
    </row>
    <row r="2201" spans="1:18" ht="10.5" customHeight="1" x14ac:dyDescent="0.3">
      <c r="A2201" s="55"/>
      <c r="B2201" s="83"/>
      <c r="C2201" s="83"/>
      <c r="D2201" s="83"/>
      <c r="E2201" s="83"/>
      <c r="F2201" s="83"/>
      <c r="G2201" s="83"/>
      <c r="H2201" s="83"/>
      <c r="I2201" s="116"/>
      <c r="J2201" s="21">
        <v>970200010</v>
      </c>
      <c r="K2201" s="399">
        <v>8</v>
      </c>
      <c r="L2201" s="23" t="s">
        <v>86</v>
      </c>
      <c r="M2201" s="401">
        <v>260</v>
      </c>
      <c r="N2201" s="94">
        <v>1</v>
      </c>
      <c r="O2201" s="427"/>
      <c r="P2201" s="130">
        <v>1.37</v>
      </c>
      <c r="Q2201" s="72">
        <f t="shared" si="285"/>
        <v>58.910000000000004</v>
      </c>
      <c r="R2201" s="28">
        <f t="shared" si="286"/>
        <v>47.128</v>
      </c>
    </row>
    <row r="2202" spans="1:18" ht="10.5" customHeight="1" x14ac:dyDescent="0.3">
      <c r="A2202" s="484" t="s">
        <v>78</v>
      </c>
      <c r="B2202" s="484" t="s">
        <v>79</v>
      </c>
      <c r="C2202" s="484"/>
      <c r="D2202" s="484"/>
      <c r="E2202" s="485" t="s">
        <v>80</v>
      </c>
      <c r="F2202" s="69"/>
      <c r="G2202" s="16" t="s">
        <v>81</v>
      </c>
      <c r="H2202" s="17" t="s">
        <v>82</v>
      </c>
      <c r="I2202" s="20"/>
      <c r="J2202" s="21">
        <v>970200011</v>
      </c>
      <c r="K2202" s="409">
        <v>8</v>
      </c>
      <c r="L2202" s="33" t="s">
        <v>86</v>
      </c>
      <c r="M2202" s="410">
        <v>310</v>
      </c>
      <c r="N2202" s="93">
        <v>1</v>
      </c>
      <c r="O2202" s="440"/>
      <c r="P2202" s="137">
        <v>1.64</v>
      </c>
      <c r="Q2202" s="72">
        <f t="shared" si="285"/>
        <v>70.52</v>
      </c>
      <c r="R2202" s="38">
        <f t="shared" si="286"/>
        <v>56.415999999999997</v>
      </c>
    </row>
    <row r="2203" spans="1:18" ht="10.5" customHeight="1" x14ac:dyDescent="0.3">
      <c r="A2203" s="484"/>
      <c r="B2203" s="484"/>
      <c r="C2203" s="484"/>
      <c r="D2203" s="484"/>
      <c r="E2203" s="485"/>
      <c r="F2203" s="19"/>
      <c r="G2203" s="15" t="s">
        <v>375</v>
      </c>
      <c r="H2203" s="15" t="s">
        <v>375</v>
      </c>
      <c r="I2203" s="20"/>
      <c r="J2203" s="21">
        <v>970200013</v>
      </c>
      <c r="K2203" s="399">
        <v>10</v>
      </c>
      <c r="L2203" s="23" t="s">
        <v>86</v>
      </c>
      <c r="M2203" s="401">
        <v>110</v>
      </c>
      <c r="N2203" s="211">
        <v>1</v>
      </c>
      <c r="O2203" s="330"/>
      <c r="P2203" s="130">
        <v>0.9</v>
      </c>
      <c r="Q2203" s="72">
        <f t="shared" si="285"/>
        <v>38.700000000000003</v>
      </c>
      <c r="R2203" s="28">
        <f t="shared" si="286"/>
        <v>30.96</v>
      </c>
    </row>
    <row r="2204" spans="1:18" ht="10.5" customHeight="1" x14ac:dyDescent="0.3">
      <c r="A2204" s="30">
        <v>970200003</v>
      </c>
      <c r="B2204" s="405">
        <v>6</v>
      </c>
      <c r="C2204" s="75" t="s">
        <v>86</v>
      </c>
      <c r="D2204" s="400">
        <v>110</v>
      </c>
      <c r="E2204" s="407">
        <v>1</v>
      </c>
      <c r="F2204" s="126">
        <v>0.7</v>
      </c>
      <c r="G2204" s="72">
        <f>F2204*$F$10</f>
        <v>30.099999999999998</v>
      </c>
      <c r="H2204" s="72">
        <f>G2204-G2204*0.2</f>
        <v>24.08</v>
      </c>
      <c r="I2204" s="20"/>
      <c r="J2204" s="21">
        <v>970200014</v>
      </c>
      <c r="K2204" s="399">
        <v>10</v>
      </c>
      <c r="L2204" s="23" t="s">
        <v>86</v>
      </c>
      <c r="M2204" s="401">
        <v>160</v>
      </c>
      <c r="N2204" s="94">
        <v>1</v>
      </c>
      <c r="O2204" s="427"/>
      <c r="P2204" s="130">
        <v>1.1399999999999999</v>
      </c>
      <c r="Q2204" s="72">
        <f t="shared" si="285"/>
        <v>49.019999999999996</v>
      </c>
      <c r="R2204" s="28">
        <f t="shared" si="286"/>
        <v>39.215999999999994</v>
      </c>
    </row>
    <row r="2205" spans="1:18" ht="10.5" customHeight="1" x14ac:dyDescent="0.3">
      <c r="A2205" s="21">
        <v>970200004</v>
      </c>
      <c r="B2205" s="399">
        <v>6</v>
      </c>
      <c r="C2205" s="23" t="s">
        <v>86</v>
      </c>
      <c r="D2205" s="401">
        <v>160</v>
      </c>
      <c r="E2205" s="94">
        <v>1</v>
      </c>
      <c r="F2205" s="130">
        <v>0.9</v>
      </c>
      <c r="G2205" s="72">
        <f>F2205*$F$10</f>
        <v>38.700000000000003</v>
      </c>
      <c r="H2205" s="28">
        <f>G2205-G2205*0.2</f>
        <v>30.96</v>
      </c>
      <c r="I2205" s="20"/>
      <c r="J2205" s="21">
        <v>970200015</v>
      </c>
      <c r="K2205" s="399">
        <v>10</v>
      </c>
      <c r="L2205" s="23" t="s">
        <v>86</v>
      </c>
      <c r="M2205" s="401">
        <v>210</v>
      </c>
      <c r="N2205" s="94">
        <v>1</v>
      </c>
      <c r="O2205" s="427"/>
      <c r="P2205" s="130">
        <v>1.17</v>
      </c>
      <c r="Q2205" s="72">
        <f t="shared" si="285"/>
        <v>50.309999999999995</v>
      </c>
      <c r="R2205" s="28">
        <f t="shared" si="286"/>
        <v>40.247999999999998</v>
      </c>
    </row>
    <row r="2206" spans="1:18" ht="10.5" customHeight="1" x14ac:dyDescent="0.3">
      <c r="A2206" s="21">
        <v>970200005</v>
      </c>
      <c r="B2206" s="399">
        <v>6</v>
      </c>
      <c r="C2206" s="23" t="s">
        <v>86</v>
      </c>
      <c r="D2206" s="401">
        <v>210</v>
      </c>
      <c r="E2206" s="94">
        <v>1</v>
      </c>
      <c r="F2206" s="130">
        <v>1.1000000000000001</v>
      </c>
      <c r="G2206" s="72">
        <f>F2206*$F$10</f>
        <v>47.300000000000004</v>
      </c>
      <c r="H2206" s="28">
        <f>G2206-G2206*0.2</f>
        <v>37.840000000000003</v>
      </c>
      <c r="I2206" s="20"/>
      <c r="J2206" s="21">
        <v>970200016</v>
      </c>
      <c r="K2206" s="399">
        <v>10</v>
      </c>
      <c r="L2206" s="23" t="s">
        <v>86</v>
      </c>
      <c r="M2206" s="401">
        <v>260</v>
      </c>
      <c r="N2206" s="94">
        <v>1</v>
      </c>
      <c r="O2206" s="427"/>
      <c r="P2206" s="130">
        <v>1.53</v>
      </c>
      <c r="Q2206" s="72">
        <f t="shared" si="285"/>
        <v>65.790000000000006</v>
      </c>
      <c r="R2206" s="28">
        <f t="shared" si="286"/>
        <v>52.632000000000005</v>
      </c>
    </row>
    <row r="2207" spans="1:18" ht="10.5" customHeight="1" x14ac:dyDescent="0.3">
      <c r="A2207" s="21">
        <v>970200006</v>
      </c>
      <c r="B2207" s="399">
        <v>6</v>
      </c>
      <c r="C2207" s="23" t="s">
        <v>86</v>
      </c>
      <c r="D2207" s="401">
        <v>260</v>
      </c>
      <c r="E2207" s="94">
        <v>1</v>
      </c>
      <c r="F2207" s="130">
        <v>1.33</v>
      </c>
      <c r="G2207" s="72">
        <f>F2207*$F$10</f>
        <v>57.190000000000005</v>
      </c>
      <c r="H2207" s="28">
        <f>G2207-G2207*0.2</f>
        <v>45.752000000000002</v>
      </c>
      <c r="I2207" s="20"/>
      <c r="J2207" s="21">
        <v>970200017</v>
      </c>
      <c r="K2207" s="399">
        <v>10</v>
      </c>
      <c r="L2207" s="23" t="s">
        <v>86</v>
      </c>
      <c r="M2207" s="401">
        <v>310</v>
      </c>
      <c r="N2207" s="94">
        <v>1</v>
      </c>
      <c r="O2207" s="427"/>
      <c r="P2207" s="130">
        <v>1.68</v>
      </c>
      <c r="Q2207" s="72">
        <f t="shared" si="285"/>
        <v>72.239999999999995</v>
      </c>
      <c r="R2207" s="28">
        <f t="shared" si="286"/>
        <v>57.791999999999994</v>
      </c>
    </row>
    <row r="2208" spans="1:18" ht="10.5" customHeight="1" x14ac:dyDescent="0.3">
      <c r="A2208" s="21">
        <v>970200007</v>
      </c>
      <c r="B2208" s="399">
        <v>8</v>
      </c>
      <c r="C2208" s="23" t="s">
        <v>86</v>
      </c>
      <c r="D2208" s="401">
        <v>110</v>
      </c>
      <c r="E2208" s="94">
        <v>1</v>
      </c>
      <c r="F2208" s="130">
        <v>0.82</v>
      </c>
      <c r="G2208" s="72">
        <f>F2208*$F$10</f>
        <v>35.26</v>
      </c>
      <c r="H2208" s="28">
        <f>G2208-G2208*0.2</f>
        <v>28.207999999999998</v>
      </c>
      <c r="I2208" s="20"/>
      <c r="J2208" s="21"/>
      <c r="K2208" s="399"/>
      <c r="L2208" s="23"/>
      <c r="M2208" s="401"/>
      <c r="N2208" s="94"/>
      <c r="O2208" s="427"/>
      <c r="P2208" s="130"/>
      <c r="Q2208" s="72"/>
      <c r="R2208" s="28"/>
    </row>
    <row r="2209" spans="1:18" ht="10.5" customHeight="1" x14ac:dyDescent="0.3">
      <c r="A2209" s="20"/>
      <c r="B2209" s="20"/>
      <c r="C2209" s="20"/>
      <c r="D2209" s="20"/>
      <c r="E2209" s="20"/>
      <c r="F2209" s="20"/>
      <c r="G2209" s="20"/>
      <c r="H2209" s="20"/>
      <c r="I2209" s="20"/>
      <c r="J2209" s="20"/>
      <c r="K2209" s="20"/>
      <c r="L2209" s="20"/>
      <c r="M2209" s="20"/>
      <c r="N2209" s="20"/>
      <c r="O2209" s="20"/>
      <c r="P2209" s="20"/>
      <c r="Q2209" s="20"/>
      <c r="R2209" s="20"/>
    </row>
    <row r="2210" spans="1:18" ht="10.5" customHeight="1" x14ac:dyDescent="0.3">
      <c r="A2210" s="183">
        <v>97021</v>
      </c>
      <c r="B2210" s="228" t="s">
        <v>2519</v>
      </c>
      <c r="C2210" s="49"/>
      <c r="D2210" s="49"/>
      <c r="E2210" s="49"/>
      <c r="F2210" s="49"/>
      <c r="G2210" s="49"/>
      <c r="H2210" s="49"/>
      <c r="I2210" s="50"/>
      <c r="J2210" s="446" t="s">
        <v>78</v>
      </c>
      <c r="K2210" s="446" t="s">
        <v>79</v>
      </c>
      <c r="L2210" s="446"/>
      <c r="M2210" s="446"/>
      <c r="N2210" s="447" t="s">
        <v>80</v>
      </c>
      <c r="O2210" s="14"/>
      <c r="P2210" s="15"/>
      <c r="Q2210" s="16" t="s">
        <v>81</v>
      </c>
      <c r="R2210" s="17" t="s">
        <v>82</v>
      </c>
    </row>
    <row r="2211" spans="1:18" ht="10.5" customHeight="1" x14ac:dyDescent="0.3">
      <c r="A2211" s="18"/>
      <c r="B2211" s="20"/>
      <c r="C2211" s="20"/>
      <c r="D2211" s="20"/>
      <c r="E2211" s="20"/>
      <c r="F2211" s="20"/>
      <c r="G2211" s="20"/>
      <c r="H2211" s="20"/>
      <c r="I2211" s="101"/>
      <c r="J2211" s="446"/>
      <c r="K2211" s="446"/>
      <c r="L2211" s="446"/>
      <c r="M2211" s="446"/>
      <c r="N2211" s="447"/>
      <c r="O2211" s="14"/>
      <c r="P2211" s="19"/>
      <c r="Q2211" s="15" t="s">
        <v>375</v>
      </c>
      <c r="R2211" s="15" t="s">
        <v>375</v>
      </c>
    </row>
    <row r="2212" spans="1:18" ht="10.5" customHeight="1" x14ac:dyDescent="0.3">
      <c r="A2212" s="18"/>
      <c r="B2212" s="20"/>
      <c r="C2212" s="20"/>
      <c r="D2212" s="20"/>
      <c r="E2212" s="20"/>
      <c r="F2212" s="20"/>
      <c r="G2212" s="20"/>
      <c r="H2212" s="20"/>
      <c r="I2212" s="101"/>
      <c r="J2212" s="73">
        <v>970210017</v>
      </c>
      <c r="K2212" s="254">
        <v>4</v>
      </c>
      <c r="L2212" s="411"/>
      <c r="M2212" s="400"/>
      <c r="N2212" s="407">
        <v>10</v>
      </c>
      <c r="O2212" s="231"/>
      <c r="P2212" s="126">
        <v>0.62</v>
      </c>
      <c r="Q2212" s="72">
        <f t="shared" ref="Q2212:Q2225" si="287">P2212*$F$10</f>
        <v>26.66</v>
      </c>
      <c r="R2212" s="72">
        <f t="shared" ref="R2212:R2225" si="288">Q2212-Q2212*0.2</f>
        <v>21.327999999999999</v>
      </c>
    </row>
    <row r="2213" spans="1:18" ht="10.5" customHeight="1" x14ac:dyDescent="0.3">
      <c r="A2213" s="55"/>
      <c r="B2213" s="83"/>
      <c r="C2213" s="83"/>
      <c r="D2213" s="83"/>
      <c r="E2213" s="83"/>
      <c r="F2213" s="83"/>
      <c r="G2213" s="83"/>
      <c r="H2213" s="83"/>
      <c r="I2213" s="116"/>
      <c r="J2213" s="79">
        <v>970210018</v>
      </c>
      <c r="K2213" s="412">
        <v>4.0999999999999996</v>
      </c>
      <c r="L2213" s="413"/>
      <c r="M2213" s="401"/>
      <c r="N2213" s="211">
        <v>10</v>
      </c>
      <c r="O2213" s="330"/>
      <c r="P2213" s="130">
        <v>0.68</v>
      </c>
      <c r="Q2213" s="28">
        <f t="shared" si="287"/>
        <v>29.240000000000002</v>
      </c>
      <c r="R2213" s="28">
        <f t="shared" si="288"/>
        <v>23.392000000000003</v>
      </c>
    </row>
    <row r="2214" spans="1:18" ht="10.5" customHeight="1" x14ac:dyDescent="0.3">
      <c r="A2214" s="484" t="s">
        <v>78</v>
      </c>
      <c r="B2214" s="484" t="s">
        <v>79</v>
      </c>
      <c r="C2214" s="484"/>
      <c r="D2214" s="484"/>
      <c r="E2214" s="485" t="s">
        <v>80</v>
      </c>
      <c r="F2214" s="69"/>
      <c r="G2214" s="16" t="s">
        <v>81</v>
      </c>
      <c r="H2214" s="17" t="s">
        <v>82</v>
      </c>
      <c r="I2214" s="20"/>
      <c r="J2214" s="79">
        <v>970210019</v>
      </c>
      <c r="K2214" s="412">
        <v>4.2</v>
      </c>
      <c r="L2214" s="413"/>
      <c r="M2214" s="401"/>
      <c r="N2214" s="211">
        <v>10</v>
      </c>
      <c r="O2214" s="330"/>
      <c r="P2214" s="130">
        <v>0.67</v>
      </c>
      <c r="Q2214" s="28">
        <f t="shared" si="287"/>
        <v>28.810000000000002</v>
      </c>
      <c r="R2214" s="28">
        <f t="shared" si="288"/>
        <v>23.048000000000002</v>
      </c>
    </row>
    <row r="2215" spans="1:18" ht="10.5" customHeight="1" x14ac:dyDescent="0.3">
      <c r="A2215" s="484"/>
      <c r="B2215" s="484"/>
      <c r="C2215" s="484"/>
      <c r="D2215" s="484"/>
      <c r="E2215" s="485"/>
      <c r="F2215" s="19"/>
      <c r="G2215" s="15" t="s">
        <v>375</v>
      </c>
      <c r="H2215" s="15" t="s">
        <v>375</v>
      </c>
      <c r="I2215" s="20"/>
      <c r="J2215" s="79">
        <v>970210022</v>
      </c>
      <c r="K2215" s="412">
        <v>4.5</v>
      </c>
      <c r="L2215" s="413"/>
      <c r="M2215" s="401"/>
      <c r="N2215" s="211">
        <v>10</v>
      </c>
      <c r="O2215" s="330"/>
      <c r="P2215" s="130">
        <v>0.78</v>
      </c>
      <c r="Q2215" s="28">
        <f t="shared" si="287"/>
        <v>33.54</v>
      </c>
      <c r="R2215" s="28">
        <f t="shared" si="288"/>
        <v>26.832000000000001</v>
      </c>
    </row>
    <row r="2216" spans="1:18" ht="10.5" customHeight="1" x14ac:dyDescent="0.3">
      <c r="A2216" s="53">
        <v>970210001</v>
      </c>
      <c r="B2216" s="402">
        <v>1.5</v>
      </c>
      <c r="C2216" s="414"/>
      <c r="D2216" s="403"/>
      <c r="E2216" s="259">
        <v>10</v>
      </c>
      <c r="F2216" s="415">
        <v>0.24</v>
      </c>
      <c r="G2216" s="319">
        <f t="shared" ref="G2216:G2226" si="289">F2216*$F$10</f>
        <v>10.32</v>
      </c>
      <c r="H2216" s="319">
        <f t="shared" ref="H2216:H2226" si="290">G2216-G2216*0.2</f>
        <v>8.2560000000000002</v>
      </c>
      <c r="I2216" s="20"/>
      <c r="J2216" s="79">
        <v>970210024</v>
      </c>
      <c r="K2216" s="412">
        <v>4.8</v>
      </c>
      <c r="L2216" s="413"/>
      <c r="M2216" s="401"/>
      <c r="N2216" s="211">
        <v>10</v>
      </c>
      <c r="O2216" s="330"/>
      <c r="P2216" s="130">
        <v>0.78</v>
      </c>
      <c r="Q2216" s="28">
        <f t="shared" si="287"/>
        <v>33.54</v>
      </c>
      <c r="R2216" s="28">
        <f t="shared" si="288"/>
        <v>26.832000000000001</v>
      </c>
    </row>
    <row r="2217" spans="1:18" ht="10.5" customHeight="1" x14ac:dyDescent="0.3">
      <c r="A2217" s="79">
        <v>970210002</v>
      </c>
      <c r="B2217" s="412">
        <v>2</v>
      </c>
      <c r="C2217" s="413"/>
      <c r="D2217" s="401"/>
      <c r="E2217" s="211">
        <v>10</v>
      </c>
      <c r="F2217" s="130">
        <v>0.27</v>
      </c>
      <c r="G2217" s="28">
        <f t="shared" si="289"/>
        <v>11.610000000000001</v>
      </c>
      <c r="H2217" s="28">
        <f t="shared" si="290"/>
        <v>9.2880000000000003</v>
      </c>
      <c r="I2217" s="20"/>
      <c r="J2217" s="79">
        <v>970210025</v>
      </c>
      <c r="K2217" s="412">
        <v>5</v>
      </c>
      <c r="L2217" s="413"/>
      <c r="M2217" s="401"/>
      <c r="N2217" s="211">
        <v>10</v>
      </c>
      <c r="O2217" s="330"/>
      <c r="P2217" s="130">
        <v>0.78</v>
      </c>
      <c r="Q2217" s="28">
        <f t="shared" si="287"/>
        <v>33.54</v>
      </c>
      <c r="R2217" s="28">
        <f t="shared" si="288"/>
        <v>26.832000000000001</v>
      </c>
    </row>
    <row r="2218" spans="1:18" ht="10.5" customHeight="1" x14ac:dyDescent="0.3">
      <c r="A2218" s="79">
        <v>970210003</v>
      </c>
      <c r="B2218" s="412">
        <v>2.2000000000000002</v>
      </c>
      <c r="C2218" s="413"/>
      <c r="D2218" s="401"/>
      <c r="E2218" s="211">
        <v>10</v>
      </c>
      <c r="F2218" s="130">
        <v>0.33</v>
      </c>
      <c r="G2218" s="28">
        <f t="shared" si="289"/>
        <v>14.190000000000001</v>
      </c>
      <c r="H2218" s="28">
        <f t="shared" si="290"/>
        <v>11.352</v>
      </c>
      <c r="I2218" s="20"/>
      <c r="J2218" s="79">
        <v>970210026</v>
      </c>
      <c r="K2218" s="412">
        <v>5.2</v>
      </c>
      <c r="L2218" s="413"/>
      <c r="M2218" s="401"/>
      <c r="N2218" s="211">
        <v>10</v>
      </c>
      <c r="O2218" s="330"/>
      <c r="P2218" s="130">
        <v>0.87</v>
      </c>
      <c r="Q2218" s="28">
        <f t="shared" si="287"/>
        <v>37.409999999999997</v>
      </c>
      <c r="R2218" s="28">
        <f t="shared" si="288"/>
        <v>29.927999999999997</v>
      </c>
    </row>
    <row r="2219" spans="1:18" ht="10.5" customHeight="1" x14ac:dyDescent="0.3">
      <c r="A2219" s="79">
        <v>970210005</v>
      </c>
      <c r="B2219" s="412">
        <v>2.5</v>
      </c>
      <c r="C2219" s="413"/>
      <c r="D2219" s="401"/>
      <c r="E2219" s="211">
        <v>10</v>
      </c>
      <c r="F2219" s="130">
        <v>0.35</v>
      </c>
      <c r="G2219" s="28">
        <f t="shared" si="289"/>
        <v>15.049999999999999</v>
      </c>
      <c r="H2219" s="28">
        <f t="shared" si="290"/>
        <v>12.04</v>
      </c>
      <c r="I2219" s="20"/>
      <c r="J2219" s="79">
        <v>970210029</v>
      </c>
      <c r="K2219" s="412">
        <v>5.5</v>
      </c>
      <c r="L2219" s="413"/>
      <c r="M2219" s="401"/>
      <c r="N2219" s="211">
        <v>10</v>
      </c>
      <c r="O2219" s="330"/>
      <c r="P2219" s="130">
        <v>0.96</v>
      </c>
      <c r="Q2219" s="28">
        <f t="shared" si="287"/>
        <v>41.28</v>
      </c>
      <c r="R2219" s="28">
        <f t="shared" si="288"/>
        <v>33.024000000000001</v>
      </c>
    </row>
    <row r="2220" spans="1:18" ht="10.5" customHeight="1" x14ac:dyDescent="0.3">
      <c r="A2220" s="79">
        <v>970210007</v>
      </c>
      <c r="B2220" s="412">
        <v>2.8</v>
      </c>
      <c r="C2220" s="413"/>
      <c r="D2220" s="401"/>
      <c r="E2220" s="211">
        <v>10</v>
      </c>
      <c r="F2220" s="130">
        <v>0.42</v>
      </c>
      <c r="G2220" s="28">
        <f t="shared" si="289"/>
        <v>18.059999999999999</v>
      </c>
      <c r="H2220" s="28">
        <f t="shared" si="290"/>
        <v>14.447999999999999</v>
      </c>
      <c r="I2220" s="20"/>
      <c r="J2220" s="79">
        <v>970210031</v>
      </c>
      <c r="K2220" s="412">
        <v>6</v>
      </c>
      <c r="L2220" s="413"/>
      <c r="M2220" s="401"/>
      <c r="N2220" s="211">
        <v>10</v>
      </c>
      <c r="O2220" s="330"/>
      <c r="P2220" s="130">
        <v>1.1100000000000001</v>
      </c>
      <c r="Q2220" s="28">
        <f t="shared" si="287"/>
        <v>47.730000000000004</v>
      </c>
      <c r="R2220" s="28">
        <f t="shared" si="288"/>
        <v>38.184000000000005</v>
      </c>
    </row>
    <row r="2221" spans="1:18" ht="10.5" customHeight="1" x14ac:dyDescent="0.3">
      <c r="A2221" s="79">
        <v>970210008</v>
      </c>
      <c r="B2221" s="412">
        <v>3</v>
      </c>
      <c r="C2221" s="413"/>
      <c r="D2221" s="401"/>
      <c r="E2221" s="211">
        <v>10</v>
      </c>
      <c r="F2221" s="130">
        <v>0.44</v>
      </c>
      <c r="G2221" s="28">
        <f t="shared" si="289"/>
        <v>18.920000000000002</v>
      </c>
      <c r="H2221" s="28">
        <f t="shared" si="290"/>
        <v>15.136000000000001</v>
      </c>
      <c r="I2221" s="20"/>
      <c r="J2221" s="79">
        <v>970210035</v>
      </c>
      <c r="K2221" s="412">
        <v>6.5</v>
      </c>
      <c r="L2221" s="413"/>
      <c r="M2221" s="401"/>
      <c r="N2221" s="211">
        <v>10</v>
      </c>
      <c r="O2221" s="330"/>
      <c r="P2221" s="130">
        <v>1.31</v>
      </c>
      <c r="Q2221" s="28">
        <f t="shared" si="287"/>
        <v>56.330000000000005</v>
      </c>
      <c r="R2221" s="28">
        <f t="shared" si="288"/>
        <v>45.064000000000007</v>
      </c>
    </row>
    <row r="2222" spans="1:18" ht="10.5" customHeight="1" x14ac:dyDescent="0.3">
      <c r="A2222" s="79">
        <v>970210009</v>
      </c>
      <c r="B2222" s="412">
        <v>3.1</v>
      </c>
      <c r="C2222" s="413"/>
      <c r="D2222" s="401"/>
      <c r="E2222" s="211">
        <v>10</v>
      </c>
      <c r="F2222" s="130">
        <v>0.45</v>
      </c>
      <c r="G2222" s="28">
        <f t="shared" si="289"/>
        <v>19.350000000000001</v>
      </c>
      <c r="H2222" s="28">
        <f t="shared" si="290"/>
        <v>15.48</v>
      </c>
      <c r="I2222" s="20"/>
      <c r="J2222" s="79">
        <v>970210037</v>
      </c>
      <c r="K2222" s="412">
        <v>7</v>
      </c>
      <c r="L2222" s="413"/>
      <c r="M2222" s="401"/>
      <c r="N2222" s="211">
        <v>10</v>
      </c>
      <c r="O2222" s="330"/>
      <c r="P2222" s="130">
        <v>1.6</v>
      </c>
      <c r="Q2222" s="28">
        <f t="shared" si="287"/>
        <v>68.8</v>
      </c>
      <c r="R2222" s="28">
        <f t="shared" si="288"/>
        <v>55.04</v>
      </c>
    </row>
    <row r="2223" spans="1:18" ht="10.5" customHeight="1" x14ac:dyDescent="0.3">
      <c r="A2223" s="79">
        <v>970210010</v>
      </c>
      <c r="B2223" s="412">
        <v>3.2</v>
      </c>
      <c r="C2223" s="413"/>
      <c r="D2223" s="401"/>
      <c r="E2223" s="211">
        <v>10</v>
      </c>
      <c r="F2223" s="130">
        <v>0.47</v>
      </c>
      <c r="G2223" s="28">
        <f t="shared" si="289"/>
        <v>20.209999999999997</v>
      </c>
      <c r="H2223" s="28">
        <f t="shared" si="290"/>
        <v>16.167999999999999</v>
      </c>
      <c r="I2223" s="20"/>
      <c r="J2223" s="79">
        <v>970210040</v>
      </c>
      <c r="K2223" s="412">
        <v>8</v>
      </c>
      <c r="L2223" s="413"/>
      <c r="M2223" s="401"/>
      <c r="N2223" s="211">
        <v>5</v>
      </c>
      <c r="O2223" s="330"/>
      <c r="P2223" s="130">
        <v>2</v>
      </c>
      <c r="Q2223" s="28">
        <f t="shared" si="287"/>
        <v>86</v>
      </c>
      <c r="R2223" s="28">
        <f t="shared" si="288"/>
        <v>68.8</v>
      </c>
    </row>
    <row r="2224" spans="1:18" ht="10.5" customHeight="1" x14ac:dyDescent="0.3">
      <c r="A2224" s="79">
        <v>970210011</v>
      </c>
      <c r="B2224" s="412">
        <v>3.3</v>
      </c>
      <c r="C2224" s="413"/>
      <c r="D2224" s="401"/>
      <c r="E2224" s="211">
        <v>10</v>
      </c>
      <c r="F2224" s="130">
        <v>0.47</v>
      </c>
      <c r="G2224" s="28">
        <f t="shared" si="289"/>
        <v>20.209999999999997</v>
      </c>
      <c r="H2224" s="28">
        <f t="shared" si="290"/>
        <v>16.167999999999999</v>
      </c>
      <c r="I2224" s="20"/>
      <c r="J2224" s="79">
        <v>970210042</v>
      </c>
      <c r="K2224" s="412">
        <v>8.5</v>
      </c>
      <c r="L2224" s="413"/>
      <c r="M2224" s="401"/>
      <c r="N2224" s="211">
        <v>5</v>
      </c>
      <c r="O2224" s="330"/>
      <c r="P2224" s="130">
        <v>2.2000000000000002</v>
      </c>
      <c r="Q2224" s="28">
        <f t="shared" si="287"/>
        <v>94.600000000000009</v>
      </c>
      <c r="R2224" s="28">
        <f t="shared" si="288"/>
        <v>75.680000000000007</v>
      </c>
    </row>
    <row r="2225" spans="1:18" ht="10.5" customHeight="1" x14ac:dyDescent="0.3">
      <c r="A2225" s="79">
        <v>970210013</v>
      </c>
      <c r="B2225" s="412">
        <v>3.5</v>
      </c>
      <c r="C2225" s="413"/>
      <c r="D2225" s="401"/>
      <c r="E2225" s="211">
        <v>10</v>
      </c>
      <c r="F2225" s="130">
        <v>0.47</v>
      </c>
      <c r="G2225" s="28">
        <f t="shared" si="289"/>
        <v>20.209999999999997</v>
      </c>
      <c r="H2225" s="28">
        <f t="shared" si="290"/>
        <v>16.167999999999999</v>
      </c>
      <c r="I2225" s="20"/>
      <c r="J2225" s="79">
        <v>970210044</v>
      </c>
      <c r="K2225" s="412">
        <v>10</v>
      </c>
      <c r="L2225" s="413"/>
      <c r="M2225" s="401"/>
      <c r="N2225" s="211">
        <v>5</v>
      </c>
      <c r="O2225" s="330"/>
      <c r="P2225" s="130">
        <v>3.18</v>
      </c>
      <c r="Q2225" s="28">
        <f t="shared" si="287"/>
        <v>136.74</v>
      </c>
      <c r="R2225" s="28">
        <f t="shared" si="288"/>
        <v>109.39200000000001</v>
      </c>
    </row>
    <row r="2226" spans="1:18" ht="10.5" customHeight="1" x14ac:dyDescent="0.3">
      <c r="A2226" s="79">
        <v>970210016</v>
      </c>
      <c r="B2226" s="412">
        <v>3.8</v>
      </c>
      <c r="C2226" s="413"/>
      <c r="D2226" s="401"/>
      <c r="E2226" s="211">
        <v>10</v>
      </c>
      <c r="F2226" s="130">
        <v>0.57999999999999996</v>
      </c>
      <c r="G2226" s="28">
        <f t="shared" si="289"/>
        <v>24.939999999999998</v>
      </c>
      <c r="H2226" s="28">
        <f t="shared" si="290"/>
        <v>19.951999999999998</v>
      </c>
      <c r="I2226" s="20"/>
      <c r="J2226" s="20"/>
      <c r="K2226" s="20"/>
      <c r="L2226" s="20"/>
      <c r="M2226" s="20"/>
      <c r="N2226" s="20"/>
      <c r="O2226" s="20"/>
      <c r="P2226" s="20"/>
      <c r="Q2226" s="20"/>
      <c r="R2226" s="20"/>
    </row>
    <row r="2227" spans="1:18" ht="10.5" customHeight="1" x14ac:dyDescent="0.3">
      <c r="A2227" s="39"/>
      <c r="B2227" s="416"/>
      <c r="C2227" s="414"/>
      <c r="D2227" s="156"/>
      <c r="E2227" s="97"/>
      <c r="F2227" s="44"/>
      <c r="G2227" s="46"/>
      <c r="H2227" s="46"/>
      <c r="I2227" s="20"/>
      <c r="J2227" s="20"/>
      <c r="K2227" s="20"/>
      <c r="L2227" s="20"/>
      <c r="M2227" s="20"/>
      <c r="N2227" s="20"/>
      <c r="O2227" s="20"/>
      <c r="P2227" s="20"/>
      <c r="Q2227" s="20"/>
      <c r="R2227" s="20"/>
    </row>
    <row r="2228" spans="1:18" ht="10.5" customHeight="1" x14ac:dyDescent="0.3">
      <c r="A2228" s="183">
        <v>97055</v>
      </c>
      <c r="B2228" s="228" t="s">
        <v>2520</v>
      </c>
      <c r="C2228" s="49"/>
      <c r="D2228" s="49"/>
      <c r="E2228" s="49"/>
      <c r="F2228" s="49"/>
      <c r="G2228" s="49"/>
      <c r="H2228" s="50"/>
      <c r="I2228" s="49"/>
      <c r="J2228" s="183">
        <v>97050</v>
      </c>
      <c r="K2228" s="48" t="s">
        <v>2521</v>
      </c>
      <c r="L2228" s="49"/>
      <c r="M2228" s="49"/>
      <c r="N2228" s="49"/>
      <c r="O2228" s="49"/>
      <c r="P2228" s="49"/>
      <c r="Q2228" s="49"/>
      <c r="R2228" s="50"/>
    </row>
    <row r="2229" spans="1:18" ht="10.5" customHeight="1" x14ac:dyDescent="0.3">
      <c r="A2229" s="18"/>
      <c r="B2229" s="20"/>
      <c r="C2229" s="20"/>
      <c r="D2229" s="20"/>
      <c r="E2229" s="20"/>
      <c r="F2229" s="20"/>
      <c r="G2229" s="20"/>
      <c r="H2229" s="101"/>
      <c r="I2229" s="20"/>
      <c r="J2229" s="18"/>
      <c r="K2229" s="20"/>
      <c r="L2229" s="20"/>
      <c r="M2229" s="20"/>
      <c r="N2229" s="20"/>
      <c r="O2229" s="20"/>
      <c r="P2229" s="20"/>
      <c r="Q2229" s="20"/>
      <c r="R2229" s="101"/>
    </row>
    <row r="2230" spans="1:18" ht="10.5" customHeight="1" x14ac:dyDescent="0.3">
      <c r="A2230" s="18"/>
      <c r="B2230" s="20"/>
      <c r="C2230" s="20"/>
      <c r="D2230" s="20"/>
      <c r="E2230" s="20"/>
      <c r="F2230" s="20"/>
      <c r="G2230" s="20"/>
      <c r="H2230" s="101"/>
      <c r="I2230" s="20"/>
      <c r="J2230" s="18"/>
      <c r="K2230" s="20"/>
      <c r="L2230" s="20"/>
      <c r="M2230" s="20"/>
      <c r="N2230" s="20"/>
      <c r="O2230" s="20"/>
      <c r="P2230" s="20"/>
      <c r="Q2230" s="20"/>
      <c r="R2230" s="101"/>
    </row>
    <row r="2231" spans="1:18" ht="10.5" customHeight="1" x14ac:dyDescent="0.3">
      <c r="A2231" s="18"/>
      <c r="B2231" s="20"/>
      <c r="C2231" s="20"/>
      <c r="D2231" s="20"/>
      <c r="E2231" s="20"/>
      <c r="F2231" s="20"/>
      <c r="G2231" s="20"/>
      <c r="H2231" s="101"/>
      <c r="I2231" s="20"/>
      <c r="J2231" s="18"/>
      <c r="K2231" s="20"/>
      <c r="L2231" s="20"/>
      <c r="M2231" s="20"/>
      <c r="N2231" s="20"/>
      <c r="O2231" s="20"/>
      <c r="P2231" s="20"/>
      <c r="Q2231" s="20"/>
      <c r="R2231" s="101"/>
    </row>
    <row r="2232" spans="1:18" ht="10.5" customHeight="1" x14ac:dyDescent="0.3">
      <c r="A2232" s="18"/>
      <c r="B2232" s="20"/>
      <c r="C2232" s="20"/>
      <c r="D2232" s="20"/>
      <c r="E2232" s="20"/>
      <c r="F2232" s="20"/>
      <c r="G2232" s="20"/>
      <c r="H2232" s="101"/>
      <c r="I2232" s="20"/>
      <c r="J2232" s="18"/>
      <c r="K2232" s="20"/>
      <c r="L2232" s="20"/>
      <c r="M2232" s="20"/>
      <c r="N2232" s="20"/>
      <c r="O2232" s="20"/>
      <c r="P2232" s="20"/>
      <c r="Q2232" s="20"/>
      <c r="R2232" s="101"/>
    </row>
    <row r="2233" spans="1:18" ht="10.5" customHeight="1" x14ac:dyDescent="0.3">
      <c r="A2233" s="55"/>
      <c r="B2233" s="83"/>
      <c r="C2233" s="83"/>
      <c r="D2233" s="83"/>
      <c r="E2233" s="83"/>
      <c r="F2233" s="83"/>
      <c r="G2233" s="83"/>
      <c r="H2233" s="116"/>
      <c r="I2233" s="83"/>
      <c r="J2233" s="55"/>
      <c r="K2233" s="83"/>
      <c r="L2233" s="83"/>
      <c r="M2233" s="83"/>
      <c r="N2233" s="83"/>
      <c r="O2233" s="83"/>
      <c r="P2233" s="83"/>
      <c r="Q2233" s="83"/>
      <c r="R2233" s="116"/>
    </row>
    <row r="2234" spans="1:18" ht="10.5" customHeight="1" x14ac:dyDescent="0.3">
      <c r="A2234" s="484" t="s">
        <v>78</v>
      </c>
      <c r="B2234" s="484" t="s">
        <v>79</v>
      </c>
      <c r="C2234" s="484"/>
      <c r="D2234" s="484"/>
      <c r="E2234" s="485" t="s">
        <v>80</v>
      </c>
      <c r="F2234" s="69"/>
      <c r="G2234" s="16" t="s">
        <v>81</v>
      </c>
      <c r="H2234" s="17" t="s">
        <v>82</v>
      </c>
      <c r="I2234" s="20"/>
      <c r="J2234" s="484" t="s">
        <v>78</v>
      </c>
      <c r="K2234" s="484" t="s">
        <v>79</v>
      </c>
      <c r="L2234" s="484"/>
      <c r="M2234" s="484"/>
      <c r="N2234" s="485" t="s">
        <v>80</v>
      </c>
      <c r="O2234" s="428"/>
      <c r="P2234" s="69"/>
      <c r="Q2234" s="16" t="s">
        <v>81</v>
      </c>
      <c r="R2234" s="17" t="s">
        <v>82</v>
      </c>
    </row>
    <row r="2235" spans="1:18" ht="10.5" customHeight="1" x14ac:dyDescent="0.3">
      <c r="A2235" s="484"/>
      <c r="B2235" s="484"/>
      <c r="C2235" s="484"/>
      <c r="D2235" s="484"/>
      <c r="E2235" s="485"/>
      <c r="F2235" s="19"/>
      <c r="G2235" s="15" t="s">
        <v>375</v>
      </c>
      <c r="H2235" s="15" t="s">
        <v>375</v>
      </c>
      <c r="I2235" s="20"/>
      <c r="J2235" s="484"/>
      <c r="K2235" s="484"/>
      <c r="L2235" s="484"/>
      <c r="M2235" s="484"/>
      <c r="N2235" s="485"/>
      <c r="O2235" s="428"/>
      <c r="P2235" s="19"/>
      <c r="Q2235" s="15" t="s">
        <v>375</v>
      </c>
      <c r="R2235" s="15" t="s">
        <v>375</v>
      </c>
    </row>
    <row r="2236" spans="1:18" ht="10.5" customHeight="1" x14ac:dyDescent="0.3">
      <c r="A2236" s="139">
        <v>970180001</v>
      </c>
      <c r="B2236" s="74">
        <v>4</v>
      </c>
      <c r="C2236" s="75" t="s">
        <v>86</v>
      </c>
      <c r="D2236" s="76">
        <v>76</v>
      </c>
      <c r="E2236" s="407">
        <v>1</v>
      </c>
      <c r="F2236" s="78">
        <v>6.2799999999999995E-2</v>
      </c>
      <c r="G2236" s="72">
        <f>F2236*$F$10</f>
        <v>2.7003999999999997</v>
      </c>
      <c r="H2236" s="72">
        <f>G2236-G2236*0.2</f>
        <v>2.1603199999999996</v>
      </c>
      <c r="I2236" s="20"/>
      <c r="J2236" s="501">
        <v>97050001</v>
      </c>
      <c r="K2236" s="501"/>
      <c r="L2236" s="501"/>
      <c r="M2236" s="501"/>
      <c r="N2236" s="501"/>
      <c r="O2236" s="343"/>
      <c r="P2236" s="417">
        <v>3.4</v>
      </c>
      <c r="Q2236" s="28">
        <f>P2236*$F$10</f>
        <v>146.19999999999999</v>
      </c>
      <c r="R2236" s="28">
        <f>Q2236-Q2236*0.2</f>
        <v>116.96</v>
      </c>
    </row>
    <row r="2237" spans="1:18" ht="10.5" customHeight="1" x14ac:dyDescent="0.3">
      <c r="A2237" s="20"/>
      <c r="B2237" s="20"/>
      <c r="C2237" s="20"/>
      <c r="D2237" s="20"/>
      <c r="E2237" s="20"/>
      <c r="F2237" s="20"/>
      <c r="G2237" s="20"/>
      <c r="H2237" s="20"/>
      <c r="I2237" s="20"/>
      <c r="J2237" s="20"/>
      <c r="K2237" s="20"/>
      <c r="L2237" s="20"/>
      <c r="M2237" s="20"/>
      <c r="N2237" s="20"/>
      <c r="O2237" s="20"/>
      <c r="P2237" s="20"/>
      <c r="Q2237" s="20"/>
      <c r="R2237" s="20"/>
    </row>
    <row r="2238" spans="1:18" ht="10.5" customHeight="1" x14ac:dyDescent="0.3">
      <c r="A2238" s="20"/>
      <c r="B2238" s="20"/>
      <c r="C2238" s="20"/>
      <c r="D2238" s="20"/>
      <c r="E2238" s="20"/>
      <c r="F2238" s="20"/>
      <c r="G2238" s="20"/>
      <c r="H2238" s="20"/>
      <c r="I2238" s="20"/>
      <c r="J2238" s="20"/>
      <c r="K2238" s="20"/>
      <c r="L2238" s="20"/>
      <c r="M2238" s="20"/>
      <c r="N2238" s="20"/>
      <c r="O2238" s="20"/>
      <c r="P2238" s="20"/>
      <c r="Q2238" s="20"/>
      <c r="R2238" s="20"/>
    </row>
    <row r="2239" spans="1:18" ht="10.5" customHeight="1" x14ac:dyDescent="0.3">
      <c r="A2239" s="20"/>
      <c r="B2239" s="20"/>
      <c r="C2239" s="20"/>
      <c r="D2239" s="20"/>
      <c r="E2239" s="20"/>
      <c r="F2239" s="20"/>
      <c r="G2239" s="20"/>
      <c r="H2239" s="20"/>
      <c r="I2239" s="20"/>
      <c r="J2239" s="20"/>
      <c r="K2239" s="20"/>
      <c r="L2239" s="20"/>
      <c r="M2239" s="20"/>
      <c r="N2239" s="20"/>
      <c r="O2239" s="20"/>
      <c r="P2239" s="20"/>
      <c r="Q2239" s="20"/>
      <c r="R2239" s="20"/>
    </row>
    <row r="2240" spans="1:18" ht="10.5" customHeight="1" x14ac:dyDescent="0.3">
      <c r="A2240" s="20"/>
      <c r="B2240" s="20"/>
      <c r="C2240" s="20"/>
      <c r="D2240" s="20"/>
      <c r="E2240" s="20"/>
      <c r="F2240" s="20"/>
      <c r="G2240" s="20"/>
      <c r="H2240" s="20"/>
      <c r="I2240" s="20"/>
      <c r="J2240" s="20"/>
      <c r="K2240" s="20"/>
      <c r="L2240" s="20"/>
      <c r="M2240" s="20"/>
      <c r="N2240" s="20"/>
      <c r="O2240" s="20"/>
      <c r="P2240" s="20"/>
      <c r="Q2240" s="20"/>
      <c r="R2240" s="20"/>
    </row>
    <row r="2241" spans="1:18" ht="10.5" customHeight="1" x14ac:dyDescent="0.3">
      <c r="A2241" s="20"/>
      <c r="B2241" s="20"/>
      <c r="C2241" s="20"/>
      <c r="D2241" s="20"/>
      <c r="E2241" s="20"/>
      <c r="F2241" s="20"/>
      <c r="G2241" s="20"/>
      <c r="H2241" s="20"/>
      <c r="I2241" s="20"/>
      <c r="J2241" s="20"/>
      <c r="K2241" s="20"/>
      <c r="L2241" s="20"/>
      <c r="M2241" s="20"/>
      <c r="N2241" s="20"/>
      <c r="O2241" s="20"/>
      <c r="P2241" s="20"/>
      <c r="Q2241" s="20"/>
      <c r="R2241" s="20"/>
    </row>
    <row r="2242" spans="1:18" ht="10.5" customHeight="1" x14ac:dyDescent="0.3">
      <c r="A2242" s="20"/>
      <c r="B2242" s="20"/>
      <c r="C2242" s="20"/>
      <c r="D2242" s="20"/>
      <c r="E2242" s="20"/>
      <c r="F2242" s="20"/>
      <c r="G2242" s="20"/>
      <c r="H2242" s="20"/>
      <c r="I2242" s="20"/>
      <c r="J2242" s="20"/>
      <c r="K2242" s="20"/>
      <c r="L2242" s="20"/>
      <c r="M2242" s="20"/>
      <c r="N2242" s="20"/>
      <c r="O2242" s="20"/>
      <c r="P2242" s="20"/>
      <c r="Q2242" s="20"/>
      <c r="R2242" s="20"/>
    </row>
    <row r="2243" spans="1:18" ht="10.5" customHeight="1" x14ac:dyDescent="0.3">
      <c r="A2243" s="20"/>
      <c r="B2243" s="20"/>
      <c r="C2243" s="20"/>
      <c r="D2243" s="20"/>
      <c r="E2243" s="20"/>
      <c r="F2243" s="20"/>
      <c r="G2243" s="20"/>
      <c r="H2243" s="20"/>
      <c r="I2243" s="20"/>
      <c r="J2243" s="20"/>
      <c r="K2243" s="20"/>
      <c r="L2243" s="20"/>
      <c r="M2243" s="20"/>
      <c r="N2243" s="20"/>
      <c r="O2243" s="20"/>
      <c r="P2243" s="20"/>
      <c r="Q2243" s="20"/>
      <c r="R2243" s="20"/>
    </row>
    <row r="2244" spans="1:18" ht="10.5" customHeight="1" x14ac:dyDescent="0.3">
      <c r="A2244" s="20"/>
      <c r="B2244" s="20"/>
      <c r="C2244" s="20"/>
      <c r="D2244" s="20"/>
      <c r="E2244" s="20"/>
      <c r="F2244" s="20"/>
      <c r="G2244" s="20"/>
      <c r="H2244" s="20"/>
      <c r="I2244" s="20"/>
      <c r="J2244" s="20"/>
      <c r="K2244" s="20"/>
      <c r="L2244" s="20"/>
      <c r="M2244" s="20"/>
      <c r="N2244" s="20"/>
      <c r="O2244" s="20"/>
      <c r="P2244" s="20"/>
      <c r="Q2244" s="20"/>
      <c r="R2244" s="20"/>
    </row>
    <row r="2245" spans="1:18" ht="10.5" customHeight="1" x14ac:dyDescent="0.3">
      <c r="A2245" s="20"/>
      <c r="B2245" s="20"/>
      <c r="C2245" s="20"/>
      <c r="D2245" s="20"/>
      <c r="E2245" s="20"/>
      <c r="F2245" s="20"/>
      <c r="G2245" s="20"/>
      <c r="H2245" s="20"/>
      <c r="I2245" s="20"/>
      <c r="J2245" s="20"/>
      <c r="K2245" s="20"/>
      <c r="L2245" s="20"/>
      <c r="M2245" s="20"/>
      <c r="N2245" s="20"/>
      <c r="O2245" s="20"/>
      <c r="P2245" s="20"/>
      <c r="Q2245" s="20"/>
      <c r="R2245" s="20"/>
    </row>
    <row r="2246" spans="1:18" ht="10.5" customHeight="1" x14ac:dyDescent="0.3">
      <c r="A2246" s="20"/>
      <c r="B2246" s="20"/>
      <c r="C2246" s="20"/>
      <c r="D2246" s="20"/>
      <c r="E2246" s="20"/>
      <c r="F2246" s="20"/>
      <c r="G2246" s="20"/>
      <c r="H2246" s="20"/>
      <c r="I2246" s="20"/>
      <c r="J2246" s="20"/>
      <c r="K2246" s="20"/>
      <c r="L2246" s="20"/>
      <c r="M2246" s="20"/>
      <c r="N2246" s="20"/>
      <c r="O2246" s="20"/>
      <c r="P2246" s="20"/>
      <c r="Q2246" s="20"/>
      <c r="R2246" s="20"/>
    </row>
    <row r="2247" spans="1:18" ht="10.5" customHeight="1" x14ac:dyDescent="0.3">
      <c r="A2247" s="20"/>
      <c r="B2247" s="20"/>
      <c r="C2247" s="20"/>
      <c r="D2247" s="20"/>
      <c r="E2247" s="20"/>
      <c r="F2247" s="20"/>
      <c r="G2247" s="20"/>
      <c r="H2247" s="20"/>
      <c r="I2247" s="20"/>
      <c r="J2247" s="20"/>
      <c r="K2247" s="20"/>
      <c r="L2247" s="20"/>
      <c r="M2247" s="20"/>
      <c r="N2247" s="20"/>
      <c r="O2247" s="20"/>
      <c r="P2247" s="20"/>
      <c r="Q2247" s="20"/>
      <c r="R2247" s="20"/>
    </row>
    <row r="2248" spans="1:18" ht="10.5" customHeight="1" x14ac:dyDescent="0.3">
      <c r="A2248" s="20"/>
      <c r="B2248" s="20"/>
      <c r="C2248" s="20"/>
      <c r="D2248" s="20"/>
      <c r="E2248" s="20"/>
      <c r="F2248" s="20"/>
      <c r="G2248" s="20"/>
      <c r="H2248" s="20"/>
      <c r="I2248" s="20"/>
      <c r="J2248" s="20"/>
      <c r="K2248" s="20"/>
      <c r="L2248" s="20"/>
      <c r="M2248" s="20"/>
      <c r="N2248" s="20"/>
      <c r="O2248" s="20"/>
      <c r="P2248" s="20"/>
      <c r="Q2248" s="20"/>
      <c r="R2248" s="20"/>
    </row>
    <row r="2249" spans="1:18" ht="10.5" customHeight="1" x14ac:dyDescent="0.3">
      <c r="A2249" s="20"/>
      <c r="B2249" s="20"/>
      <c r="C2249" s="20"/>
      <c r="D2249" s="20"/>
      <c r="E2249" s="20"/>
      <c r="F2249" s="20"/>
      <c r="G2249" s="20"/>
      <c r="H2249" s="20"/>
      <c r="I2249" s="20"/>
      <c r="J2249" s="20"/>
      <c r="K2249" s="20"/>
      <c r="L2249" s="20"/>
      <c r="M2249" s="20"/>
      <c r="N2249" s="20"/>
      <c r="O2249" s="20"/>
      <c r="P2249" s="20"/>
      <c r="Q2249" s="20"/>
      <c r="R2249" s="20"/>
    </row>
    <row r="2250" spans="1:18" ht="10.5" customHeight="1" x14ac:dyDescent="0.3">
      <c r="A2250" s="20"/>
      <c r="B2250" s="20"/>
      <c r="C2250" s="20"/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  <c r="N2250" s="20"/>
      <c r="O2250" s="20"/>
      <c r="P2250" s="20"/>
      <c r="Q2250" s="20"/>
      <c r="R2250" s="20"/>
    </row>
    <row r="2251" spans="1:18" ht="10.5" customHeight="1" x14ac:dyDescent="0.3">
      <c r="A2251" s="20"/>
      <c r="B2251" s="20"/>
      <c r="C2251" s="20"/>
      <c r="D2251" s="20"/>
      <c r="E2251" s="20"/>
      <c r="F2251" s="20"/>
      <c r="G2251" s="20"/>
      <c r="H2251" s="20"/>
      <c r="I2251" s="20"/>
      <c r="J2251" s="20"/>
      <c r="K2251" s="20"/>
      <c r="L2251" s="20"/>
      <c r="M2251" s="20"/>
      <c r="N2251" s="20"/>
      <c r="O2251" s="20"/>
      <c r="P2251" s="20"/>
      <c r="Q2251" s="20"/>
      <c r="R2251" s="20"/>
    </row>
    <row r="2252" spans="1:18" ht="10.5" customHeight="1" x14ac:dyDescent="0.3">
      <c r="A2252" s="20"/>
      <c r="B2252" s="20"/>
      <c r="C2252" s="20"/>
      <c r="D2252" s="20"/>
      <c r="E2252" s="20"/>
      <c r="F2252" s="20"/>
      <c r="G2252" s="20"/>
      <c r="H2252" s="20"/>
      <c r="I2252" s="20"/>
      <c r="J2252" s="20"/>
      <c r="K2252" s="20"/>
      <c r="L2252" s="20"/>
      <c r="M2252" s="20"/>
      <c r="N2252" s="20"/>
      <c r="O2252" s="20"/>
      <c r="P2252" s="20"/>
      <c r="Q2252" s="20"/>
      <c r="R2252" s="20"/>
    </row>
    <row r="2253" spans="1:18" ht="10.5" customHeight="1" x14ac:dyDescent="0.3">
      <c r="A2253" s="20"/>
      <c r="B2253" s="20"/>
      <c r="C2253" s="20"/>
      <c r="D2253" s="20"/>
      <c r="E2253" s="20"/>
      <c r="F2253" s="20"/>
      <c r="G2253" s="20"/>
      <c r="H2253" s="20"/>
      <c r="I2253" s="20"/>
      <c r="J2253" s="20"/>
      <c r="K2253" s="20"/>
      <c r="L2253" s="20"/>
      <c r="M2253" s="20"/>
      <c r="N2253" s="20"/>
      <c r="O2253" s="20"/>
      <c r="P2253" s="20"/>
      <c r="Q2253" s="20"/>
      <c r="R2253" s="20"/>
    </row>
    <row r="2254" spans="1:18" ht="10.5" customHeight="1" x14ac:dyDescent="0.3">
      <c r="A2254" s="20"/>
      <c r="B2254" s="20"/>
      <c r="C2254" s="20"/>
      <c r="D2254" s="20"/>
      <c r="E2254" s="20"/>
      <c r="F2254" s="20"/>
      <c r="G2254" s="20"/>
      <c r="H2254" s="20"/>
      <c r="I2254" s="20"/>
      <c r="J2254" s="20"/>
      <c r="K2254" s="20"/>
      <c r="L2254" s="20"/>
      <c r="M2254" s="20"/>
      <c r="N2254" s="20"/>
      <c r="O2254" s="20"/>
      <c r="P2254" s="20"/>
      <c r="Q2254" s="20"/>
      <c r="R2254" s="20"/>
    </row>
    <row r="2255" spans="1:18" ht="10.5" customHeight="1" x14ac:dyDescent="0.3">
      <c r="A2255" s="20"/>
      <c r="B2255" s="20"/>
      <c r="C2255" s="20"/>
      <c r="D2255" s="20"/>
      <c r="E2255" s="20"/>
      <c r="F2255" s="20"/>
      <c r="G2255" s="20"/>
      <c r="H2255" s="20"/>
      <c r="I2255" s="20"/>
      <c r="J2255" s="20"/>
      <c r="K2255" s="20"/>
      <c r="L2255" s="20"/>
      <c r="M2255" s="20"/>
      <c r="N2255" s="20"/>
      <c r="O2255" s="20"/>
      <c r="P2255" s="20"/>
      <c r="Q2255" s="20"/>
      <c r="R2255" s="20"/>
    </row>
    <row r="2256" spans="1:18" ht="10.5" customHeight="1" x14ac:dyDescent="0.3">
      <c r="A2256" s="20"/>
      <c r="B2256" s="20"/>
      <c r="C2256" s="20"/>
      <c r="D2256" s="20"/>
      <c r="E2256" s="20"/>
      <c r="F2256" s="20"/>
      <c r="G2256" s="20"/>
      <c r="H2256" s="20"/>
      <c r="I2256" s="20"/>
      <c r="J2256" s="20"/>
      <c r="K2256" s="20"/>
      <c r="L2256" s="20"/>
      <c r="M2256" s="20"/>
      <c r="N2256" s="20"/>
      <c r="O2256" s="20"/>
      <c r="P2256" s="20"/>
      <c r="Q2256" s="20"/>
      <c r="R2256" s="20"/>
    </row>
    <row r="2257" spans="1:18" ht="10.5" customHeight="1" x14ac:dyDescent="0.3">
      <c r="A2257" s="20"/>
      <c r="B2257" s="20"/>
      <c r="C2257" s="20"/>
      <c r="D2257" s="20"/>
      <c r="E2257" s="20"/>
      <c r="F2257" s="20"/>
      <c r="G2257" s="20"/>
      <c r="H2257" s="20"/>
      <c r="I2257" s="20"/>
      <c r="J2257" s="20"/>
      <c r="K2257" s="20"/>
      <c r="L2257" s="20"/>
      <c r="M2257" s="20"/>
      <c r="N2257" s="20"/>
      <c r="O2257" s="20"/>
      <c r="P2257" s="20"/>
      <c r="Q2257" s="20"/>
      <c r="R2257" s="20"/>
    </row>
    <row r="2258" spans="1:18" ht="10.5" customHeight="1" x14ac:dyDescent="0.3">
      <c r="A2258" s="20"/>
      <c r="B2258" s="20"/>
      <c r="C2258" s="20"/>
      <c r="D2258" s="20"/>
      <c r="E2258" s="20"/>
      <c r="F2258" s="20"/>
      <c r="G2258" s="20"/>
      <c r="H2258" s="20"/>
      <c r="I2258" s="20"/>
      <c r="J2258" s="20"/>
      <c r="K2258" s="20"/>
      <c r="L2258" s="20"/>
      <c r="M2258" s="20"/>
      <c r="N2258" s="20"/>
      <c r="O2258" s="20"/>
      <c r="P2258" s="20"/>
      <c r="Q2258" s="20"/>
      <c r="R2258" s="20"/>
    </row>
    <row r="2259" spans="1:18" ht="10.5" customHeight="1" x14ac:dyDescent="0.3">
      <c r="A2259" s="20"/>
      <c r="B2259" s="20"/>
      <c r="C2259" s="20"/>
      <c r="D2259" s="20"/>
      <c r="E2259" s="20"/>
      <c r="F2259" s="20"/>
      <c r="G2259" s="20"/>
      <c r="H2259" s="20"/>
      <c r="I2259" s="20"/>
      <c r="J2259" s="20"/>
      <c r="K2259" s="20"/>
      <c r="L2259" s="20"/>
      <c r="M2259" s="20"/>
      <c r="N2259" s="20"/>
      <c r="O2259" s="20"/>
      <c r="P2259" s="20"/>
      <c r="Q2259" s="20"/>
      <c r="R2259" s="20"/>
    </row>
    <row r="2260" spans="1:18" ht="10.5" customHeight="1" x14ac:dyDescent="0.3">
      <c r="A2260" s="20"/>
      <c r="B2260" s="20"/>
      <c r="C2260" s="20"/>
      <c r="D2260" s="20"/>
      <c r="E2260" s="20"/>
      <c r="F2260" s="20"/>
      <c r="G2260" s="20"/>
      <c r="H2260" s="20"/>
      <c r="I2260" s="20"/>
      <c r="J2260" s="20"/>
      <c r="K2260" s="20"/>
      <c r="L2260" s="20"/>
      <c r="M2260" s="20"/>
      <c r="N2260" s="20"/>
      <c r="O2260" s="20"/>
      <c r="P2260" s="20"/>
      <c r="Q2260" s="20"/>
      <c r="R2260" s="20"/>
    </row>
  </sheetData>
  <sheetProtection selectLockedCells="1" selectUnlockedCells="1"/>
  <mergeCells count="1117">
    <mergeCell ref="J2236:N2236"/>
    <mergeCell ref="A2234:A2235"/>
    <mergeCell ref="B2234:D2235"/>
    <mergeCell ref="E2234:E2235"/>
    <mergeCell ref="J2234:J2235"/>
    <mergeCell ref="K2234:M2235"/>
    <mergeCell ref="N2234:N2235"/>
    <mergeCell ref="J2210:J2211"/>
    <mergeCell ref="K2210:M2211"/>
    <mergeCell ref="N2210:N2211"/>
    <mergeCell ref="A2214:A2215"/>
    <mergeCell ref="B2214:D2215"/>
    <mergeCell ref="E2214:E2215"/>
    <mergeCell ref="J2197:J2198"/>
    <mergeCell ref="K2197:M2198"/>
    <mergeCell ref="N2197:N2198"/>
    <mergeCell ref="A2202:A2203"/>
    <mergeCell ref="B2202:D2203"/>
    <mergeCell ref="E2202:E2203"/>
    <mergeCell ref="A2193:A2194"/>
    <mergeCell ref="B2193:D2194"/>
    <mergeCell ref="E2193:E2194"/>
    <mergeCell ref="J2193:J2194"/>
    <mergeCell ref="K2193:M2194"/>
    <mergeCell ref="N2193:N2194"/>
    <mergeCell ref="N2168:N2169"/>
    <mergeCell ref="J2179:J2180"/>
    <mergeCell ref="K2179:M2180"/>
    <mergeCell ref="N2179:N2180"/>
    <mergeCell ref="A2184:A2185"/>
    <mergeCell ref="B2184:D2185"/>
    <mergeCell ref="E2184:E2185"/>
    <mergeCell ref="C2161:D2161"/>
    <mergeCell ref="A2168:A2169"/>
    <mergeCell ref="B2168:D2169"/>
    <mergeCell ref="E2168:E2169"/>
    <mergeCell ref="J2168:J2169"/>
    <mergeCell ref="K2168:M2169"/>
    <mergeCell ref="C2158:D2158"/>
    <mergeCell ref="L2158:M2158"/>
    <mergeCell ref="C2159:D2159"/>
    <mergeCell ref="L2159:M2159"/>
    <mergeCell ref="C2160:D2160"/>
    <mergeCell ref="L2160:M2160"/>
    <mergeCell ref="A2155:A2156"/>
    <mergeCell ref="B2155:D2156"/>
    <mergeCell ref="E2155:E2156"/>
    <mergeCell ref="L2155:M2155"/>
    <mergeCell ref="L2156:M2156"/>
    <mergeCell ref="C2157:D2157"/>
    <mergeCell ref="L2157:M2157"/>
    <mergeCell ref="J2150:J2151"/>
    <mergeCell ref="K2150:M2151"/>
    <mergeCell ref="N2150:N2151"/>
    <mergeCell ref="L2152:M2152"/>
    <mergeCell ref="L2153:M2153"/>
    <mergeCell ref="L2154:M2154"/>
    <mergeCell ref="J2137:J2138"/>
    <mergeCell ref="K2137:M2138"/>
    <mergeCell ref="N2137:N2138"/>
    <mergeCell ref="A2142:A2143"/>
    <mergeCell ref="B2142:D2143"/>
    <mergeCell ref="E2142:E2143"/>
    <mergeCell ref="A2135:R2135"/>
    <mergeCell ref="K2131:M2131"/>
    <mergeCell ref="K2132:M2132"/>
    <mergeCell ref="K2133:M2133"/>
    <mergeCell ref="K2119:M2119"/>
    <mergeCell ref="K2120:M2120"/>
    <mergeCell ref="A2127:R2127"/>
    <mergeCell ref="E2129:I2130"/>
    <mergeCell ref="J2129:J2130"/>
    <mergeCell ref="K2129:M2130"/>
    <mergeCell ref="N2129:N2130"/>
    <mergeCell ref="K2113:M2113"/>
    <mergeCell ref="K2114:M2114"/>
    <mergeCell ref="K2115:M2115"/>
    <mergeCell ref="K2116:M2116"/>
    <mergeCell ref="K2117:M2117"/>
    <mergeCell ref="K2118:M2118"/>
    <mergeCell ref="K2098:M2098"/>
    <mergeCell ref="K2099:M2099"/>
    <mergeCell ref="J2101:J2102"/>
    <mergeCell ref="K2101:M2102"/>
    <mergeCell ref="N2101:N2102"/>
    <mergeCell ref="J2111:J2112"/>
    <mergeCell ref="K2111:M2112"/>
    <mergeCell ref="N2111:N2112"/>
    <mergeCell ref="K2092:M2092"/>
    <mergeCell ref="K2093:M2093"/>
    <mergeCell ref="J2095:J2096"/>
    <mergeCell ref="K2095:M2096"/>
    <mergeCell ref="N2095:N2096"/>
    <mergeCell ref="K2097:M2097"/>
    <mergeCell ref="K2087:M2087"/>
    <mergeCell ref="B2088:D2088"/>
    <mergeCell ref="K2088:M2088"/>
    <mergeCell ref="J2090:J2091"/>
    <mergeCell ref="K2090:M2091"/>
    <mergeCell ref="N2090:N2091"/>
    <mergeCell ref="K2080:M2080"/>
    <mergeCell ref="K2082:M2082"/>
    <mergeCell ref="J2084:J2085"/>
    <mergeCell ref="K2084:M2085"/>
    <mergeCell ref="N2084:N2085"/>
    <mergeCell ref="K2086:M2086"/>
    <mergeCell ref="K2081:M2081"/>
    <mergeCell ref="J2075:J2076"/>
    <mergeCell ref="K2075:M2076"/>
    <mergeCell ref="N2075:N2076"/>
    <mergeCell ref="K2077:M2077"/>
    <mergeCell ref="K2078:M2078"/>
    <mergeCell ref="K2079:M2079"/>
    <mergeCell ref="J2069:J2070"/>
    <mergeCell ref="K2069:M2070"/>
    <mergeCell ref="N2069:N2070"/>
    <mergeCell ref="K2071:M2071"/>
    <mergeCell ref="K2072:M2072"/>
    <mergeCell ref="K2073:M2073"/>
    <mergeCell ref="J2063:J2064"/>
    <mergeCell ref="K2063:M2064"/>
    <mergeCell ref="N2063:N2064"/>
    <mergeCell ref="K2065:M2065"/>
    <mergeCell ref="K2066:M2066"/>
    <mergeCell ref="K2067:M2067"/>
    <mergeCell ref="K2056:M2056"/>
    <mergeCell ref="J2058:J2059"/>
    <mergeCell ref="K2058:M2059"/>
    <mergeCell ref="N2058:N2059"/>
    <mergeCell ref="K2060:M2060"/>
    <mergeCell ref="K2061:M2061"/>
    <mergeCell ref="K2047:M2047"/>
    <mergeCell ref="J2052:J2053"/>
    <mergeCell ref="K2052:M2053"/>
    <mergeCell ref="N2052:N2053"/>
    <mergeCell ref="K2054:M2054"/>
    <mergeCell ref="K2055:M2055"/>
    <mergeCell ref="J2042:J2043"/>
    <mergeCell ref="K2042:M2043"/>
    <mergeCell ref="N2042:N2043"/>
    <mergeCell ref="K2044:M2044"/>
    <mergeCell ref="K2045:M2045"/>
    <mergeCell ref="K2046:M2046"/>
    <mergeCell ref="N2034:N2035"/>
    <mergeCell ref="K2036:M2036"/>
    <mergeCell ref="K2037:M2037"/>
    <mergeCell ref="K2038:M2038"/>
    <mergeCell ref="K2039:M2039"/>
    <mergeCell ref="K2040:M2040"/>
    <mergeCell ref="B2031:D2031"/>
    <mergeCell ref="K2031:M2031"/>
    <mergeCell ref="B2032:D2032"/>
    <mergeCell ref="K2032:M2032"/>
    <mergeCell ref="J2034:J2035"/>
    <mergeCell ref="K2034:M2035"/>
    <mergeCell ref="B2028:D2028"/>
    <mergeCell ref="K2028:M2028"/>
    <mergeCell ref="B2029:D2029"/>
    <mergeCell ref="K2029:M2029"/>
    <mergeCell ref="B2030:D2030"/>
    <mergeCell ref="K2030:M2030"/>
    <mergeCell ref="B2025:D2025"/>
    <mergeCell ref="K2025:M2025"/>
    <mergeCell ref="B2026:D2026"/>
    <mergeCell ref="K2026:M2026"/>
    <mergeCell ref="B2027:D2027"/>
    <mergeCell ref="K2027:M2027"/>
    <mergeCell ref="B2022:D2022"/>
    <mergeCell ref="K2022:M2022"/>
    <mergeCell ref="B2023:D2023"/>
    <mergeCell ref="K2023:M2023"/>
    <mergeCell ref="B2024:D2024"/>
    <mergeCell ref="K2024:M2024"/>
    <mergeCell ref="N2014:N2015"/>
    <mergeCell ref="K2016:M2016"/>
    <mergeCell ref="K2017:M2017"/>
    <mergeCell ref="K2018:M2018"/>
    <mergeCell ref="K2019:M2019"/>
    <mergeCell ref="A2020:A2021"/>
    <mergeCell ref="B2020:D2021"/>
    <mergeCell ref="E2020:E2021"/>
    <mergeCell ref="K2020:M2020"/>
    <mergeCell ref="K2021:M2021"/>
    <mergeCell ref="K2009:M2009"/>
    <mergeCell ref="K2010:M2010"/>
    <mergeCell ref="K2011:M2011"/>
    <mergeCell ref="K2012:M2012"/>
    <mergeCell ref="J2014:J2015"/>
    <mergeCell ref="K2014:M2015"/>
    <mergeCell ref="K2003:M2003"/>
    <mergeCell ref="K2004:M2004"/>
    <mergeCell ref="K2005:M2005"/>
    <mergeCell ref="J2007:J2008"/>
    <mergeCell ref="K2007:M2008"/>
    <mergeCell ref="N2007:N2008"/>
    <mergeCell ref="N1994:N1995"/>
    <mergeCell ref="K1996:M1996"/>
    <mergeCell ref="K1997:M1997"/>
    <mergeCell ref="K1998:M1998"/>
    <mergeCell ref="K1999:M1999"/>
    <mergeCell ref="J2001:J2002"/>
    <mergeCell ref="K2001:M2002"/>
    <mergeCell ref="N2001:N2002"/>
    <mergeCell ref="K1989:M1989"/>
    <mergeCell ref="K1990:M1990"/>
    <mergeCell ref="K1991:M1991"/>
    <mergeCell ref="K1992:M1992"/>
    <mergeCell ref="J1994:J1995"/>
    <mergeCell ref="K1994:M1995"/>
    <mergeCell ref="K1984:M1984"/>
    <mergeCell ref="B1985:D1985"/>
    <mergeCell ref="K1985:M1985"/>
    <mergeCell ref="J1987:J1988"/>
    <mergeCell ref="K1987:M1988"/>
    <mergeCell ref="N1987:N1988"/>
    <mergeCell ref="B1979:D1979"/>
    <mergeCell ref="K1979:M1979"/>
    <mergeCell ref="J1981:J1982"/>
    <mergeCell ref="K1981:M1982"/>
    <mergeCell ref="N1981:N1982"/>
    <mergeCell ref="K1983:M1983"/>
    <mergeCell ref="K1974:M1974"/>
    <mergeCell ref="K1975:M1975"/>
    <mergeCell ref="K1976:M1976"/>
    <mergeCell ref="K1977:M1977"/>
    <mergeCell ref="B1978:D1978"/>
    <mergeCell ref="K1978:M1978"/>
    <mergeCell ref="N1965:N1966"/>
    <mergeCell ref="K1967:M1967"/>
    <mergeCell ref="K1968:M1968"/>
    <mergeCell ref="K1969:M1969"/>
    <mergeCell ref="K1970:M1970"/>
    <mergeCell ref="J1972:J1973"/>
    <mergeCell ref="K1972:M1973"/>
    <mergeCell ref="N1972:N1973"/>
    <mergeCell ref="B1962:D1962"/>
    <mergeCell ref="K1962:M1962"/>
    <mergeCell ref="B1963:D1963"/>
    <mergeCell ref="K1963:M1963"/>
    <mergeCell ref="J1965:J1966"/>
    <mergeCell ref="K1965:M1966"/>
    <mergeCell ref="K1958:M1958"/>
    <mergeCell ref="K1959:M1959"/>
    <mergeCell ref="A1960:A1961"/>
    <mergeCell ref="B1960:D1961"/>
    <mergeCell ref="E1960:E1961"/>
    <mergeCell ref="K1960:M1960"/>
    <mergeCell ref="K1961:M1961"/>
    <mergeCell ref="K1952:M1952"/>
    <mergeCell ref="J1954:J1955"/>
    <mergeCell ref="K1954:M1955"/>
    <mergeCell ref="N1954:N1955"/>
    <mergeCell ref="K1956:M1956"/>
    <mergeCell ref="K1957:M1957"/>
    <mergeCell ref="B1947:D1947"/>
    <mergeCell ref="K1947:M1947"/>
    <mergeCell ref="J1949:J1950"/>
    <mergeCell ref="K1949:M1950"/>
    <mergeCell ref="N1949:N1950"/>
    <mergeCell ref="K1951:M1951"/>
    <mergeCell ref="B1944:D1944"/>
    <mergeCell ref="K1944:M1944"/>
    <mergeCell ref="B1945:D1945"/>
    <mergeCell ref="K1945:M1945"/>
    <mergeCell ref="B1946:D1946"/>
    <mergeCell ref="K1946:M1946"/>
    <mergeCell ref="K1939:M1939"/>
    <mergeCell ref="K1940:M1940"/>
    <mergeCell ref="K1941:M1941"/>
    <mergeCell ref="A1942:A1943"/>
    <mergeCell ref="B1942:D1943"/>
    <mergeCell ref="E1942:E1943"/>
    <mergeCell ref="K1942:M1942"/>
    <mergeCell ref="K1943:M1943"/>
    <mergeCell ref="B1934:D1934"/>
    <mergeCell ref="K1934:M1934"/>
    <mergeCell ref="J1936:J1937"/>
    <mergeCell ref="K1936:M1937"/>
    <mergeCell ref="N1936:N1937"/>
    <mergeCell ref="K1938:M1938"/>
    <mergeCell ref="N1927:N1928"/>
    <mergeCell ref="K1929:M1929"/>
    <mergeCell ref="K1930:M1930"/>
    <mergeCell ref="K1931:M1931"/>
    <mergeCell ref="K1932:M1932"/>
    <mergeCell ref="B1933:D1933"/>
    <mergeCell ref="K1933:M1933"/>
    <mergeCell ref="B1924:D1924"/>
    <mergeCell ref="K1924:M1924"/>
    <mergeCell ref="B1925:D1925"/>
    <mergeCell ref="K1925:M1925"/>
    <mergeCell ref="J1927:J1928"/>
    <mergeCell ref="K1927:M1928"/>
    <mergeCell ref="B1921:D1921"/>
    <mergeCell ref="K1921:M1921"/>
    <mergeCell ref="B1922:D1922"/>
    <mergeCell ref="K1922:M1922"/>
    <mergeCell ref="B1923:D1923"/>
    <mergeCell ref="K1923:M1923"/>
    <mergeCell ref="B1918:D1918"/>
    <mergeCell ref="K1918:M1918"/>
    <mergeCell ref="B1919:D1919"/>
    <mergeCell ref="K1919:M1919"/>
    <mergeCell ref="B1920:D1920"/>
    <mergeCell ref="K1920:M1920"/>
    <mergeCell ref="K1912:M1912"/>
    <mergeCell ref="K1913:M1913"/>
    <mergeCell ref="K1914:M1914"/>
    <mergeCell ref="K1915:M1915"/>
    <mergeCell ref="A1916:A1917"/>
    <mergeCell ref="B1916:D1917"/>
    <mergeCell ref="E1916:E1917"/>
    <mergeCell ref="K1916:M1916"/>
    <mergeCell ref="K1917:M1917"/>
    <mergeCell ref="K1903:M1903"/>
    <mergeCell ref="J1905:J1906"/>
    <mergeCell ref="K1905:M1906"/>
    <mergeCell ref="N1905:N1906"/>
    <mergeCell ref="K1907:M1907"/>
    <mergeCell ref="J1910:J1911"/>
    <mergeCell ref="K1910:M1911"/>
    <mergeCell ref="N1910:N1911"/>
    <mergeCell ref="K1899:M1899"/>
    <mergeCell ref="B1900:D1900"/>
    <mergeCell ref="K1900:M1900"/>
    <mergeCell ref="B1901:D1901"/>
    <mergeCell ref="K1901:M1901"/>
    <mergeCell ref="K1902:M1902"/>
    <mergeCell ref="J1894:J1895"/>
    <mergeCell ref="K1894:M1895"/>
    <mergeCell ref="N1894:N1895"/>
    <mergeCell ref="K1896:M1896"/>
    <mergeCell ref="K1897:M1897"/>
    <mergeCell ref="K1898:M1898"/>
    <mergeCell ref="K1888:M1888"/>
    <mergeCell ref="K1889:M1889"/>
    <mergeCell ref="K1890:M1890"/>
    <mergeCell ref="K1891:M1891"/>
    <mergeCell ref="B1892:D1892"/>
    <mergeCell ref="K1892:M1892"/>
    <mergeCell ref="N1880:N1881"/>
    <mergeCell ref="K1882:M1882"/>
    <mergeCell ref="K1883:M1883"/>
    <mergeCell ref="B1884:D1884"/>
    <mergeCell ref="K1884:M1884"/>
    <mergeCell ref="J1886:J1887"/>
    <mergeCell ref="K1886:M1887"/>
    <mergeCell ref="N1886:N1887"/>
    <mergeCell ref="B1877:D1877"/>
    <mergeCell ref="K1877:M1877"/>
    <mergeCell ref="B1878:D1878"/>
    <mergeCell ref="K1878:M1878"/>
    <mergeCell ref="J1880:J1881"/>
    <mergeCell ref="K1880:M1881"/>
    <mergeCell ref="N1869:N1870"/>
    <mergeCell ref="K1871:M1871"/>
    <mergeCell ref="K1872:M1872"/>
    <mergeCell ref="K1873:M1873"/>
    <mergeCell ref="K1874:M1874"/>
    <mergeCell ref="A1875:A1876"/>
    <mergeCell ref="B1875:D1876"/>
    <mergeCell ref="E1875:E1876"/>
    <mergeCell ref="K1875:M1875"/>
    <mergeCell ref="K1876:M1876"/>
    <mergeCell ref="B1866:D1866"/>
    <mergeCell ref="K1866:M1866"/>
    <mergeCell ref="B1867:D1867"/>
    <mergeCell ref="K1867:M1867"/>
    <mergeCell ref="J1869:J1870"/>
    <mergeCell ref="K1869:M1870"/>
    <mergeCell ref="B1863:D1863"/>
    <mergeCell ref="K1863:M1863"/>
    <mergeCell ref="B1864:D1864"/>
    <mergeCell ref="K1864:M1864"/>
    <mergeCell ref="B1865:D1865"/>
    <mergeCell ref="K1865:M1865"/>
    <mergeCell ref="B1860:D1860"/>
    <mergeCell ref="K1860:M1860"/>
    <mergeCell ref="B1861:D1861"/>
    <mergeCell ref="K1861:M1861"/>
    <mergeCell ref="B1862:D1862"/>
    <mergeCell ref="K1862:M1862"/>
    <mergeCell ref="B1857:D1857"/>
    <mergeCell ref="K1857:M1857"/>
    <mergeCell ref="B1858:D1858"/>
    <mergeCell ref="K1858:M1858"/>
    <mergeCell ref="B1859:D1859"/>
    <mergeCell ref="K1859:M1859"/>
    <mergeCell ref="B1854:D1854"/>
    <mergeCell ref="K1854:M1854"/>
    <mergeCell ref="B1855:D1855"/>
    <mergeCell ref="K1855:M1855"/>
    <mergeCell ref="B1856:D1856"/>
    <mergeCell ref="K1856:M1856"/>
    <mergeCell ref="B1851:D1851"/>
    <mergeCell ref="K1851:M1851"/>
    <mergeCell ref="B1852:D1852"/>
    <mergeCell ref="K1852:M1852"/>
    <mergeCell ref="B1853:D1853"/>
    <mergeCell ref="K1853:M1853"/>
    <mergeCell ref="K1845:M1845"/>
    <mergeCell ref="K1846:M1846"/>
    <mergeCell ref="K1847:M1847"/>
    <mergeCell ref="K1848:M1848"/>
    <mergeCell ref="A1849:A1850"/>
    <mergeCell ref="B1849:D1850"/>
    <mergeCell ref="E1849:E1850"/>
    <mergeCell ref="K1849:M1849"/>
    <mergeCell ref="K1850:M1850"/>
    <mergeCell ref="A1826:A1827"/>
    <mergeCell ref="B1826:D1827"/>
    <mergeCell ref="E1826:E1827"/>
    <mergeCell ref="A1841:R1841"/>
    <mergeCell ref="J1843:J1844"/>
    <mergeCell ref="K1843:M1844"/>
    <mergeCell ref="N1843:N1844"/>
    <mergeCell ref="J1811:J1812"/>
    <mergeCell ref="K1811:M1812"/>
    <mergeCell ref="N1811:N1812"/>
    <mergeCell ref="J1819:J1820"/>
    <mergeCell ref="K1819:M1820"/>
    <mergeCell ref="N1819:N1820"/>
    <mergeCell ref="A1801:A1802"/>
    <mergeCell ref="B1801:D1802"/>
    <mergeCell ref="E1801:E1802"/>
    <mergeCell ref="J1801:J1802"/>
    <mergeCell ref="K1801:M1802"/>
    <mergeCell ref="N1801:N1802"/>
    <mergeCell ref="J1788:J1789"/>
    <mergeCell ref="K1788:M1789"/>
    <mergeCell ref="N1788:N1789"/>
    <mergeCell ref="J1781:J1782"/>
    <mergeCell ref="K1781:M1782"/>
    <mergeCell ref="N1781:N1782"/>
    <mergeCell ref="J1770:J1771"/>
    <mergeCell ref="K1770:M1771"/>
    <mergeCell ref="N1770:N1771"/>
    <mergeCell ref="A1776:A1777"/>
    <mergeCell ref="B1776:D1777"/>
    <mergeCell ref="E1776:E1777"/>
    <mergeCell ref="J1750:J1751"/>
    <mergeCell ref="K1750:M1751"/>
    <mergeCell ref="N1750:N1751"/>
    <mergeCell ref="A1765:A1766"/>
    <mergeCell ref="B1765:D1766"/>
    <mergeCell ref="E1765:E1766"/>
    <mergeCell ref="J1765:J1766"/>
    <mergeCell ref="K1765:M1766"/>
    <mergeCell ref="N1765:N1766"/>
    <mergeCell ref="A1741:A1742"/>
    <mergeCell ref="B1741:D1742"/>
    <mergeCell ref="E1741:E1742"/>
    <mergeCell ref="J1741:J1742"/>
    <mergeCell ref="K1741:M1742"/>
    <mergeCell ref="N1741:N1742"/>
    <mergeCell ref="A1725:A1726"/>
    <mergeCell ref="B1725:D1726"/>
    <mergeCell ref="E1725:E1726"/>
    <mergeCell ref="J1725:J1726"/>
    <mergeCell ref="K1725:M1726"/>
    <mergeCell ref="N1725:N1726"/>
    <mergeCell ref="A1707:A1708"/>
    <mergeCell ref="B1707:D1708"/>
    <mergeCell ref="E1707:E1708"/>
    <mergeCell ref="J1707:J1708"/>
    <mergeCell ref="K1707:M1708"/>
    <mergeCell ref="N1707:N1708"/>
    <mergeCell ref="A1694:A1695"/>
    <mergeCell ref="B1694:D1695"/>
    <mergeCell ref="E1694:E1695"/>
    <mergeCell ref="J1694:J1695"/>
    <mergeCell ref="K1694:M1695"/>
    <mergeCell ref="N1694:N1695"/>
    <mergeCell ref="A1679:A1680"/>
    <mergeCell ref="B1679:D1680"/>
    <mergeCell ref="E1679:E1680"/>
    <mergeCell ref="J1679:J1680"/>
    <mergeCell ref="K1679:M1680"/>
    <mergeCell ref="N1679:N1680"/>
    <mergeCell ref="A1665:A1666"/>
    <mergeCell ref="B1665:D1666"/>
    <mergeCell ref="E1665:E1666"/>
    <mergeCell ref="J1665:J1666"/>
    <mergeCell ref="K1665:M1666"/>
    <mergeCell ref="N1665:N1666"/>
    <mergeCell ref="A1650:A1651"/>
    <mergeCell ref="B1650:D1651"/>
    <mergeCell ref="E1650:E1651"/>
    <mergeCell ref="J1650:J1651"/>
    <mergeCell ref="K1650:M1651"/>
    <mergeCell ref="N1650:N1651"/>
    <mergeCell ref="A1627:A1628"/>
    <mergeCell ref="B1627:D1628"/>
    <mergeCell ref="E1627:E1628"/>
    <mergeCell ref="J1627:J1628"/>
    <mergeCell ref="K1627:M1628"/>
    <mergeCell ref="N1627:N1628"/>
    <mergeCell ref="A1613:A1614"/>
    <mergeCell ref="B1613:D1614"/>
    <mergeCell ref="E1613:E1614"/>
    <mergeCell ref="J1613:J1614"/>
    <mergeCell ref="K1613:M1614"/>
    <mergeCell ref="N1613:N1614"/>
    <mergeCell ref="A1596:A1597"/>
    <mergeCell ref="B1596:D1597"/>
    <mergeCell ref="E1596:E1597"/>
    <mergeCell ref="J1596:J1597"/>
    <mergeCell ref="K1596:M1597"/>
    <mergeCell ref="N1596:N1597"/>
    <mergeCell ref="A1576:A1577"/>
    <mergeCell ref="B1576:D1577"/>
    <mergeCell ref="E1576:E1577"/>
    <mergeCell ref="J1576:J1577"/>
    <mergeCell ref="K1576:M1577"/>
    <mergeCell ref="N1576:N1577"/>
    <mergeCell ref="J1537:J1538"/>
    <mergeCell ref="K1537:M1538"/>
    <mergeCell ref="N1537:N1538"/>
    <mergeCell ref="A1543:R1543"/>
    <mergeCell ref="A1549:A1550"/>
    <mergeCell ref="B1549:D1550"/>
    <mergeCell ref="E1549:E1550"/>
    <mergeCell ref="J1549:J1550"/>
    <mergeCell ref="K1549:M1550"/>
    <mergeCell ref="N1549:N1550"/>
    <mergeCell ref="J1515:J1516"/>
    <mergeCell ref="K1515:M1516"/>
    <mergeCell ref="N1515:N1516"/>
    <mergeCell ref="J1527:J1528"/>
    <mergeCell ref="K1527:M1528"/>
    <mergeCell ref="N1527:N1528"/>
    <mergeCell ref="A1502:A1503"/>
    <mergeCell ref="B1502:D1503"/>
    <mergeCell ref="E1502:E1503"/>
    <mergeCell ref="J1502:J1503"/>
    <mergeCell ref="K1502:M1503"/>
    <mergeCell ref="N1502:N1503"/>
    <mergeCell ref="A1475:A1476"/>
    <mergeCell ref="B1475:D1476"/>
    <mergeCell ref="E1475:E1476"/>
    <mergeCell ref="J1475:J1476"/>
    <mergeCell ref="K1475:M1476"/>
    <mergeCell ref="N1475:N1476"/>
    <mergeCell ref="J1438:J1439"/>
    <mergeCell ref="K1438:M1439"/>
    <mergeCell ref="N1438:N1439"/>
    <mergeCell ref="A1447:R1447"/>
    <mergeCell ref="A1455:A1456"/>
    <mergeCell ref="B1455:D1456"/>
    <mergeCell ref="E1455:E1456"/>
    <mergeCell ref="J1455:J1456"/>
    <mergeCell ref="K1455:M1456"/>
    <mergeCell ref="N1455:N1456"/>
    <mergeCell ref="A1428:A1429"/>
    <mergeCell ref="B1428:D1429"/>
    <mergeCell ref="E1428:E1429"/>
    <mergeCell ref="J1428:J1429"/>
    <mergeCell ref="K1428:M1429"/>
    <mergeCell ref="N1428:N1429"/>
    <mergeCell ref="A1401:A1402"/>
    <mergeCell ref="B1401:D1402"/>
    <mergeCell ref="E1401:E1402"/>
    <mergeCell ref="J1401:J1402"/>
    <mergeCell ref="K1401:M1402"/>
    <mergeCell ref="N1401:N1402"/>
    <mergeCell ref="J1374:J1375"/>
    <mergeCell ref="K1374:M1375"/>
    <mergeCell ref="N1374:N1375"/>
    <mergeCell ref="J1386:J1387"/>
    <mergeCell ref="K1386:M1387"/>
    <mergeCell ref="N1386:N1387"/>
    <mergeCell ref="A1348:R1348"/>
    <mergeCell ref="A1357:A1358"/>
    <mergeCell ref="B1357:D1358"/>
    <mergeCell ref="E1357:E1358"/>
    <mergeCell ref="J1357:J1358"/>
    <mergeCell ref="K1357:M1358"/>
    <mergeCell ref="N1357:N1358"/>
    <mergeCell ref="J1325:J1326"/>
    <mergeCell ref="K1325:M1326"/>
    <mergeCell ref="N1325:N1326"/>
    <mergeCell ref="A1336:A1337"/>
    <mergeCell ref="B1336:D1337"/>
    <mergeCell ref="E1336:E1337"/>
    <mergeCell ref="J1336:J1337"/>
    <mergeCell ref="K1336:M1337"/>
    <mergeCell ref="N1336:N1337"/>
    <mergeCell ref="A1312:R1312"/>
    <mergeCell ref="J1314:J1315"/>
    <mergeCell ref="K1314:M1315"/>
    <mergeCell ref="N1314:N1315"/>
    <mergeCell ref="A1318:A1319"/>
    <mergeCell ref="B1318:D1319"/>
    <mergeCell ref="E1318:E1319"/>
    <mergeCell ref="J1287:J1288"/>
    <mergeCell ref="K1287:M1288"/>
    <mergeCell ref="N1287:N1288"/>
    <mergeCell ref="A1293:A1294"/>
    <mergeCell ref="B1293:D1294"/>
    <mergeCell ref="E1293:E1294"/>
    <mergeCell ref="J1253:J1254"/>
    <mergeCell ref="K1253:M1254"/>
    <mergeCell ref="N1253:N1254"/>
    <mergeCell ref="A1259:A1260"/>
    <mergeCell ref="B1259:D1260"/>
    <mergeCell ref="E1259:E1260"/>
    <mergeCell ref="A1214:R1214"/>
    <mergeCell ref="J1216:J1217"/>
    <mergeCell ref="K1216:M1217"/>
    <mergeCell ref="N1216:N1217"/>
    <mergeCell ref="A1222:A1223"/>
    <mergeCell ref="B1222:D1223"/>
    <mergeCell ref="E1222:E1223"/>
    <mergeCell ref="J1185:J1186"/>
    <mergeCell ref="K1185:M1186"/>
    <mergeCell ref="N1185:N1186"/>
    <mergeCell ref="A1191:A1192"/>
    <mergeCell ref="B1191:D1192"/>
    <mergeCell ref="E1191:E1192"/>
    <mergeCell ref="J1146:J1147"/>
    <mergeCell ref="K1146:M1147"/>
    <mergeCell ref="N1146:N1147"/>
    <mergeCell ref="A1153:A1154"/>
    <mergeCell ref="B1153:D1154"/>
    <mergeCell ref="E1153:E1154"/>
    <mergeCell ref="J1116:J1117"/>
    <mergeCell ref="K1116:M1117"/>
    <mergeCell ref="N1116:N1117"/>
    <mergeCell ref="A1122:A1123"/>
    <mergeCell ref="B1122:D1123"/>
    <mergeCell ref="E1122:E1123"/>
    <mergeCell ref="A1065:R1065"/>
    <mergeCell ref="J1067:J1068"/>
    <mergeCell ref="K1067:M1068"/>
    <mergeCell ref="N1067:N1068"/>
    <mergeCell ref="A1073:A1074"/>
    <mergeCell ref="B1073:D1074"/>
    <mergeCell ref="E1073:E1074"/>
    <mergeCell ref="J1047:J1048"/>
    <mergeCell ref="K1047:M1048"/>
    <mergeCell ref="N1047:N1048"/>
    <mergeCell ref="A1053:R1053"/>
    <mergeCell ref="A1060:A1061"/>
    <mergeCell ref="B1060:D1061"/>
    <mergeCell ref="E1060:E1061"/>
    <mergeCell ref="J1060:J1061"/>
    <mergeCell ref="K1060:M1061"/>
    <mergeCell ref="N1060:N1061"/>
    <mergeCell ref="N1017:N1018"/>
    <mergeCell ref="A1026:R1026"/>
    <mergeCell ref="J1027:J1028"/>
    <mergeCell ref="K1027:M1028"/>
    <mergeCell ref="N1027:N1028"/>
    <mergeCell ref="A1032:A1033"/>
    <mergeCell ref="B1032:D1033"/>
    <mergeCell ref="E1032:E1033"/>
    <mergeCell ref="K996:M996"/>
    <mergeCell ref="K1000:M1000"/>
    <mergeCell ref="K1002:M1002"/>
    <mergeCell ref="K1003:M1003"/>
    <mergeCell ref="K1004:M1004"/>
    <mergeCell ref="J1017:J1018"/>
    <mergeCell ref="K1017:M1018"/>
    <mergeCell ref="K997:M997"/>
    <mergeCell ref="K998:M998"/>
    <mergeCell ref="K999:M999"/>
    <mergeCell ref="K1008:M1008"/>
    <mergeCell ref="K1009:M1009"/>
    <mergeCell ref="N985:N986"/>
    <mergeCell ref="K987:M987"/>
    <mergeCell ref="K988:M988"/>
    <mergeCell ref="K989:M989"/>
    <mergeCell ref="J994:J995"/>
    <mergeCell ref="K994:M995"/>
    <mergeCell ref="N994:N995"/>
    <mergeCell ref="B980:D980"/>
    <mergeCell ref="B981:D981"/>
    <mergeCell ref="B982:D982"/>
    <mergeCell ref="B983:D983"/>
    <mergeCell ref="J985:J986"/>
    <mergeCell ref="K985:M986"/>
    <mergeCell ref="B977:D977"/>
    <mergeCell ref="K977:M977"/>
    <mergeCell ref="B978:D978"/>
    <mergeCell ref="K978:M978"/>
    <mergeCell ref="B979:D979"/>
    <mergeCell ref="K979:M979"/>
    <mergeCell ref="B974:D974"/>
    <mergeCell ref="K974:M974"/>
    <mergeCell ref="B975:D975"/>
    <mergeCell ref="K975:M975"/>
    <mergeCell ref="B976:D976"/>
    <mergeCell ref="K976:M976"/>
    <mergeCell ref="B971:D971"/>
    <mergeCell ref="K971:M971"/>
    <mergeCell ref="B972:D972"/>
    <mergeCell ref="K972:M972"/>
    <mergeCell ref="B973:D973"/>
    <mergeCell ref="K973:M973"/>
    <mergeCell ref="B968:D968"/>
    <mergeCell ref="K968:M968"/>
    <mergeCell ref="B969:D969"/>
    <mergeCell ref="K969:M969"/>
    <mergeCell ref="B970:D970"/>
    <mergeCell ref="K970:M970"/>
    <mergeCell ref="B965:D965"/>
    <mergeCell ref="K965:M965"/>
    <mergeCell ref="B966:D966"/>
    <mergeCell ref="K966:M966"/>
    <mergeCell ref="B967:D967"/>
    <mergeCell ref="K967:M967"/>
    <mergeCell ref="B962:D962"/>
    <mergeCell ref="K962:M962"/>
    <mergeCell ref="B963:D963"/>
    <mergeCell ref="K963:M963"/>
    <mergeCell ref="B964:D964"/>
    <mergeCell ref="K964:M964"/>
    <mergeCell ref="A960:A961"/>
    <mergeCell ref="B960:D961"/>
    <mergeCell ref="E960:E961"/>
    <mergeCell ref="J960:J961"/>
    <mergeCell ref="K960:M961"/>
    <mergeCell ref="N960:N961"/>
    <mergeCell ref="B947:D947"/>
    <mergeCell ref="K947:M947"/>
    <mergeCell ref="B948:D948"/>
    <mergeCell ref="K948:M948"/>
    <mergeCell ref="B949:D949"/>
    <mergeCell ref="K949:M949"/>
    <mergeCell ref="K942:M942"/>
    <mergeCell ref="K943:M943"/>
    <mergeCell ref="K944:M944"/>
    <mergeCell ref="A945:A946"/>
    <mergeCell ref="B945:D946"/>
    <mergeCell ref="E945:E946"/>
    <mergeCell ref="K945:M945"/>
    <mergeCell ref="K946:M946"/>
    <mergeCell ref="A936:R936"/>
    <mergeCell ref="J938:J939"/>
    <mergeCell ref="K938:M939"/>
    <mergeCell ref="N938:N939"/>
    <mergeCell ref="K940:M940"/>
    <mergeCell ref="K941:M941"/>
    <mergeCell ref="A918:A919"/>
    <mergeCell ref="B918:D919"/>
    <mergeCell ref="E918:E919"/>
    <mergeCell ref="J918:J919"/>
    <mergeCell ref="K918:M919"/>
    <mergeCell ref="N918:N919"/>
    <mergeCell ref="J899:J900"/>
    <mergeCell ref="K899:M900"/>
    <mergeCell ref="N899:N900"/>
    <mergeCell ref="A904:A905"/>
    <mergeCell ref="B904:D905"/>
    <mergeCell ref="E904:E905"/>
    <mergeCell ref="K891:M891"/>
    <mergeCell ref="K892:M892"/>
    <mergeCell ref="K893:M893"/>
    <mergeCell ref="K894:M894"/>
    <mergeCell ref="K895:M895"/>
    <mergeCell ref="A897:R897"/>
    <mergeCell ref="N872:N873"/>
    <mergeCell ref="A876:A877"/>
    <mergeCell ref="B876:D877"/>
    <mergeCell ref="E876:E877"/>
    <mergeCell ref="J889:J890"/>
    <mergeCell ref="K889:M890"/>
    <mergeCell ref="N889:N890"/>
    <mergeCell ref="B869:D869"/>
    <mergeCell ref="K869:M869"/>
    <mergeCell ref="B870:D870"/>
    <mergeCell ref="K870:M870"/>
    <mergeCell ref="J872:J873"/>
    <mergeCell ref="K872:M873"/>
    <mergeCell ref="B866:D866"/>
    <mergeCell ref="K866:M866"/>
    <mergeCell ref="B867:D867"/>
    <mergeCell ref="K867:M867"/>
    <mergeCell ref="B868:D868"/>
    <mergeCell ref="K868:M868"/>
    <mergeCell ref="B863:D863"/>
    <mergeCell ref="K863:M863"/>
    <mergeCell ref="B864:D864"/>
    <mergeCell ref="K864:M864"/>
    <mergeCell ref="B865:D865"/>
    <mergeCell ref="K865:M865"/>
    <mergeCell ref="A860:A861"/>
    <mergeCell ref="B860:D861"/>
    <mergeCell ref="E860:E861"/>
    <mergeCell ref="K860:M860"/>
    <mergeCell ref="K861:M861"/>
    <mergeCell ref="B862:D862"/>
    <mergeCell ref="K862:M862"/>
    <mergeCell ref="B854:D854"/>
    <mergeCell ref="J856:J857"/>
    <mergeCell ref="K856:M857"/>
    <mergeCell ref="N856:N857"/>
    <mergeCell ref="K858:M858"/>
    <mergeCell ref="K859:M859"/>
    <mergeCell ref="A851:A852"/>
    <mergeCell ref="B851:D852"/>
    <mergeCell ref="E851:E852"/>
    <mergeCell ref="K851:M851"/>
    <mergeCell ref="K852:M852"/>
    <mergeCell ref="B853:D853"/>
    <mergeCell ref="K853:M853"/>
    <mergeCell ref="J846:J847"/>
    <mergeCell ref="K846:M847"/>
    <mergeCell ref="N846:N847"/>
    <mergeCell ref="K848:M848"/>
    <mergeCell ref="K849:M849"/>
    <mergeCell ref="K850:M850"/>
    <mergeCell ref="B836:D836"/>
    <mergeCell ref="B837:D837"/>
    <mergeCell ref="B838:D838"/>
    <mergeCell ref="B839:D839"/>
    <mergeCell ref="B840:D840"/>
    <mergeCell ref="B841:D841"/>
    <mergeCell ref="B830:D830"/>
    <mergeCell ref="B831:D831"/>
    <mergeCell ref="B832:D832"/>
    <mergeCell ref="B833:D833"/>
    <mergeCell ref="B834:D834"/>
    <mergeCell ref="B835:D835"/>
    <mergeCell ref="B824:D824"/>
    <mergeCell ref="B825:D825"/>
    <mergeCell ref="B826:D826"/>
    <mergeCell ref="B827:D827"/>
    <mergeCell ref="B828:D828"/>
    <mergeCell ref="B829:D829"/>
    <mergeCell ref="B818:D818"/>
    <mergeCell ref="B819:D819"/>
    <mergeCell ref="B820:D820"/>
    <mergeCell ref="B821:D821"/>
    <mergeCell ref="B822:D822"/>
    <mergeCell ref="B823:D823"/>
    <mergeCell ref="A816:A817"/>
    <mergeCell ref="B816:D817"/>
    <mergeCell ref="E816:E817"/>
    <mergeCell ref="J816:J817"/>
    <mergeCell ref="K816:M817"/>
    <mergeCell ref="N816:N817"/>
    <mergeCell ref="A796:A797"/>
    <mergeCell ref="B796:D797"/>
    <mergeCell ref="E796:E797"/>
    <mergeCell ref="J796:J797"/>
    <mergeCell ref="K796:M797"/>
    <mergeCell ref="N796:N797"/>
    <mergeCell ref="A780:A781"/>
    <mergeCell ref="B780:D781"/>
    <mergeCell ref="E780:E781"/>
    <mergeCell ref="J780:J781"/>
    <mergeCell ref="K780:M781"/>
    <mergeCell ref="N780:N781"/>
    <mergeCell ref="B770:D770"/>
    <mergeCell ref="K770:M770"/>
    <mergeCell ref="B771:D771"/>
    <mergeCell ref="K771:M771"/>
    <mergeCell ref="B772:D772"/>
    <mergeCell ref="B773:D773"/>
    <mergeCell ref="A768:A769"/>
    <mergeCell ref="B768:D769"/>
    <mergeCell ref="E768:E769"/>
    <mergeCell ref="J768:J769"/>
    <mergeCell ref="K768:M769"/>
    <mergeCell ref="N768:N769"/>
    <mergeCell ref="A752:R752"/>
    <mergeCell ref="J754:J755"/>
    <mergeCell ref="K754:M755"/>
    <mergeCell ref="N754:N755"/>
    <mergeCell ref="A758:A759"/>
    <mergeCell ref="B758:D759"/>
    <mergeCell ref="E758:E759"/>
    <mergeCell ref="A747:A748"/>
    <mergeCell ref="B747:D748"/>
    <mergeCell ref="E747:E748"/>
    <mergeCell ref="J747:J748"/>
    <mergeCell ref="K747:M748"/>
    <mergeCell ref="N747:N748"/>
    <mergeCell ref="A728:A729"/>
    <mergeCell ref="B728:D729"/>
    <mergeCell ref="E728:E729"/>
    <mergeCell ref="J728:J729"/>
    <mergeCell ref="K728:M729"/>
    <mergeCell ref="N728:N729"/>
    <mergeCell ref="A707:A708"/>
    <mergeCell ref="B707:D708"/>
    <mergeCell ref="E707:E708"/>
    <mergeCell ref="J707:J708"/>
    <mergeCell ref="K707:M708"/>
    <mergeCell ref="N707:N708"/>
    <mergeCell ref="A691:A692"/>
    <mergeCell ref="B691:D692"/>
    <mergeCell ref="E691:E692"/>
    <mergeCell ref="J691:J692"/>
    <mergeCell ref="K691:M692"/>
    <mergeCell ref="N691:N692"/>
    <mergeCell ref="J670:J671"/>
    <mergeCell ref="K670:M671"/>
    <mergeCell ref="N670:N671"/>
    <mergeCell ref="J680:J681"/>
    <mergeCell ref="K680:M681"/>
    <mergeCell ref="N680:N681"/>
    <mergeCell ref="J637:J638"/>
    <mergeCell ref="K637:M638"/>
    <mergeCell ref="N637:N638"/>
    <mergeCell ref="A647:R647"/>
    <mergeCell ref="A654:A655"/>
    <mergeCell ref="B654:D655"/>
    <mergeCell ref="E654:E655"/>
    <mergeCell ref="J654:J655"/>
    <mergeCell ref="K654:M655"/>
    <mergeCell ref="N654:N655"/>
    <mergeCell ref="A633:A634"/>
    <mergeCell ref="B633:D634"/>
    <mergeCell ref="E633:E634"/>
    <mergeCell ref="J633:J634"/>
    <mergeCell ref="K633:M634"/>
    <mergeCell ref="N633:N634"/>
    <mergeCell ref="A624:A625"/>
    <mergeCell ref="B624:D625"/>
    <mergeCell ref="E624:E625"/>
    <mergeCell ref="J624:J625"/>
    <mergeCell ref="K624:M625"/>
    <mergeCell ref="N624:N625"/>
    <mergeCell ref="A611:A612"/>
    <mergeCell ref="B611:D612"/>
    <mergeCell ref="E611:E612"/>
    <mergeCell ref="J611:J612"/>
    <mergeCell ref="K611:M612"/>
    <mergeCell ref="N611:N612"/>
    <mergeCell ref="A581:A582"/>
    <mergeCell ref="B581:D582"/>
    <mergeCell ref="E581:E582"/>
    <mergeCell ref="A586:R586"/>
    <mergeCell ref="A594:A595"/>
    <mergeCell ref="B594:D595"/>
    <mergeCell ref="E594:E595"/>
    <mergeCell ref="J594:J595"/>
    <mergeCell ref="K594:M595"/>
    <mergeCell ref="N594:N595"/>
    <mergeCell ref="A541:A542"/>
    <mergeCell ref="B541:D542"/>
    <mergeCell ref="E541:E542"/>
    <mergeCell ref="J575:J576"/>
    <mergeCell ref="K575:M576"/>
    <mergeCell ref="N575:N576"/>
    <mergeCell ref="A519:A520"/>
    <mergeCell ref="B519:D520"/>
    <mergeCell ref="E519:E520"/>
    <mergeCell ref="J536:J537"/>
    <mergeCell ref="K536:M537"/>
    <mergeCell ref="N536:N537"/>
    <mergeCell ref="J503:J504"/>
    <mergeCell ref="K503:M504"/>
    <mergeCell ref="N503:N504"/>
    <mergeCell ref="J514:J515"/>
    <mergeCell ref="K514:M515"/>
    <mergeCell ref="N514:N515"/>
    <mergeCell ref="J467:J468"/>
    <mergeCell ref="K467:M468"/>
    <mergeCell ref="N467:N468"/>
    <mergeCell ref="A473:A474"/>
    <mergeCell ref="B473:D474"/>
    <mergeCell ref="E473:E474"/>
    <mergeCell ref="J436:J437"/>
    <mergeCell ref="K436:M437"/>
    <mergeCell ref="N436:N437"/>
    <mergeCell ref="A443:A444"/>
    <mergeCell ref="B443:D444"/>
    <mergeCell ref="E443:E444"/>
    <mergeCell ref="J412:J413"/>
    <mergeCell ref="K412:M413"/>
    <mergeCell ref="N412:N413"/>
    <mergeCell ref="A418:A419"/>
    <mergeCell ref="B418:D419"/>
    <mergeCell ref="E418:E419"/>
    <mergeCell ref="J401:J402"/>
    <mergeCell ref="K401:M402"/>
    <mergeCell ref="N401:N402"/>
    <mergeCell ref="A408:A409"/>
    <mergeCell ref="B408:D409"/>
    <mergeCell ref="E408:E409"/>
    <mergeCell ref="J381:J382"/>
    <mergeCell ref="K381:M382"/>
    <mergeCell ref="N381:N382"/>
    <mergeCell ref="J393:J394"/>
    <mergeCell ref="K393:M394"/>
    <mergeCell ref="N393:N394"/>
    <mergeCell ref="J363:J364"/>
    <mergeCell ref="K363:M364"/>
    <mergeCell ref="N363:N364"/>
    <mergeCell ref="J374:J375"/>
    <mergeCell ref="K374:M375"/>
    <mergeCell ref="N374:N375"/>
    <mergeCell ref="A346:A347"/>
    <mergeCell ref="B346:D347"/>
    <mergeCell ref="E346:E347"/>
    <mergeCell ref="J356:J357"/>
    <mergeCell ref="K356:M357"/>
    <mergeCell ref="N356:N357"/>
    <mergeCell ref="A336:A337"/>
    <mergeCell ref="B336:D337"/>
    <mergeCell ref="E336:E337"/>
    <mergeCell ref="J341:J342"/>
    <mergeCell ref="K341:M342"/>
    <mergeCell ref="N341:N342"/>
    <mergeCell ref="J323:J324"/>
    <mergeCell ref="K323:M324"/>
    <mergeCell ref="N323:N324"/>
    <mergeCell ref="J330:J331"/>
    <mergeCell ref="K330:M331"/>
    <mergeCell ref="N330:N331"/>
    <mergeCell ref="J308:J309"/>
    <mergeCell ref="K308:M309"/>
    <mergeCell ref="N308:N309"/>
    <mergeCell ref="A315:A316"/>
    <mergeCell ref="B315:D316"/>
    <mergeCell ref="E315:E316"/>
    <mergeCell ref="J293:J294"/>
    <mergeCell ref="K293:M294"/>
    <mergeCell ref="N293:N294"/>
    <mergeCell ref="A300:A301"/>
    <mergeCell ref="B300:D301"/>
    <mergeCell ref="E300:E301"/>
    <mergeCell ref="J283:J284"/>
    <mergeCell ref="K283:M284"/>
    <mergeCell ref="N283:N284"/>
    <mergeCell ref="A288:A289"/>
    <mergeCell ref="B288:D289"/>
    <mergeCell ref="E288:E289"/>
    <mergeCell ref="J272:J273"/>
    <mergeCell ref="K272:M273"/>
    <mergeCell ref="N272:N273"/>
    <mergeCell ref="A277:A278"/>
    <mergeCell ref="B277:D278"/>
    <mergeCell ref="E277:E278"/>
    <mergeCell ref="J261:J262"/>
    <mergeCell ref="K261:M262"/>
    <mergeCell ref="N261:N262"/>
    <mergeCell ref="A264:A265"/>
    <mergeCell ref="B264:D265"/>
    <mergeCell ref="E264:E265"/>
    <mergeCell ref="B251:D251"/>
    <mergeCell ref="K251:M251"/>
    <mergeCell ref="A253:H253"/>
    <mergeCell ref="J253:R253"/>
    <mergeCell ref="A255:H255"/>
    <mergeCell ref="A256:H256"/>
    <mergeCell ref="J238:J239"/>
    <mergeCell ref="K238:M239"/>
    <mergeCell ref="N238:N239"/>
    <mergeCell ref="A249:A250"/>
    <mergeCell ref="B249:D250"/>
    <mergeCell ref="E249:E250"/>
    <mergeCell ref="J249:J250"/>
    <mergeCell ref="K249:M250"/>
    <mergeCell ref="N249:N250"/>
    <mergeCell ref="J225:J226"/>
    <mergeCell ref="K225:M226"/>
    <mergeCell ref="N225:N226"/>
    <mergeCell ref="A232:A233"/>
    <mergeCell ref="B232:D233"/>
    <mergeCell ref="E232:E233"/>
    <mergeCell ref="A80:A81"/>
    <mergeCell ref="B80:D81"/>
    <mergeCell ref="E80:E81"/>
    <mergeCell ref="A216:A217"/>
    <mergeCell ref="B216:D217"/>
    <mergeCell ref="E216:E217"/>
    <mergeCell ref="J216:J217"/>
    <mergeCell ref="K216:M217"/>
    <mergeCell ref="N216:N217"/>
    <mergeCell ref="J183:J184"/>
    <mergeCell ref="K183:M184"/>
    <mergeCell ref="N183:N184"/>
    <mergeCell ref="A188:A189"/>
    <mergeCell ref="B188:D189"/>
    <mergeCell ref="E188:E189"/>
    <mergeCell ref="J168:J169"/>
    <mergeCell ref="K168:M169"/>
    <mergeCell ref="N168:N169"/>
    <mergeCell ref="A173:A174"/>
    <mergeCell ref="B173:D174"/>
    <mergeCell ref="E173:E174"/>
    <mergeCell ref="J46:J47"/>
    <mergeCell ref="K46:M47"/>
    <mergeCell ref="N46:N47"/>
    <mergeCell ref="A53:A54"/>
    <mergeCell ref="B53:D54"/>
    <mergeCell ref="E53:E54"/>
    <mergeCell ref="A1:R1"/>
    <mergeCell ref="J3:J4"/>
    <mergeCell ref="K3:M4"/>
    <mergeCell ref="N3:N4"/>
    <mergeCell ref="A10:A11"/>
    <mergeCell ref="B10:D11"/>
    <mergeCell ref="E10:E11"/>
    <mergeCell ref="K1001:M1001"/>
    <mergeCell ref="K1005:M1005"/>
    <mergeCell ref="K1006:M1006"/>
    <mergeCell ref="K1007:M1007"/>
    <mergeCell ref="J147:J148"/>
    <mergeCell ref="K147:M148"/>
    <mergeCell ref="N147:N148"/>
    <mergeCell ref="A153:A154"/>
    <mergeCell ref="B153:D154"/>
    <mergeCell ref="E153:E154"/>
    <mergeCell ref="J105:J106"/>
    <mergeCell ref="K105:M106"/>
    <mergeCell ref="N105:N106"/>
    <mergeCell ref="A111:A112"/>
    <mergeCell ref="B111:D112"/>
    <mergeCell ref="E111:E112"/>
    <mergeCell ref="J74:J75"/>
    <mergeCell ref="K74:M75"/>
    <mergeCell ref="N74:N75"/>
  </mergeCells>
  <pageMargins left="0.51181102362204722" right="0.43307086614173229" top="0.6692913385826772" bottom="0.74803149606299213" header="0.51181102362204722" footer="0.31496062992125984"/>
  <pageSetup paperSize="9" firstPageNumber="0" orientation="landscape" horizontalDpi="300" verticalDpi="300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3</vt:i4>
      </vt:variant>
      <vt:variant>
        <vt:lpstr>Іменовані діапазони</vt:lpstr>
      </vt:variant>
      <vt:variant>
        <vt:i4>1</vt:i4>
      </vt:variant>
    </vt:vector>
  </HeadingPairs>
  <TitlesOfParts>
    <vt:vector size="4" baseType="lpstr">
      <vt:lpstr>обложка</vt:lpstr>
      <vt:lpstr>зміст</vt:lpstr>
      <vt:lpstr>прайс</vt:lpstr>
      <vt:lpstr>прайс!Excel_BuiltIn_Print_Area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Влад Ляшко</cp:lastModifiedBy>
  <cp:revision/>
  <dcterms:created xsi:type="dcterms:W3CDTF">2021-04-27T08:31:22Z</dcterms:created>
  <dcterms:modified xsi:type="dcterms:W3CDTF">2026-01-14T13:35:58Z</dcterms:modified>
</cp:coreProperties>
</file>