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vlo\Desktop\Дилеры\Безкишкин\постачальники\ЗБК\"/>
    </mc:Choice>
  </mc:AlternateContent>
  <xr:revisionPtr revIDLastSave="0" documentId="13_ncr:1_{FAA148A4-55A7-48C5-8A25-E2A9227122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Опис  Ворота" sheetId="1" r:id="rId1"/>
    <sheet name="Тип монтажу" sheetId="2" r:id="rId2"/>
    <sheet name="Пружини " sheetId="3" r:id="rId3"/>
    <sheet name="Торсіон" sheetId="4" r:id="rId4"/>
  </sheets>
  <externalReferences>
    <externalReference r:id="rId5"/>
  </externalReferences>
  <definedNames>
    <definedName name="_xlnm.Print_Area" localSheetId="2">'Пружини '!$A$1:$S$49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8" i="4" l="1"/>
  <c r="AA47" i="4"/>
  <c r="AA46" i="4"/>
  <c r="AA45" i="4"/>
  <c r="AA44" i="4"/>
  <c r="AA43" i="4"/>
  <c r="AA42" i="4"/>
  <c r="AA39" i="4"/>
  <c r="AA38" i="4"/>
  <c r="AA37" i="4"/>
  <c r="AA36" i="4"/>
  <c r="AA35" i="4"/>
  <c r="AA34" i="4"/>
  <c r="AA33" i="4"/>
  <c r="AA32" i="4"/>
  <c r="AA31" i="4"/>
  <c r="AA30" i="4"/>
  <c r="AA29" i="4"/>
  <c r="Y19" i="4"/>
  <c r="X19" i="4"/>
  <c r="W19" i="4"/>
  <c r="V19" i="4"/>
  <c r="U19" i="4"/>
  <c r="T19" i="4"/>
  <c r="S19" i="4"/>
  <c r="R19" i="4"/>
  <c r="Q19" i="4"/>
  <c r="P19" i="4"/>
  <c r="O19" i="4"/>
  <c r="N19" i="4"/>
  <c r="M19" i="4"/>
  <c r="L19" i="4"/>
  <c r="K19" i="4"/>
  <c r="J19" i="4"/>
  <c r="I19" i="4"/>
  <c r="H19" i="4"/>
  <c r="G19" i="4"/>
  <c r="F19" i="4"/>
  <c r="E19" i="4"/>
  <c r="Y18" i="4"/>
  <c r="X18" i="4"/>
  <c r="W18" i="4"/>
  <c r="V18" i="4"/>
  <c r="U18" i="4"/>
  <c r="T18" i="4"/>
  <c r="S18" i="4"/>
  <c r="R18" i="4"/>
  <c r="Q18" i="4"/>
  <c r="P18" i="4"/>
  <c r="O18" i="4"/>
  <c r="N18" i="4"/>
  <c r="M18" i="4"/>
  <c r="L18" i="4"/>
  <c r="K18" i="4"/>
  <c r="J18" i="4"/>
  <c r="I18" i="4"/>
  <c r="H18" i="4"/>
  <c r="G18" i="4"/>
  <c r="F18" i="4"/>
  <c r="E18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7" i="4"/>
  <c r="F17" i="4"/>
  <c r="E17" i="4"/>
  <c r="Y16" i="4"/>
  <c r="X16" i="4"/>
  <c r="W16" i="4"/>
  <c r="V16" i="4"/>
  <c r="U16" i="4"/>
  <c r="T16" i="4"/>
  <c r="S16" i="4"/>
  <c r="R16" i="4"/>
  <c r="Q16" i="4"/>
  <c r="P16" i="4"/>
  <c r="O16" i="4"/>
  <c r="N16" i="4"/>
  <c r="M16" i="4"/>
  <c r="L16" i="4"/>
  <c r="K16" i="4"/>
  <c r="J16" i="4"/>
  <c r="I16" i="4"/>
  <c r="H16" i="4"/>
  <c r="G16" i="4"/>
  <c r="F16" i="4"/>
  <c r="E16" i="4"/>
  <c r="Y15" i="4"/>
  <c r="X15" i="4"/>
  <c r="W15" i="4"/>
  <c r="V15" i="4"/>
  <c r="U15" i="4"/>
  <c r="T15" i="4"/>
  <c r="S15" i="4"/>
  <c r="R15" i="4"/>
  <c r="Q15" i="4"/>
  <c r="P15" i="4"/>
  <c r="O15" i="4"/>
  <c r="N15" i="4"/>
  <c r="M15" i="4"/>
  <c r="L15" i="4"/>
  <c r="K15" i="4"/>
  <c r="J15" i="4"/>
  <c r="I15" i="4"/>
  <c r="H15" i="4"/>
  <c r="G15" i="4"/>
  <c r="F15" i="4"/>
  <c r="E15" i="4"/>
  <c r="Y14" i="4"/>
  <c r="X14" i="4"/>
  <c r="W14" i="4"/>
  <c r="V14" i="4"/>
  <c r="U14" i="4"/>
  <c r="T14" i="4"/>
  <c r="S14" i="4"/>
  <c r="R14" i="4"/>
  <c r="Q14" i="4"/>
  <c r="P14" i="4"/>
  <c r="O14" i="4"/>
  <c r="N14" i="4"/>
  <c r="M14" i="4"/>
  <c r="L14" i="4"/>
  <c r="K14" i="4"/>
  <c r="J14" i="4"/>
  <c r="I14" i="4"/>
  <c r="H14" i="4"/>
  <c r="G14" i="4"/>
  <c r="F14" i="4"/>
  <c r="E14" i="4"/>
  <c r="Y13" i="4"/>
  <c r="X13" i="4"/>
  <c r="W13" i="4"/>
  <c r="V13" i="4"/>
  <c r="U13" i="4"/>
  <c r="T13" i="4"/>
  <c r="S13" i="4"/>
  <c r="R13" i="4"/>
  <c r="Q13" i="4"/>
  <c r="P13" i="4"/>
  <c r="O13" i="4"/>
  <c r="N13" i="4"/>
  <c r="M13" i="4"/>
  <c r="L13" i="4"/>
  <c r="K13" i="4"/>
  <c r="J13" i="4"/>
  <c r="I13" i="4"/>
  <c r="H13" i="4"/>
  <c r="G13" i="4"/>
  <c r="F13" i="4"/>
  <c r="E13" i="4"/>
  <c r="Y12" i="4"/>
  <c r="X12" i="4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H12" i="4"/>
  <c r="G12" i="4"/>
  <c r="F12" i="4"/>
  <c r="E12" i="4"/>
  <c r="Y11" i="4"/>
  <c r="X11" i="4"/>
  <c r="W11" i="4"/>
  <c r="V11" i="4"/>
  <c r="U11" i="4"/>
  <c r="T11" i="4"/>
  <c r="S11" i="4"/>
  <c r="R11" i="4"/>
  <c r="Q11" i="4"/>
  <c r="P11" i="4"/>
  <c r="O11" i="4"/>
  <c r="N11" i="4"/>
  <c r="M11" i="4"/>
  <c r="L11" i="4"/>
  <c r="K11" i="4"/>
  <c r="J11" i="4"/>
  <c r="I11" i="4"/>
  <c r="H11" i="4"/>
  <c r="G11" i="4"/>
  <c r="F11" i="4"/>
  <c r="E11" i="4"/>
  <c r="Y10" i="4"/>
  <c r="X10" i="4"/>
  <c r="W10" i="4"/>
  <c r="V10" i="4"/>
  <c r="U10" i="4"/>
  <c r="T10" i="4"/>
  <c r="S10" i="4"/>
  <c r="R10" i="4"/>
  <c r="Q10" i="4"/>
  <c r="P10" i="4"/>
  <c r="O10" i="4"/>
  <c r="N10" i="4"/>
  <c r="M10" i="4"/>
  <c r="L10" i="4"/>
  <c r="K10" i="4"/>
  <c r="J10" i="4"/>
  <c r="I10" i="4"/>
  <c r="H10" i="4"/>
  <c r="G10" i="4"/>
  <c r="F10" i="4"/>
  <c r="E10" i="4"/>
  <c r="Y9" i="4"/>
  <c r="X9" i="4"/>
  <c r="W9" i="4"/>
  <c r="V9" i="4"/>
  <c r="U9" i="4"/>
  <c r="T9" i="4"/>
  <c r="S9" i="4"/>
  <c r="R9" i="4"/>
  <c r="Q9" i="4"/>
  <c r="P9" i="4"/>
  <c r="O9" i="4"/>
  <c r="N9" i="4"/>
  <c r="M9" i="4"/>
  <c r="L9" i="4"/>
  <c r="K9" i="4"/>
  <c r="J9" i="4"/>
  <c r="I9" i="4"/>
  <c r="H9" i="4"/>
  <c r="G9" i="4"/>
  <c r="F9" i="4"/>
  <c r="E9" i="4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R45" i="3"/>
  <c r="Q45" i="3"/>
  <c r="P45" i="3"/>
  <c r="R44" i="3"/>
  <c r="Q44" i="3"/>
  <c r="P44" i="3"/>
  <c r="R43" i="3"/>
  <c r="Q43" i="3"/>
  <c r="P43" i="3"/>
  <c r="R42" i="3"/>
  <c r="Q42" i="3"/>
  <c r="P42" i="3"/>
  <c r="R41" i="3"/>
  <c r="Q41" i="3"/>
  <c r="P41" i="3"/>
  <c r="R40" i="3"/>
  <c r="Q40" i="3"/>
  <c r="P40" i="3"/>
  <c r="R39" i="3"/>
  <c r="Q39" i="3"/>
  <c r="P39" i="3"/>
  <c r="R38" i="3"/>
  <c r="Q38" i="3"/>
  <c r="P38" i="3"/>
  <c r="R35" i="3"/>
  <c r="Q35" i="3"/>
  <c r="P35" i="3"/>
  <c r="R34" i="3"/>
  <c r="Q34" i="3"/>
  <c r="P34" i="3"/>
  <c r="R33" i="3"/>
  <c r="Q33" i="3"/>
  <c r="P33" i="3"/>
  <c r="R32" i="3"/>
  <c r="Q32" i="3"/>
  <c r="P32" i="3"/>
  <c r="R31" i="3"/>
  <c r="Q31" i="3"/>
  <c r="P31" i="3"/>
  <c r="R30" i="3"/>
  <c r="Q30" i="3"/>
  <c r="P30" i="3"/>
  <c r="R29" i="3"/>
  <c r="Q29" i="3"/>
  <c r="P2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Q9" i="3"/>
  <c r="P9" i="3"/>
  <c r="O9" i="3"/>
  <c r="N9" i="3"/>
  <c r="M9" i="3"/>
  <c r="L9" i="3"/>
  <c r="K9" i="3"/>
  <c r="J9" i="3"/>
  <c r="I9" i="3"/>
  <c r="H9" i="3"/>
  <c r="G9" i="3"/>
  <c r="F9" i="3"/>
  <c r="E9" i="3"/>
  <c r="Q8" i="3"/>
  <c r="P8" i="3"/>
  <c r="O8" i="3"/>
  <c r="N8" i="3"/>
  <c r="M8" i="3"/>
  <c r="L8" i="3"/>
  <c r="K8" i="3"/>
  <c r="J8" i="3"/>
  <c r="I8" i="3"/>
  <c r="H8" i="3"/>
  <c r="G8" i="3"/>
  <c r="F8" i="3"/>
  <c r="E8" i="3"/>
</calcChain>
</file>

<file path=xl/sharedStrings.xml><?xml version="1.0" encoding="utf-8"?>
<sst xmlns="http://schemas.openxmlformats.org/spreadsheetml/2006/main" count="166" uniqueCount="96">
  <si>
    <t>Виробник гаражних воріт європейської якості та української стійкості</t>
  </si>
  <si>
    <r>
      <rPr>
        <b/>
        <sz val="12"/>
        <color theme="1"/>
        <rFont val="Calibri"/>
        <family val="2"/>
        <charset val="204"/>
        <scheme val="minor"/>
      </rPr>
      <t>Особливості конструкції:</t>
    </r>
    <r>
      <rPr>
        <sz val="12"/>
        <color theme="1"/>
        <rFont val="Calibri"/>
        <family val="2"/>
        <charset val="204"/>
        <scheme val="minor"/>
      </rPr>
      <t xml:space="preserve">
Товщина направляючих</t>
    </r>
    <r>
      <rPr>
        <b/>
        <sz val="12"/>
        <color theme="1"/>
        <rFont val="Calibri"/>
        <family val="2"/>
        <charset val="204"/>
        <scheme val="minor"/>
      </rPr>
      <t xml:space="preserve"> - 1,5 мм</t>
    </r>
    <r>
      <rPr>
        <sz val="12"/>
        <color theme="1"/>
        <rFont val="Calibri"/>
        <family val="2"/>
        <charset val="204"/>
        <scheme val="minor"/>
      </rPr>
      <t xml:space="preserve">
Товщина панелі - </t>
    </r>
    <r>
      <rPr>
        <b/>
        <sz val="12"/>
        <color theme="1"/>
        <rFont val="Calibri"/>
        <family val="2"/>
        <charset val="204"/>
        <scheme val="minor"/>
      </rPr>
      <t>40 мм</t>
    </r>
    <r>
      <rPr>
        <sz val="12"/>
        <color theme="1"/>
        <rFont val="Calibri"/>
        <family val="2"/>
        <charset val="204"/>
        <scheme val="minor"/>
      </rPr>
      <t xml:space="preserve">
Вбудований нижній профіль - </t>
    </r>
    <r>
      <rPr>
        <b/>
        <sz val="12"/>
        <color theme="1"/>
        <rFont val="Calibri"/>
        <family val="2"/>
        <charset val="204"/>
        <scheme val="minor"/>
      </rPr>
      <t>Так</t>
    </r>
    <r>
      <rPr>
        <sz val="12"/>
        <color theme="1"/>
        <rFont val="Calibri"/>
        <family val="2"/>
        <charset val="204"/>
        <scheme val="minor"/>
      </rPr>
      <t xml:space="preserve">
</t>
    </r>
    <r>
      <rPr>
        <b/>
        <sz val="12"/>
        <color theme="1"/>
        <rFont val="Calibri"/>
        <family val="2"/>
        <charset val="204"/>
        <scheme val="minor"/>
      </rPr>
      <t>Торсіонні пружини покриті порошковим фарбуванням</t>
    </r>
    <r>
      <rPr>
        <sz val="12"/>
        <color theme="1"/>
        <rFont val="Calibri"/>
        <family val="2"/>
        <charset val="204"/>
        <scheme val="minor"/>
      </rPr>
      <t xml:space="preserve">, що покращує тертя
 між витками при роботі пружин (не стріляють, не скриплять), а токож збільшується ресурс пружини
Верхній профіль наближений до кольору панелі (RAL 8014, 7016, 9006)
</t>
    </r>
    <r>
      <rPr>
        <b/>
        <sz val="12"/>
        <color theme="1"/>
        <rFont val="Calibri"/>
        <family val="2"/>
        <charset val="204"/>
        <scheme val="minor"/>
      </rPr>
      <t xml:space="preserve">Переваги: </t>
    </r>
    <r>
      <rPr>
        <sz val="12"/>
        <color theme="1"/>
        <rFont val="Calibri"/>
        <family val="2"/>
        <charset val="204"/>
        <scheme val="minor"/>
      </rPr>
      <t xml:space="preserve">
</t>
    </r>
    <r>
      <rPr>
        <b/>
        <sz val="12"/>
        <color theme="1"/>
        <rFont val="Calibri"/>
        <family val="2"/>
        <charset val="204"/>
        <scheme val="minor"/>
      </rPr>
      <t>Міцність</t>
    </r>
    <r>
      <rPr>
        <sz val="12"/>
        <color theme="1"/>
        <rFont val="Calibri"/>
        <family val="2"/>
        <charset val="204"/>
        <scheme val="minor"/>
      </rPr>
      <t>: ворота виготовляють з міцних матеріалів, що робить їх міцними і здатними витримувати негоду.
Ворота доступні в</t>
    </r>
    <r>
      <rPr>
        <b/>
        <sz val="12"/>
        <color theme="1"/>
        <rFont val="Calibri"/>
        <family val="2"/>
        <charset val="204"/>
        <scheme val="minor"/>
      </rPr>
      <t xml:space="preserve"> різних стилях та кольорах</t>
    </r>
    <r>
      <rPr>
        <sz val="12"/>
        <color theme="1"/>
        <rFont val="Calibri"/>
        <family val="2"/>
        <charset val="204"/>
        <scheme val="minor"/>
      </rPr>
      <t xml:space="preserve">, тому Ви можете вибрати той, який відповідає естетиці вашого будинку.
</t>
    </r>
    <r>
      <rPr>
        <b/>
        <sz val="12"/>
        <color theme="1"/>
        <rFont val="Calibri"/>
        <family val="2"/>
        <charset val="204"/>
        <scheme val="minor"/>
      </rPr>
      <t>Теплоізоляція</t>
    </r>
    <r>
      <rPr>
        <sz val="12"/>
        <color theme="1"/>
        <rFont val="Calibri"/>
        <family val="2"/>
        <charset val="204"/>
        <scheme val="minor"/>
      </rPr>
      <t xml:space="preserve">: панель секційних воріт </t>
    </r>
    <r>
      <rPr>
        <b/>
        <sz val="12"/>
        <color theme="1"/>
        <rFont val="Calibri"/>
        <family val="2"/>
        <charset val="204"/>
        <scheme val="minor"/>
      </rPr>
      <t>товщиною 40 мм</t>
    </r>
    <r>
      <rPr>
        <sz val="12"/>
        <color theme="1"/>
        <rFont val="Calibri"/>
        <family val="2"/>
        <charset val="204"/>
        <scheme val="minor"/>
      </rPr>
      <t xml:space="preserve">, яка заповненена у середині пінополіуретаном 
заміняє товщину цегляної стіни. По периметру встановлені ущільнювачі, що не дає холоду проникати в приміщення.
</t>
    </r>
    <r>
      <rPr>
        <b/>
        <sz val="12"/>
        <color theme="1"/>
        <rFont val="Calibri"/>
        <family val="2"/>
        <charset val="204"/>
        <scheme val="minor"/>
      </rPr>
      <t>Безпека:</t>
    </r>
    <r>
      <rPr>
        <sz val="12"/>
        <color theme="1"/>
        <rFont val="Calibri"/>
        <family val="2"/>
        <charset val="204"/>
        <scheme val="minor"/>
      </rPr>
      <t xml:space="preserve"> ворота можна укомплектувати ригильними замками та засовами, а також автоматикою, що блокує відкриття ззовні і забезпечує додаткову безпеку для вашого будинку та майна.
</t>
    </r>
    <r>
      <rPr>
        <b/>
        <sz val="12"/>
        <color theme="1"/>
        <rFont val="Calibri"/>
        <family val="2"/>
        <charset val="204"/>
        <scheme val="minor"/>
      </rPr>
      <t>Секційні гаражні ворота ЗБК</t>
    </r>
    <r>
      <rPr>
        <sz val="12"/>
        <color theme="1"/>
        <rFont val="Calibri"/>
        <family val="2"/>
        <charset val="204"/>
        <scheme val="minor"/>
      </rPr>
      <t xml:space="preserve">, розраховані на встановлення у проєми не великих або середніх розмірів.
Їх можна облаштувати панорамними секціями, вікнами або хвірткою.
Торсіонні механізми цієї моделі секційних воріт </t>
    </r>
    <r>
      <rPr>
        <b/>
        <sz val="12"/>
        <color theme="1"/>
        <rFont val="Calibri"/>
        <family val="2"/>
        <charset val="204"/>
        <scheme val="minor"/>
      </rPr>
      <t>розраховані на 25 000 циклів</t>
    </r>
    <r>
      <rPr>
        <sz val="12"/>
        <color theme="1"/>
        <rFont val="Calibri"/>
        <family val="2"/>
        <charset val="204"/>
        <scheme val="minor"/>
      </rPr>
      <t>. Довговічність конструкції забезпечує відкривання та закривання полотна воріт без зусиль.</t>
    </r>
    <r>
      <rPr>
        <b/>
        <sz val="11"/>
        <color theme="1"/>
        <rFont val="Calibri"/>
        <family val="2"/>
        <charset val="204"/>
        <scheme val="minor"/>
      </rPr>
      <t xml:space="preserve">
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</si>
  <si>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Типи панелей</t>
  </si>
  <si>
    <t>Доступні кольори панелей для виготовлення воріт</t>
  </si>
  <si>
    <t>Подвійні пружини розтягування розташовуються всередині кутових стійок, забезпечуючи 
захист від затискання та відскоку.</t>
  </si>
  <si>
    <t>Ресурс пружин: 25 000 циклів</t>
  </si>
  <si>
    <t>Доступні для замовлення з 07.2023</t>
  </si>
  <si>
    <t>Параметр</t>
  </si>
  <si>
    <t>ЗБК з пружинами розтягу</t>
  </si>
  <si>
    <t>Перемичка (H), мм</t>
  </si>
  <si>
    <t>Ручне керування</t>
  </si>
  <si>
    <t>min = 100</t>
  </si>
  <si>
    <t>Автоматичне керування</t>
  </si>
  <si>
    <t>min = 130</t>
  </si>
  <si>
    <t>Висота проїзду у світлі, мм</t>
  </si>
  <si>
    <t>Висота проїзду у світлі</t>
  </si>
  <si>
    <t>Висота отвору - 170</t>
  </si>
  <si>
    <t>Висота отвору - 100</t>
  </si>
  <si>
    <t>Бічний простір, мм</t>
  </si>
  <si>
    <t>min=90</t>
  </si>
  <si>
    <t>Ширина проїзду у світлі, мм</t>
  </si>
  <si>
    <t>Ширина отвору - 40</t>
  </si>
  <si>
    <r>
      <t xml:space="preserve">Типи монтажу для воріт серії NOVA: </t>
    </r>
    <r>
      <rPr>
        <b/>
        <i/>
        <u/>
        <sz val="11"/>
        <color theme="1"/>
        <rFont val="Calibri"/>
        <family val="2"/>
        <charset val="204"/>
        <scheme val="minor"/>
      </rPr>
      <t>низький, стандартний, високий. Пофарбовані торсійні пружини.</t>
    </r>
  </si>
  <si>
    <t>Стандартний монтаж</t>
  </si>
  <si>
    <t>Низький монтаж</t>
  </si>
  <si>
    <t>Високий монтаж</t>
  </si>
  <si>
    <t>Тип монтажу</t>
  </si>
  <si>
    <t>Вид керування воротами</t>
  </si>
  <si>
    <t>Мін. висота перемички, мм</t>
  </si>
  <si>
    <t>Мін. бічний простір, мм</t>
  </si>
  <si>
    <t>низький</t>
  </si>
  <si>
    <t>ручне</t>
  </si>
  <si>
    <t>висота отвору-200</t>
  </si>
  <si>
    <t>LDB-30</t>
  </si>
  <si>
    <t>за допомогою електроприводу</t>
  </si>
  <si>
    <t>висота отвору-110</t>
  </si>
  <si>
    <t>стандартний</t>
  </si>
  <si>
    <t>LDB-40</t>
  </si>
  <si>
    <t>висота отвору</t>
  </si>
  <si>
    <t>високий без хвіртки/з хвірткою</t>
  </si>
  <si>
    <t xml:space="preserve">ручне </t>
  </si>
  <si>
    <t xml:space="preserve">500/900 </t>
  </si>
  <si>
    <t>ШИРИНА</t>
  </si>
  <si>
    <t>ВИСОТА</t>
  </si>
  <si>
    <r>
      <rPr>
        <b/>
        <sz val="9.5"/>
        <color rgb="FFFFFFFF"/>
        <rFont val="Arial"/>
        <family val="2"/>
      </rPr>
      <t>Варіанти кольорів</t>
    </r>
  </si>
  <si>
    <r>
      <rPr>
        <b/>
        <sz val="8.5"/>
        <rFont val="Arial"/>
        <family val="2"/>
      </rPr>
      <t>НАЙМЕНУВАННЯ</t>
    </r>
  </si>
  <si>
    <r>
      <rPr>
        <b/>
        <sz val="8.5"/>
        <rFont val="Arial"/>
        <family val="2"/>
      </rPr>
      <t>ОД.</t>
    </r>
  </si>
  <si>
    <r>
      <rPr>
        <b/>
        <sz val="8.5"/>
        <rFont val="Arial"/>
        <family val="2"/>
      </rPr>
      <t>ЦІНА</t>
    </r>
  </si>
  <si>
    <r>
      <rPr>
        <b/>
        <sz val="8.5"/>
        <rFont val="Arial"/>
        <family val="2"/>
      </rPr>
      <t>ЦІНА (евро)</t>
    </r>
  </si>
  <si>
    <t>3 метри</t>
  </si>
  <si>
    <t>ПРУЖИНИ РОЗТЯГУ</t>
  </si>
  <si>
    <r>
      <rPr>
        <b/>
        <sz val="12"/>
        <rFont val="Arial"/>
        <family val="2"/>
      </rPr>
      <t>НАЙМЕНУВАННЯ</t>
    </r>
  </si>
  <si>
    <r>
      <rPr>
        <b/>
        <sz val="12"/>
        <rFont val="Arial"/>
        <family val="2"/>
      </rPr>
      <t>ОД.</t>
    </r>
  </si>
  <si>
    <r>
      <rPr>
        <b/>
        <sz val="12"/>
        <rFont val="Arial"/>
        <family val="2"/>
      </rPr>
      <t>ЦІНА</t>
    </r>
  </si>
  <si>
    <r>
      <rPr>
        <b/>
        <sz val="12"/>
        <rFont val="Arial"/>
        <family val="2"/>
      </rPr>
      <t>ЦІНА (евро)</t>
    </r>
  </si>
  <si>
    <r>
      <rPr>
        <b/>
        <sz val="14"/>
        <color rgb="FFFFFFFF"/>
        <rFont val="Arial"/>
        <family val="2"/>
        <charset val="204"/>
      </rPr>
      <t>Варіанти кольорів</t>
    </r>
  </si>
  <si>
    <t xml:space="preserve">ТОРСІОН  </t>
  </si>
  <si>
    <t>Автоматика Італія висота воріт до 2600 мм і площа воріт 9 м2</t>
  </si>
  <si>
    <t>шт</t>
  </si>
  <si>
    <t>Автоматика</t>
  </si>
  <si>
    <t>Перфорований профіль (32х32х2 мм), L-3000 мм</t>
  </si>
  <si>
    <t>Комплект замка для секційних воріт</t>
  </si>
  <si>
    <t>Засув</t>
  </si>
  <si>
    <t>Націнка за колір WENGE (Венге) з одного боку</t>
  </si>
  <si>
    <t>Націнка за колір GOLDEN OAK (Золотий дуб) з одного боку</t>
  </si>
  <si>
    <t>Націнка за колір DARK OAK (Темний дуб) з одного боку</t>
  </si>
  <si>
    <r>
      <rPr>
        <b/>
        <sz val="9"/>
        <rFont val="Arial"/>
        <family val="2"/>
      </rPr>
      <t>шт</t>
    </r>
  </si>
  <si>
    <t xml:space="preserve">Автоматика до гаражних Воріт Китай цепна висотою воріт до 2700 мм </t>
  </si>
  <si>
    <t xml:space="preserve">Автоматика до гаражних Воріт Китай цепна висотою воріт до 3400 мм </t>
  </si>
  <si>
    <t xml:space="preserve">Автоматика до гаражних Воріт Китай ременна висотою воріт до 2700 мм </t>
  </si>
  <si>
    <t xml:space="preserve">Автоматика до гаражних Воріт Китай ременна висотою воріт до 3000 мм </t>
  </si>
  <si>
    <t xml:space="preserve">Автоматика до гаражних Воріт Китай цепна висотою воріт до 3000 мм </t>
  </si>
  <si>
    <t xml:space="preserve">Автоматика АКЦІЯ </t>
  </si>
  <si>
    <t xml:space="preserve">Замок розблоковування </t>
  </si>
  <si>
    <t xml:space="preserve">Замок для розблокування для Італійської автоматики </t>
  </si>
  <si>
    <t xml:space="preserve">Акумулятор </t>
  </si>
  <si>
    <t xml:space="preserve">Вайфай модуль </t>
  </si>
  <si>
    <t xml:space="preserve">ДЖСМ Модуль </t>
  </si>
  <si>
    <t>Засов</t>
  </si>
  <si>
    <t>Додаткові опції</t>
  </si>
  <si>
    <t>Вікно акрилове 635х330</t>
  </si>
  <si>
    <t>Вайфай модуль</t>
  </si>
  <si>
    <t>ДЖСМ модуль</t>
  </si>
  <si>
    <r>
      <rPr>
        <b/>
        <sz val="12"/>
        <rFont val="Arial"/>
        <family val="2"/>
      </rPr>
      <t>шт</t>
    </r>
  </si>
  <si>
    <r>
      <rPr>
        <b/>
        <sz val="14"/>
        <rFont val="Arial"/>
        <family val="2"/>
      </rPr>
      <t>Ручний ланцюговий привод</t>
    </r>
  </si>
  <si>
    <r>
      <rPr>
        <b/>
        <sz val="14"/>
        <rFont val="Arial"/>
        <family val="2"/>
      </rPr>
      <t>Подовження валу під навальний привід (майбутня установка приводу на вал)</t>
    </r>
  </si>
  <si>
    <r>
      <rPr>
        <b/>
        <sz val="14"/>
        <rFont val="Arial"/>
        <family val="2"/>
      </rPr>
      <t>Перфорований профіль (32х32х2 мм), L-1000 мм</t>
    </r>
  </si>
  <si>
    <t>м. Івано-Франківськ, вул. Миру, 90
+38 (096)792-98-46
https:</t>
  </si>
  <si>
    <t>м. Івано-Франківськ, вул. Миру, 90
+38 (096) 792-98-46
https:</t>
  </si>
  <si>
    <r>
      <t>Гаражні секційні</t>
    </r>
    <r>
      <rPr>
        <b/>
        <sz val="16"/>
        <color rgb="FF9148C8"/>
        <rFont val="Calibri"/>
        <family val="2"/>
        <charset val="204"/>
        <scheme val="minor"/>
      </rPr>
      <t xml:space="preserve"> ворота </t>
    </r>
  </si>
  <si>
    <r>
      <t xml:space="preserve">Гаражні секційні </t>
    </r>
    <r>
      <rPr>
        <b/>
        <sz val="28"/>
        <color rgb="FF9148C8"/>
        <rFont val="Calibri"/>
        <family val="2"/>
        <charset val="204"/>
        <scheme val="minor"/>
      </rPr>
      <t>ВОРОТА SK</t>
    </r>
  </si>
  <si>
    <t>Комплект воріт секційних з панелей (підйомного типу) серії SK</t>
  </si>
  <si>
    <t xml:space="preserve">Замок та засув </t>
  </si>
  <si>
    <t>Комплект воріт секційних з панелей (підйомного типу) серії SК</t>
  </si>
  <si>
    <r>
      <t xml:space="preserve">ВоротаSК із пружинами </t>
    </r>
    <r>
      <rPr>
        <b/>
        <u/>
        <sz val="11"/>
        <color theme="0"/>
        <rFont val="Calibri"/>
        <family val="2"/>
        <charset val="204"/>
        <scheme val="minor"/>
      </rPr>
      <t>розтягу</t>
    </r>
  </si>
  <si>
    <t>Ворота SК з торсійними пружинами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</si>
</sst>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6"/>
      <color rgb="FF9148C8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b/>
      <sz val="18"/>
      <color theme="0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6"/>
      <color theme="0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8"/>
      <color theme="1" tint="0.14999847407452621"/>
      <name val="Calibri"/>
      <family val="2"/>
      <charset val="204"/>
      <scheme val="minor"/>
    </font>
    <font>
      <i/>
      <sz val="9"/>
      <color theme="1"/>
      <name val="Calibri"/>
      <family val="2"/>
      <charset val="204"/>
      <scheme val="minor"/>
    </font>
    <font>
      <sz val="8"/>
      <color theme="1" tint="0.249977111117893"/>
      <name val="Calibri"/>
      <family val="2"/>
      <charset val="204"/>
      <scheme val="minor"/>
    </font>
    <font>
      <b/>
      <sz val="28"/>
      <color theme="1"/>
      <name val="Calibri"/>
      <family val="2"/>
      <charset val="204"/>
      <scheme val="minor"/>
    </font>
    <font>
      <b/>
      <sz val="28"/>
      <color rgb="FF9148C8"/>
      <name val="Calibri"/>
      <family val="2"/>
      <charset val="204"/>
      <scheme val="minor"/>
    </font>
    <font>
      <b/>
      <u/>
      <sz val="11"/>
      <color theme="0"/>
      <name val="Calibri"/>
      <family val="2"/>
      <charset val="204"/>
      <scheme val="minor"/>
    </font>
    <font>
      <i/>
      <u/>
      <sz val="10"/>
      <color indexed="12"/>
      <name val="Arial Cyr"/>
      <charset val="204"/>
    </font>
    <font>
      <i/>
      <sz val="11"/>
      <color theme="1"/>
      <name val="Calibri"/>
      <family val="2"/>
      <charset val="204"/>
      <scheme val="minor"/>
    </font>
    <font>
      <i/>
      <sz val="16"/>
      <color theme="1"/>
      <name val="Calibri"/>
      <family val="2"/>
      <charset val="204"/>
      <scheme val="minor"/>
    </font>
    <font>
      <b/>
      <i/>
      <sz val="11"/>
      <color rgb="FFFF0000"/>
      <name val="Calibri"/>
      <family val="2"/>
      <charset val="204"/>
      <scheme val="minor"/>
    </font>
    <font>
      <b/>
      <sz val="11"/>
      <color rgb="FF9148C8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color rgb="FF9148C8"/>
      <name val="Calibri"/>
      <family val="2"/>
      <charset val="204"/>
      <scheme val="minor"/>
    </font>
    <font>
      <b/>
      <i/>
      <sz val="11"/>
      <color rgb="FF00B050"/>
      <name val="Calibri"/>
      <family val="2"/>
      <charset val="204"/>
      <scheme val="minor"/>
    </font>
    <font>
      <b/>
      <sz val="12"/>
      <color rgb="FF00B050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b/>
      <sz val="11"/>
      <color rgb="FFFFFFFF"/>
      <name val="Arial"/>
      <family val="2"/>
    </font>
    <font>
      <b/>
      <sz val="11"/>
      <name val="Arial"/>
      <family val="2"/>
      <charset val="204"/>
    </font>
    <font>
      <b/>
      <sz val="8.5"/>
      <color theme="0"/>
      <name val="Arial"/>
      <family val="2"/>
      <charset val="204"/>
    </font>
    <font>
      <b/>
      <sz val="8.5"/>
      <color theme="0"/>
      <name val="Arial"/>
      <family val="2"/>
    </font>
    <font>
      <sz val="8.5"/>
      <color rgb="FF000000"/>
      <name val="Arial"/>
      <family val="2"/>
    </font>
    <font>
      <b/>
      <sz val="8.5"/>
      <name val="Arial"/>
      <family val="2"/>
      <charset val="204"/>
    </font>
    <font>
      <b/>
      <sz val="8.5"/>
      <name val="Arial"/>
      <family val="2"/>
    </font>
    <font>
      <b/>
      <sz val="9.5"/>
      <name val="Arial"/>
      <family val="2"/>
      <charset val="204"/>
    </font>
    <font>
      <b/>
      <sz val="9.5"/>
      <color rgb="FFFFFFFF"/>
      <name val="Arial"/>
      <family val="2"/>
    </font>
    <font>
      <sz val="8.5"/>
      <name val="Arial"/>
      <family val="2"/>
      <charset val="204"/>
    </font>
    <font>
      <sz val="12"/>
      <color rgb="FF000000"/>
      <name val="Arial"/>
      <family val="2"/>
      <charset val="204"/>
    </font>
    <font>
      <b/>
      <sz val="14"/>
      <color theme="1"/>
      <name val="Calibri"/>
      <family val="2"/>
      <charset val="204"/>
      <scheme val="minor"/>
    </font>
    <font>
      <b/>
      <sz val="10"/>
      <color rgb="FF000000"/>
      <name val="Arial"/>
      <family val="2"/>
    </font>
    <font>
      <sz val="12"/>
      <name val="Arial"/>
      <family val="2"/>
      <charset val="204"/>
    </font>
    <font>
      <b/>
      <sz val="12"/>
      <name val="Arial"/>
      <family val="2"/>
    </font>
    <font>
      <b/>
      <sz val="12"/>
      <name val="Arial"/>
      <family val="2"/>
      <charset val="204"/>
    </font>
    <font>
      <b/>
      <sz val="12"/>
      <color rgb="FFFFFFFF"/>
      <name val="Arial"/>
      <family val="2"/>
    </font>
    <font>
      <sz val="12"/>
      <color rgb="FF000000"/>
      <name val="Arial"/>
      <family val="2"/>
    </font>
    <font>
      <b/>
      <sz val="12"/>
      <color rgb="FFFFFFFF"/>
      <name val="Arial"/>
      <family val="2"/>
      <charset val="204"/>
    </font>
    <font>
      <b/>
      <sz val="12"/>
      <color theme="0"/>
      <name val="Arial"/>
      <family val="2"/>
    </font>
    <font>
      <b/>
      <sz val="14"/>
      <name val="Arial"/>
      <family val="2"/>
      <charset val="204"/>
    </font>
    <font>
      <b/>
      <sz val="14"/>
      <color rgb="FFFFFFFF"/>
      <name val="Arial"/>
      <family val="2"/>
      <charset val="204"/>
    </font>
    <font>
      <b/>
      <sz val="9"/>
      <name val="Arial"/>
      <family val="2"/>
      <charset val="204"/>
    </font>
    <font>
      <b/>
      <sz val="9"/>
      <name val="Arial"/>
      <family val="2"/>
    </font>
    <font>
      <b/>
      <i/>
      <sz val="10"/>
      <name val="Arial"/>
      <family val="2"/>
      <charset val="204"/>
    </font>
    <font>
      <b/>
      <i/>
      <sz val="10"/>
      <color theme="1"/>
      <name val="Calibri"/>
      <family val="2"/>
      <charset val="204"/>
      <scheme val="minor"/>
    </font>
    <font>
      <b/>
      <sz val="9"/>
      <color rgb="FF000000"/>
      <name val="Arial"/>
      <family val="2"/>
    </font>
    <font>
      <b/>
      <sz val="9"/>
      <color rgb="FF000000"/>
      <name val="Arial"/>
      <family val="2"/>
      <charset val="204"/>
    </font>
    <font>
      <b/>
      <sz val="12"/>
      <color rgb="FF000000"/>
      <name val="Arial"/>
      <family val="2"/>
    </font>
    <font>
      <b/>
      <sz val="14"/>
      <name val="Arial"/>
      <family val="2"/>
    </font>
    <font>
      <b/>
      <sz val="12"/>
      <color rgb="FF000000"/>
      <name val="Arial"/>
      <family val="2"/>
      <charset val="204"/>
    </font>
    <font>
      <sz val="14"/>
      <color theme="1"/>
      <name val="Calibri"/>
      <family val="2"/>
      <charset val="204"/>
      <scheme val="minor"/>
    </font>
    <font>
      <b/>
      <sz val="16"/>
      <color rgb="FF000000"/>
      <name val="Arial"/>
      <family val="2"/>
      <charset val="204"/>
    </font>
    <font>
      <sz val="14"/>
      <name val="Montserrat"/>
      <charset val="204"/>
    </font>
    <font>
      <b/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148C8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3">
    <xf numFmtId="0" fontId="0" fillId="0" borderId="0" xfId="0"/>
    <xf numFmtId="0" fontId="4" fillId="0" borderId="0" xfId="1" applyAlignment="1" applyProtection="1">
      <protection hidden="1"/>
    </xf>
    <xf numFmtId="0" fontId="0" fillId="2" borderId="0" xfId="0" applyFill="1"/>
    <xf numFmtId="0" fontId="4" fillId="2" borderId="0" xfId="1" applyFill="1" applyAlignment="1" applyProtection="1"/>
    <xf numFmtId="0" fontId="7" fillId="2" borderId="0" xfId="0" applyFont="1" applyFill="1"/>
    <xf numFmtId="0" fontId="0" fillId="2" borderId="0" xfId="0" applyFill="1" applyAlignment="1">
      <alignment vertical="top" wrapText="1"/>
    </xf>
    <xf numFmtId="0" fontId="3" fillId="2" borderId="0" xfId="0" applyFont="1" applyFill="1"/>
    <xf numFmtId="0" fontId="13" fillId="2" borderId="0" xfId="0" applyFont="1" applyFill="1" applyAlignment="1">
      <alignment horizontal="left" vertical="top" wrapText="1"/>
    </xf>
    <xf numFmtId="0" fontId="13" fillId="2" borderId="0" xfId="0" applyFont="1" applyFill="1" applyAlignment="1">
      <alignment horizontal="left" vertical="top"/>
    </xf>
    <xf numFmtId="0" fontId="14" fillId="2" borderId="0" xfId="0" applyFont="1" applyFill="1"/>
    <xf numFmtId="0" fontId="15" fillId="2" borderId="0" xfId="0" applyFont="1" applyFill="1" applyAlignment="1">
      <alignment vertical="top" wrapText="1"/>
    </xf>
    <xf numFmtId="0" fontId="16" fillId="2" borderId="0" xfId="0" applyFont="1" applyFill="1"/>
    <xf numFmtId="0" fontId="17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vertical="top"/>
    </xf>
    <xf numFmtId="0" fontId="3" fillId="0" borderId="0" xfId="0" applyFont="1"/>
    <xf numFmtId="0" fontId="9" fillId="2" borderId="0" xfId="0" applyFont="1" applyFill="1"/>
    <xf numFmtId="0" fontId="12" fillId="2" borderId="0" xfId="0" applyFont="1" applyFill="1" applyAlignment="1">
      <alignment wrapText="1"/>
    </xf>
    <xf numFmtId="0" fontId="12" fillId="2" borderId="0" xfId="0" applyFont="1" applyFill="1"/>
    <xf numFmtId="0" fontId="21" fillId="2" borderId="0" xfId="1" applyFont="1" applyFill="1" applyAlignment="1" applyProtection="1">
      <alignment horizontal="left"/>
    </xf>
    <xf numFmtId="0" fontId="22" fillId="2" borderId="0" xfId="0" applyFont="1" applyFill="1"/>
    <xf numFmtId="0" fontId="23" fillId="2" borderId="0" xfId="0" applyFont="1" applyFill="1"/>
    <xf numFmtId="0" fontId="22" fillId="0" borderId="0" xfId="0" applyFont="1"/>
    <xf numFmtId="0" fontId="24" fillId="2" borderId="0" xfId="0" applyFont="1" applyFill="1"/>
    <xf numFmtId="0" fontId="0" fillId="2" borderId="1" xfId="0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center"/>
    </xf>
    <xf numFmtId="0" fontId="12" fillId="2" borderId="0" xfId="0" applyFont="1" applyFill="1" applyAlignment="1">
      <alignment horizontal="left"/>
    </xf>
    <xf numFmtId="0" fontId="24" fillId="2" borderId="0" xfId="0" applyFont="1" applyFill="1" applyAlignment="1">
      <alignment horizontal="left"/>
    </xf>
    <xf numFmtId="0" fontId="29" fillId="2" borderId="0" xfId="0" applyFont="1" applyFill="1" applyAlignment="1">
      <alignment horizontal="center"/>
    </xf>
    <xf numFmtId="0" fontId="30" fillId="2" borderId="0" xfId="0" applyFont="1" applyFill="1"/>
    <xf numFmtId="0" fontId="29" fillId="2" borderId="0" xfId="0" applyFont="1" applyFill="1"/>
    <xf numFmtId="0" fontId="31" fillId="2" borderId="0" xfId="0" applyFont="1" applyFill="1"/>
    <xf numFmtId="0" fontId="32" fillId="2" borderId="0" xfId="0" applyFont="1" applyFill="1"/>
    <xf numFmtId="0" fontId="24" fillId="2" borderId="0" xfId="0" applyFont="1" applyFill="1" applyAlignment="1">
      <alignment horizontal="center"/>
    </xf>
    <xf numFmtId="0" fontId="33" fillId="2" borderId="0" xfId="0" applyFont="1" applyFill="1"/>
    <xf numFmtId="0" fontId="34" fillId="2" borderId="0" xfId="0" applyFont="1" applyFill="1"/>
    <xf numFmtId="0" fontId="35" fillId="2" borderId="0" xfId="0" applyFont="1" applyFill="1" applyAlignment="1">
      <alignment vertical="center"/>
    </xf>
    <xf numFmtId="0" fontId="36" fillId="2" borderId="0" xfId="0" applyFont="1" applyFill="1" applyAlignment="1">
      <alignment vertical="center"/>
    </xf>
    <xf numFmtId="0" fontId="0" fillId="0" borderId="0" xfId="0" applyAlignment="1">
      <alignment horizontal="left" wrapText="1"/>
    </xf>
    <xf numFmtId="0" fontId="0" fillId="3" borderId="15" xfId="0" applyFill="1" applyBorder="1" applyAlignment="1">
      <alignment horizontal="left" wrapText="1"/>
    </xf>
    <xf numFmtId="0" fontId="47" fillId="0" borderId="0" xfId="0" applyFont="1" applyAlignment="1">
      <alignment vertical="top" wrapText="1"/>
    </xf>
    <xf numFmtId="0" fontId="10" fillId="0" borderId="0" xfId="0" applyFont="1" applyAlignment="1">
      <alignment horizontal="left" wrapText="1"/>
    </xf>
    <xf numFmtId="0" fontId="52" fillId="0" borderId="16" xfId="0" applyFont="1" applyBorder="1" applyAlignment="1">
      <alignment horizontal="center" vertical="top" wrapText="1"/>
    </xf>
    <xf numFmtId="0" fontId="50" fillId="0" borderId="16" xfId="0" applyFont="1" applyBorder="1" applyAlignment="1">
      <alignment horizontal="center" vertical="top" wrapText="1"/>
    </xf>
    <xf numFmtId="1" fontId="54" fillId="0" borderId="16" xfId="0" applyNumberFormat="1" applyFont="1" applyBorder="1" applyAlignment="1">
      <alignment horizontal="center" vertical="top" shrinkToFit="1"/>
    </xf>
    <xf numFmtId="0" fontId="10" fillId="0" borderId="0" xfId="0" applyFont="1" applyAlignment="1">
      <alignment horizontal="left" vertical="top"/>
    </xf>
    <xf numFmtId="0" fontId="61" fillId="0" borderId="0" xfId="0" applyFont="1" applyAlignment="1">
      <alignment horizontal="left" vertical="top" wrapText="1"/>
    </xf>
    <xf numFmtId="0" fontId="62" fillId="0" borderId="0" xfId="0" applyFont="1" applyAlignment="1">
      <alignment horizontal="left" vertical="top" wrapText="1"/>
    </xf>
    <xf numFmtId="0" fontId="46" fillId="0" borderId="0" xfId="0" applyFont="1" applyAlignment="1">
      <alignment horizontal="center" vertical="top" wrapText="1"/>
    </xf>
    <xf numFmtId="1" fontId="41" fillId="0" borderId="0" xfId="0" applyNumberFormat="1" applyFont="1" applyAlignment="1">
      <alignment horizontal="center" vertical="top" shrinkToFit="1"/>
    </xf>
    <xf numFmtId="1" fontId="65" fillId="0" borderId="16" xfId="0" applyNumberFormat="1" applyFont="1" applyBorder="1" applyAlignment="1">
      <alignment horizontal="center" vertical="top" shrinkToFit="1"/>
    </xf>
    <xf numFmtId="9" fontId="52" fillId="0" borderId="16" xfId="0" applyNumberFormat="1" applyFont="1" applyBorder="1" applyAlignment="1">
      <alignment horizontal="center" vertical="top" wrapText="1"/>
    </xf>
    <xf numFmtId="1" fontId="65" fillId="4" borderId="21" xfId="0" applyNumberFormat="1" applyFont="1" applyFill="1" applyBorder="1" applyAlignment="1">
      <alignment horizontal="left" vertical="top" shrinkToFit="1"/>
    </xf>
    <xf numFmtId="1" fontId="65" fillId="4" borderId="21" xfId="0" applyNumberFormat="1" applyFont="1" applyFill="1" applyBorder="1" applyAlignment="1">
      <alignment horizontal="center" vertical="top" shrinkToFit="1"/>
    </xf>
    <xf numFmtId="1" fontId="65" fillId="4" borderId="21" xfId="0" applyNumberFormat="1" applyFont="1" applyFill="1" applyBorder="1" applyAlignment="1">
      <alignment horizontal="right" vertical="top" shrinkToFit="1"/>
    </xf>
    <xf numFmtId="1" fontId="65" fillId="4" borderId="22" xfId="0" applyNumberFormat="1" applyFont="1" applyFill="1" applyBorder="1" applyAlignment="1">
      <alignment horizontal="right" vertical="top" shrinkToFit="1"/>
    </xf>
    <xf numFmtId="1" fontId="65" fillId="4" borderId="25" xfId="0" applyNumberFormat="1" applyFont="1" applyFill="1" applyBorder="1" applyAlignment="1">
      <alignment horizontal="left" vertical="top" shrinkToFit="1"/>
    </xf>
    <xf numFmtId="0" fontId="10" fillId="4" borderId="18" xfId="0" applyFont="1" applyFill="1" applyBorder="1" applyAlignment="1">
      <alignment horizontal="left" wrapText="1"/>
    </xf>
    <xf numFmtId="1" fontId="65" fillId="4" borderId="27" xfId="0" applyNumberFormat="1" applyFont="1" applyFill="1" applyBorder="1" applyAlignment="1">
      <alignment horizontal="left" vertical="top" shrinkToFit="1"/>
    </xf>
    <xf numFmtId="1" fontId="65" fillId="4" borderId="28" xfId="0" applyNumberFormat="1" applyFont="1" applyFill="1" applyBorder="1" applyAlignment="1">
      <alignment horizontal="left" vertical="top" shrinkToFit="1"/>
    </xf>
    <xf numFmtId="1" fontId="65" fillId="4" borderId="29" xfId="0" applyNumberFormat="1" applyFont="1" applyFill="1" applyBorder="1" applyAlignment="1">
      <alignment horizontal="left" vertical="top" shrinkToFit="1"/>
    </xf>
    <xf numFmtId="1" fontId="67" fillId="0" borderId="16" xfId="0" applyNumberFormat="1" applyFont="1" applyBorder="1" applyAlignment="1">
      <alignment horizontal="center" vertical="top" shrinkToFit="1"/>
    </xf>
    <xf numFmtId="0" fontId="3" fillId="5" borderId="18" xfId="0" applyFont="1" applyFill="1" applyBorder="1" applyAlignment="1">
      <alignment horizontal="left" wrapText="1"/>
    </xf>
    <xf numFmtId="1" fontId="49" fillId="5" borderId="27" xfId="0" applyNumberFormat="1" applyFont="1" applyFill="1" applyBorder="1" applyAlignment="1">
      <alignment horizontal="center" vertical="top" shrinkToFit="1"/>
    </xf>
    <xf numFmtId="1" fontId="49" fillId="5" borderId="28" xfId="0" applyNumberFormat="1" applyFont="1" applyFill="1" applyBorder="1" applyAlignment="1">
      <alignment horizontal="center" vertical="top" shrinkToFit="1"/>
    </xf>
    <xf numFmtId="1" fontId="49" fillId="5" borderId="28" xfId="0" applyNumberFormat="1" applyFont="1" applyFill="1" applyBorder="1" applyAlignment="1">
      <alignment horizontal="center" vertical="center" shrinkToFit="1"/>
    </xf>
    <xf numFmtId="1" fontId="49" fillId="5" borderId="29" xfId="0" applyNumberFormat="1" applyFont="1" applyFill="1" applyBorder="1" applyAlignment="1">
      <alignment horizontal="center" vertical="top" shrinkToFit="1"/>
    </xf>
    <xf numFmtId="1" fontId="49" fillId="5" borderId="25" xfId="0" applyNumberFormat="1" applyFont="1" applyFill="1" applyBorder="1" applyAlignment="1">
      <alignment horizontal="center" vertical="center" shrinkToFit="1"/>
    </xf>
    <xf numFmtId="1" fontId="49" fillId="5" borderId="21" xfId="0" applyNumberFormat="1" applyFont="1" applyFill="1" applyBorder="1" applyAlignment="1">
      <alignment horizontal="center" vertical="center" shrinkToFit="1"/>
    </xf>
    <xf numFmtId="1" fontId="49" fillId="5" borderId="21" xfId="0" applyNumberFormat="1" applyFont="1" applyFill="1" applyBorder="1" applyAlignment="1">
      <alignment horizontal="right" vertical="center" shrinkToFit="1"/>
    </xf>
    <xf numFmtId="1" fontId="49" fillId="5" borderId="22" xfId="0" applyNumberFormat="1" applyFont="1" applyFill="1" applyBorder="1" applyAlignment="1">
      <alignment horizontal="center" vertical="center" shrinkToFit="1"/>
    </xf>
    <xf numFmtId="1" fontId="71" fillId="0" borderId="26" xfId="0" applyNumberFormat="1" applyFont="1" applyBorder="1" applyAlignment="1">
      <alignment horizontal="center" vertical="top" shrinkToFit="1"/>
    </xf>
    <xf numFmtId="1" fontId="71" fillId="0" borderId="17" xfId="0" applyNumberFormat="1" applyFont="1" applyBorder="1" applyAlignment="1">
      <alignment horizontal="center" vertical="top" shrinkToFit="1"/>
    </xf>
    <xf numFmtId="1" fontId="71" fillId="6" borderId="17" xfId="0" applyNumberFormat="1" applyFont="1" applyFill="1" applyBorder="1" applyAlignment="1">
      <alignment horizontal="center" vertical="top" shrinkToFit="1"/>
    </xf>
    <xf numFmtId="1" fontId="71" fillId="0" borderId="13" xfId="0" applyNumberFormat="1" applyFont="1" applyBorder="1" applyAlignment="1">
      <alignment horizontal="center" vertical="top" shrinkToFit="1"/>
    </xf>
    <xf numFmtId="1" fontId="71" fillId="0" borderId="16" xfId="0" applyNumberFormat="1" applyFont="1" applyBorder="1" applyAlignment="1">
      <alignment horizontal="center" vertical="top" shrinkToFit="1"/>
    </xf>
    <xf numFmtId="1" fontId="71" fillId="6" borderId="16" xfId="0" applyNumberFormat="1" applyFont="1" applyFill="1" applyBorder="1" applyAlignment="1">
      <alignment horizontal="center" vertical="top" shrinkToFit="1"/>
    </xf>
    <xf numFmtId="1" fontId="71" fillId="6" borderId="13" xfId="0" applyNumberFormat="1" applyFont="1" applyFill="1" applyBorder="1" applyAlignment="1">
      <alignment horizontal="center" vertical="top" shrinkToFit="1"/>
    </xf>
    <xf numFmtId="0" fontId="72" fillId="2" borderId="13" xfId="0" applyFont="1" applyFill="1" applyBorder="1" applyAlignment="1">
      <alignment horizontal="center" vertical="top" wrapText="1"/>
    </xf>
    <xf numFmtId="0" fontId="72" fillId="2" borderId="16" xfId="0" applyFont="1" applyFill="1" applyBorder="1" applyAlignment="1">
      <alignment horizontal="center" vertical="top" wrapText="1"/>
    </xf>
    <xf numFmtId="0" fontId="72" fillId="7" borderId="13" xfId="0" applyFont="1" applyFill="1" applyBorder="1" applyAlignment="1">
      <alignment horizontal="center" vertical="top" wrapText="1"/>
    </xf>
    <xf numFmtId="0" fontId="72" fillId="7" borderId="16" xfId="0" applyFont="1" applyFill="1" applyBorder="1" applyAlignment="1">
      <alignment horizontal="center" vertical="top" wrapText="1"/>
    </xf>
    <xf numFmtId="1" fontId="73" fillId="2" borderId="16" xfId="0" applyNumberFormat="1" applyFont="1" applyFill="1" applyBorder="1" applyAlignment="1">
      <alignment horizontal="center" vertical="center" shrinkToFit="1"/>
    </xf>
    <xf numFmtId="1" fontId="73" fillId="4" borderId="16" xfId="0" applyNumberFormat="1" applyFont="1" applyFill="1" applyBorder="1" applyAlignment="1">
      <alignment horizontal="center" vertical="center" shrinkToFit="1"/>
    </xf>
    <xf numFmtId="10" fontId="0" fillId="0" borderId="0" xfId="0" applyNumberFormat="1" applyAlignment="1">
      <alignment horizontal="left" wrapText="1"/>
    </xf>
    <xf numFmtId="0" fontId="11" fillId="3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vertical="top" wrapText="1"/>
    </xf>
    <xf numFmtId="0" fontId="12" fillId="2" borderId="0" xfId="0" applyFont="1" applyFill="1" applyAlignment="1">
      <alignment horizontal="center"/>
    </xf>
    <xf numFmtId="0" fontId="13" fillId="2" borderId="0" xfId="0" applyFont="1" applyFill="1" applyAlignment="1">
      <alignment horizontal="left" vertical="top"/>
    </xf>
    <xf numFmtId="0" fontId="17" fillId="2" borderId="0" xfId="0" applyFont="1" applyFill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0" fillId="2" borderId="0" xfId="0" applyFill="1" applyAlignment="1">
      <alignment horizontal="center" wrapText="1"/>
    </xf>
    <xf numFmtId="0" fontId="3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top" wrapText="1"/>
    </xf>
    <xf numFmtId="0" fontId="36" fillId="2" borderId="5" xfId="0" applyFont="1" applyFill="1" applyBorder="1" applyAlignment="1">
      <alignment horizontal="center" vertical="center"/>
    </xf>
    <xf numFmtId="0" fontId="36" fillId="2" borderId="0" xfId="0" applyFont="1" applyFill="1" applyAlignment="1">
      <alignment horizontal="center" vertical="center"/>
    </xf>
    <xf numFmtId="0" fontId="36" fillId="2" borderId="2" xfId="0" applyFont="1" applyFill="1" applyBorder="1" applyAlignment="1">
      <alignment horizontal="center" vertical="center"/>
    </xf>
    <xf numFmtId="0" fontId="36" fillId="2" borderId="4" xfId="0" applyFont="1" applyFill="1" applyBorder="1" applyAlignment="1">
      <alignment horizontal="center" vertical="center"/>
    </xf>
    <xf numFmtId="0" fontId="36" fillId="2" borderId="3" xfId="0" applyFont="1" applyFill="1" applyBorder="1" applyAlignment="1">
      <alignment horizontal="center" vertical="center"/>
    </xf>
    <xf numFmtId="0" fontId="36" fillId="2" borderId="6" xfId="0" applyFont="1" applyFill="1" applyBorder="1" applyAlignment="1">
      <alignment horizontal="center" vertical="center"/>
    </xf>
    <xf numFmtId="0" fontId="36" fillId="2" borderId="7" xfId="0" applyFont="1" applyFill="1" applyBorder="1" applyAlignment="1">
      <alignment horizontal="center" vertical="center"/>
    </xf>
    <xf numFmtId="0" fontId="36" fillId="2" borderId="8" xfId="0" applyFont="1" applyFill="1" applyBorder="1" applyAlignment="1">
      <alignment horizontal="center" vertical="center"/>
    </xf>
    <xf numFmtId="0" fontId="36" fillId="2" borderId="9" xfId="0" applyFont="1" applyFill="1" applyBorder="1" applyAlignment="1">
      <alignment horizontal="center" vertical="center"/>
    </xf>
    <xf numFmtId="0" fontId="36" fillId="2" borderId="6" xfId="0" applyFont="1" applyFill="1" applyBorder="1" applyAlignment="1">
      <alignment horizontal="left" vertical="center" wrapText="1"/>
    </xf>
    <xf numFmtId="0" fontId="36" fillId="2" borderId="7" xfId="0" applyFont="1" applyFill="1" applyBorder="1" applyAlignment="1">
      <alignment horizontal="left" vertical="center" wrapText="1"/>
    </xf>
    <xf numFmtId="0" fontId="36" fillId="2" borderId="8" xfId="0" applyFont="1" applyFill="1" applyBorder="1" applyAlignment="1">
      <alignment horizontal="left" vertical="center" wrapText="1"/>
    </xf>
    <xf numFmtId="0" fontId="36" fillId="2" borderId="9" xfId="0" applyFont="1" applyFill="1" applyBorder="1" applyAlignment="1">
      <alignment horizontal="left" vertical="center" wrapText="1"/>
    </xf>
    <xf numFmtId="0" fontId="36" fillId="2" borderId="6" xfId="0" applyFont="1" applyFill="1" applyBorder="1" applyAlignment="1">
      <alignment horizontal="center" vertical="center" wrapText="1"/>
    </xf>
    <xf numFmtId="0" fontId="36" fillId="2" borderId="7" xfId="0" applyFont="1" applyFill="1" applyBorder="1" applyAlignment="1">
      <alignment horizontal="center" vertical="center" wrapText="1"/>
    </xf>
    <xf numFmtId="0" fontId="36" fillId="2" borderId="8" xfId="0" applyFont="1" applyFill="1" applyBorder="1" applyAlignment="1">
      <alignment horizontal="center" vertical="center" wrapText="1"/>
    </xf>
    <xf numFmtId="0" fontId="36" fillId="2" borderId="9" xfId="0" applyFont="1" applyFill="1" applyBorder="1" applyAlignment="1">
      <alignment horizontal="center" vertical="center" wrapText="1"/>
    </xf>
    <xf numFmtId="0" fontId="27" fillId="2" borderId="6" xfId="0" applyFont="1" applyFill="1" applyBorder="1" applyAlignment="1">
      <alignment horizontal="center" vertical="center"/>
    </xf>
    <xf numFmtId="0" fontId="27" fillId="2" borderId="7" xfId="0" applyFont="1" applyFill="1" applyBorder="1" applyAlignment="1">
      <alignment horizontal="center" vertical="center"/>
    </xf>
    <xf numFmtId="0" fontId="27" fillId="2" borderId="8" xfId="0" applyFont="1" applyFill="1" applyBorder="1" applyAlignment="1">
      <alignment horizontal="center" vertical="center"/>
    </xf>
    <xf numFmtId="0" fontId="27" fillId="2" borderId="9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6" fillId="2" borderId="6" xfId="0" applyFont="1" applyFill="1" applyBorder="1" applyAlignment="1">
      <alignment horizontal="left" vertical="center"/>
    </xf>
    <xf numFmtId="0" fontId="36" fillId="2" borderId="7" xfId="0" applyFont="1" applyFill="1" applyBorder="1" applyAlignment="1">
      <alignment horizontal="left" vertical="center"/>
    </xf>
    <xf numFmtId="0" fontId="36" fillId="2" borderId="8" xfId="0" applyFont="1" applyFill="1" applyBorder="1" applyAlignment="1">
      <alignment horizontal="left" vertical="center"/>
    </xf>
    <xf numFmtId="0" fontId="36" fillId="2" borderId="9" xfId="0" applyFont="1" applyFill="1" applyBorder="1" applyAlignment="1">
      <alignment horizontal="left" vertical="center"/>
    </xf>
    <xf numFmtId="0" fontId="34" fillId="2" borderId="0" xfId="0" applyFont="1" applyFill="1" applyAlignment="1">
      <alignment horizontal="center"/>
    </xf>
    <xf numFmtId="0" fontId="35" fillId="2" borderId="2" xfId="0" applyFont="1" applyFill="1" applyBorder="1" applyAlignment="1">
      <alignment horizontal="center" vertical="center"/>
    </xf>
    <xf numFmtId="0" fontId="35" fillId="2" borderId="3" xfId="0" applyFont="1" applyFill="1" applyBorder="1" applyAlignment="1">
      <alignment horizontal="center" vertical="center"/>
    </xf>
    <xf numFmtId="0" fontId="35" fillId="2" borderId="4" xfId="0" applyFont="1" applyFill="1" applyBorder="1" applyAlignment="1">
      <alignment horizontal="center" vertical="center"/>
    </xf>
    <xf numFmtId="0" fontId="35" fillId="2" borderId="2" xfId="0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/>
    </xf>
    <xf numFmtId="0" fontId="35" fillId="2" borderId="0" xfId="0" applyFont="1" applyFill="1" applyAlignment="1">
      <alignment horizontal="center" vertical="center"/>
    </xf>
    <xf numFmtId="0" fontId="27" fillId="2" borderId="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9" fillId="2" borderId="0" xfId="0" applyFont="1" applyFill="1" applyAlignment="1">
      <alignment horizontal="center"/>
    </xf>
    <xf numFmtId="0" fontId="31" fillId="2" borderId="0" xfId="0" applyFont="1" applyFill="1" applyAlignment="1">
      <alignment horizontal="center"/>
    </xf>
    <xf numFmtId="0" fontId="26" fillId="2" borderId="1" xfId="0" applyFont="1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4" fillId="0" borderId="0" xfId="1" applyAlignment="1" applyProtection="1">
      <alignment horizontal="left"/>
    </xf>
    <xf numFmtId="0" fontId="18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wrapText="1"/>
    </xf>
    <xf numFmtId="0" fontId="3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 wrapText="1"/>
    </xf>
    <xf numFmtId="0" fontId="59" fillId="0" borderId="33" xfId="0" applyFont="1" applyBorder="1" applyAlignment="1">
      <alignment horizontal="left" vertical="top" wrapText="1"/>
    </xf>
    <xf numFmtId="0" fontId="59" fillId="0" borderId="12" xfId="0" applyFont="1" applyBorder="1" applyAlignment="1">
      <alignment horizontal="left" vertical="top" wrapText="1"/>
    </xf>
    <xf numFmtId="0" fontId="59" fillId="0" borderId="13" xfId="0" applyFont="1" applyBorder="1" applyAlignment="1">
      <alignment horizontal="left" vertical="top" wrapText="1"/>
    </xf>
    <xf numFmtId="0" fontId="59" fillId="0" borderId="11" xfId="0" applyFont="1" applyBorder="1" applyAlignment="1">
      <alignment horizontal="center" vertical="top" wrapText="1"/>
    </xf>
    <xf numFmtId="0" fontId="59" fillId="0" borderId="13" xfId="0" applyFont="1" applyBorder="1" applyAlignment="1">
      <alignment horizontal="center" vertical="top" wrapText="1"/>
    </xf>
    <xf numFmtId="1" fontId="64" fillId="0" borderId="11" xfId="0" applyNumberFormat="1" applyFont="1" applyBorder="1" applyAlignment="1">
      <alignment horizontal="center" vertical="top" shrinkToFit="1"/>
    </xf>
    <xf numFmtId="1" fontId="64" fillId="0" borderId="12" xfId="0" applyNumberFormat="1" applyFont="1" applyBorder="1" applyAlignment="1">
      <alignment horizontal="center" vertical="top" shrinkToFit="1"/>
    </xf>
    <xf numFmtId="1" fontId="64" fillId="0" borderId="34" xfId="0" applyNumberFormat="1" applyFont="1" applyBorder="1" applyAlignment="1">
      <alignment horizontal="center" vertical="top" shrinkToFit="1"/>
    </xf>
    <xf numFmtId="0" fontId="0" fillId="0" borderId="0" xfId="0"/>
    <xf numFmtId="0" fontId="37" fillId="3" borderId="23" xfId="0" applyFont="1" applyFill="1" applyBorder="1" applyAlignment="1">
      <alignment horizontal="center" vertical="top" wrapText="1"/>
    </xf>
    <xf numFmtId="0" fontId="38" fillId="3" borderId="0" xfId="0" applyFont="1" applyFill="1" applyAlignment="1">
      <alignment horizontal="center" vertical="top" wrapText="1"/>
    </xf>
    <xf numFmtId="0" fontId="48" fillId="0" borderId="0" xfId="0" applyFont="1" applyAlignment="1">
      <alignment horizontal="center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60" fillId="0" borderId="11" xfId="0" applyFont="1" applyBorder="1" applyAlignment="1">
      <alignment horizontal="center" vertical="top" wrapText="1"/>
    </xf>
    <xf numFmtId="0" fontId="60" fillId="0" borderId="13" xfId="0" applyFont="1" applyBorder="1" applyAlignment="1">
      <alignment horizontal="center" vertical="top" wrapText="1"/>
    </xf>
    <xf numFmtId="1" fontId="63" fillId="0" borderId="11" xfId="0" applyNumberFormat="1" applyFont="1" applyBorder="1" applyAlignment="1">
      <alignment horizontal="center" vertical="top" shrinkToFit="1"/>
    </xf>
    <xf numFmtId="1" fontId="63" fillId="0" borderId="12" xfId="0" applyNumberFormat="1" applyFont="1" applyBorder="1" applyAlignment="1">
      <alignment horizontal="center" vertical="top" shrinkToFit="1"/>
    </xf>
    <xf numFmtId="1" fontId="63" fillId="0" borderId="34" xfId="0" applyNumberFormat="1" applyFont="1" applyBorder="1" applyAlignment="1">
      <alignment horizontal="center" vertical="top" shrinkToFit="1"/>
    </xf>
    <xf numFmtId="0" fontId="0" fillId="0" borderId="0" xfId="0" applyAlignment="1">
      <alignment horizontal="left" wrapText="1"/>
    </xf>
    <xf numFmtId="0" fontId="0" fillId="0" borderId="13" xfId="0" applyBorder="1" applyAlignment="1">
      <alignment horizontal="center" vertical="top" wrapText="1"/>
    </xf>
    <xf numFmtId="0" fontId="0" fillId="0" borderId="12" xfId="0" applyBorder="1" applyAlignment="1">
      <alignment horizontal="center" vertical="top" shrinkToFit="1"/>
    </xf>
    <xf numFmtId="0" fontId="0" fillId="0" borderId="34" xfId="0" applyBorder="1" applyAlignment="1">
      <alignment horizontal="center" vertical="top" shrinkToFit="1"/>
    </xf>
    <xf numFmtId="0" fontId="70" fillId="0" borderId="0" xfId="0" applyFont="1" applyAlignment="1">
      <alignment horizontal="left" vertical="center" wrapText="1" indent="1"/>
    </xf>
    <xf numFmtId="0" fontId="68" fillId="0" borderId="0" xfId="0" applyFont="1" applyAlignment="1">
      <alignment horizontal="left" vertical="center" wrapText="1" indent="1"/>
    </xf>
    <xf numFmtId="0" fontId="59" fillId="0" borderId="35" xfId="0" applyFont="1" applyBorder="1" applyAlignment="1">
      <alignment horizontal="left" vertical="top" wrapText="1"/>
    </xf>
    <xf numFmtId="0" fontId="14" fillId="0" borderId="36" xfId="0" applyFont="1" applyBorder="1" applyAlignment="1">
      <alignment horizontal="left" vertical="top" wrapText="1"/>
    </xf>
    <xf numFmtId="0" fontId="14" fillId="0" borderId="37" xfId="0" applyFont="1" applyBorder="1" applyAlignment="1">
      <alignment horizontal="left" vertical="top" wrapText="1"/>
    </xf>
    <xf numFmtId="0" fontId="59" fillId="0" borderId="38" xfId="0" applyFont="1" applyBorder="1" applyAlignment="1">
      <alignment horizontal="center" vertical="top" wrapText="1"/>
    </xf>
    <xf numFmtId="0" fontId="59" fillId="0" borderId="37" xfId="0" applyFont="1" applyBorder="1" applyAlignment="1">
      <alignment horizontal="center" vertical="top" wrapText="1"/>
    </xf>
    <xf numFmtId="1" fontId="63" fillId="0" borderId="38" xfId="0" applyNumberFormat="1" applyFont="1" applyBorder="1" applyAlignment="1">
      <alignment horizontal="center" vertical="top" shrinkToFit="1"/>
    </xf>
    <xf numFmtId="1" fontId="63" fillId="0" borderId="36" xfId="0" applyNumberFormat="1" applyFont="1" applyBorder="1" applyAlignment="1">
      <alignment horizontal="center" vertical="top" shrinkToFit="1"/>
    </xf>
    <xf numFmtId="1" fontId="63" fillId="0" borderId="39" xfId="0" applyNumberFormat="1" applyFont="1" applyBorder="1" applyAlignment="1">
      <alignment horizontal="center" vertical="top" shrinkToFit="1"/>
    </xf>
    <xf numFmtId="0" fontId="42" fillId="0" borderId="33" xfId="0" applyFont="1" applyBorder="1" applyAlignment="1">
      <alignment horizontal="center" vertical="top" wrapText="1"/>
    </xf>
    <xf numFmtId="0" fontId="42" fillId="0" borderId="12" xfId="0" applyFont="1" applyBorder="1" applyAlignment="1">
      <alignment horizontal="center" vertical="top" wrapText="1"/>
    </xf>
    <xf numFmtId="0" fontId="42" fillId="0" borderId="13" xfId="0" applyFont="1" applyBorder="1" applyAlignment="1">
      <alignment horizontal="center" vertical="top" wrapText="1"/>
    </xf>
    <xf numFmtId="0" fontId="42" fillId="0" borderId="11" xfId="0" applyFont="1" applyBorder="1" applyAlignment="1">
      <alignment horizontal="center" vertical="top" wrapText="1"/>
    </xf>
    <xf numFmtId="0" fontId="42" fillId="0" borderId="34" xfId="0" applyFont="1" applyBorder="1" applyAlignment="1">
      <alignment horizontal="center" vertical="top" wrapText="1"/>
    </xf>
    <xf numFmtId="0" fontId="59" fillId="0" borderId="36" xfId="0" applyFont="1" applyBorder="1" applyAlignment="1">
      <alignment horizontal="left" vertical="top" wrapText="1"/>
    </xf>
    <xf numFmtId="0" fontId="59" fillId="0" borderId="37" xfId="0" applyFont="1" applyBorder="1" applyAlignment="1">
      <alignment horizontal="left" vertical="top" wrapText="1"/>
    </xf>
    <xf numFmtId="1" fontId="64" fillId="0" borderId="38" xfId="0" applyNumberFormat="1" applyFont="1" applyBorder="1" applyAlignment="1">
      <alignment horizontal="center" vertical="top" shrinkToFit="1"/>
    </xf>
    <xf numFmtId="1" fontId="64" fillId="0" borderId="36" xfId="0" applyNumberFormat="1" applyFont="1" applyBorder="1" applyAlignment="1">
      <alignment horizontal="center" vertical="top" shrinkToFit="1"/>
    </xf>
    <xf numFmtId="1" fontId="64" fillId="0" borderId="39" xfId="0" applyNumberFormat="1" applyFont="1" applyBorder="1" applyAlignment="1">
      <alignment horizontal="center" vertical="top" shrinkToFit="1"/>
    </xf>
    <xf numFmtId="9" fontId="59" fillId="0" borderId="11" xfId="0" applyNumberFormat="1" applyFont="1" applyBorder="1" applyAlignment="1">
      <alignment horizontal="left" vertical="top" wrapText="1" indent="7"/>
    </xf>
    <xf numFmtId="0" fontId="59" fillId="0" borderId="12" xfId="0" applyFont="1" applyBorder="1" applyAlignment="1">
      <alignment horizontal="left" vertical="top" wrapText="1" indent="7"/>
    </xf>
    <xf numFmtId="0" fontId="59" fillId="0" borderId="34" xfId="0" applyFont="1" applyBorder="1" applyAlignment="1">
      <alignment horizontal="left" vertical="top" wrapText="1" indent="7"/>
    </xf>
    <xf numFmtId="0" fontId="45" fillId="3" borderId="30" xfId="0" applyFont="1" applyFill="1" applyBorder="1" applyAlignment="1">
      <alignment horizontal="center" vertical="top" wrapText="1"/>
    </xf>
    <xf numFmtId="0" fontId="44" fillId="3" borderId="31" xfId="0" applyFont="1" applyFill="1" applyBorder="1" applyAlignment="1">
      <alignment horizontal="center" vertical="top" wrapText="1"/>
    </xf>
    <xf numFmtId="0" fontId="44" fillId="3" borderId="32" xfId="0" applyFont="1" applyFill="1" applyBorder="1" applyAlignment="1">
      <alignment horizontal="center" vertical="top" wrapText="1"/>
    </xf>
    <xf numFmtId="0" fontId="44" fillId="3" borderId="30" xfId="0" applyFont="1" applyFill="1" applyBorder="1" applyAlignment="1">
      <alignment horizontal="center" vertical="top" wrapText="1"/>
    </xf>
    <xf numFmtId="0" fontId="39" fillId="3" borderId="19" xfId="0" applyFont="1" applyFill="1" applyBorder="1" applyAlignment="1">
      <alignment horizontal="center" vertical="center" wrapText="1"/>
    </xf>
    <xf numFmtId="0" fontId="39" fillId="3" borderId="14" xfId="0" applyFont="1" applyFill="1" applyBorder="1" applyAlignment="1">
      <alignment horizontal="center" vertical="center" wrapText="1"/>
    </xf>
    <xf numFmtId="0" fontId="39" fillId="3" borderId="20" xfId="0" applyFont="1" applyFill="1" applyBorder="1" applyAlignment="1">
      <alignment horizontal="center" vertical="center" wrapText="1"/>
    </xf>
    <xf numFmtId="0" fontId="40" fillId="3" borderId="23" xfId="0" applyFont="1" applyFill="1" applyBorder="1" applyAlignment="1">
      <alignment horizontal="center" vertical="center" textRotation="90" wrapText="1"/>
    </xf>
    <xf numFmtId="0" fontId="40" fillId="3" borderId="24" xfId="0" applyFont="1" applyFill="1" applyBorder="1" applyAlignment="1">
      <alignment horizontal="center" vertical="center" textRotation="90" wrapText="1"/>
    </xf>
    <xf numFmtId="10" fontId="0" fillId="0" borderId="14" xfId="0" applyNumberFormat="1" applyBorder="1" applyAlignment="1">
      <alignment horizontal="left" wrapText="1"/>
    </xf>
    <xf numFmtId="0" fontId="0" fillId="0" borderId="14" xfId="0" applyBorder="1" applyAlignment="1">
      <alignment horizontal="left" wrapText="1"/>
    </xf>
    <xf numFmtId="9" fontId="59" fillId="0" borderId="38" xfId="0" applyNumberFormat="1" applyFont="1" applyBorder="1" applyAlignment="1">
      <alignment horizontal="left" vertical="top" wrapText="1" indent="7"/>
    </xf>
    <xf numFmtId="0" fontId="59" fillId="0" borderId="36" xfId="0" applyFont="1" applyBorder="1" applyAlignment="1">
      <alignment horizontal="left" vertical="top" wrapText="1" indent="7"/>
    </xf>
    <xf numFmtId="0" fontId="59" fillId="0" borderId="39" xfId="0" applyFont="1" applyBorder="1" applyAlignment="1">
      <alignment horizontal="left" vertical="top" wrapText="1" indent="7"/>
    </xf>
    <xf numFmtId="0" fontId="66" fillId="0" borderId="11" xfId="0" applyFont="1" applyBorder="1" applyAlignment="1">
      <alignment horizontal="left" vertical="top" wrapText="1"/>
    </xf>
    <xf numFmtId="0" fontId="57" fillId="0" borderId="12" xfId="0" applyFont="1" applyBorder="1" applyAlignment="1">
      <alignment horizontal="left" vertical="top" wrapText="1"/>
    </xf>
    <xf numFmtId="0" fontId="57" fillId="0" borderId="13" xfId="0" applyFont="1" applyBorder="1" applyAlignment="1">
      <alignment horizontal="left" vertical="top" wrapText="1"/>
    </xf>
    <xf numFmtId="0" fontId="52" fillId="0" borderId="11" xfId="0" applyFont="1" applyBorder="1" applyAlignment="1">
      <alignment horizontal="left" vertical="top" wrapText="1"/>
    </xf>
    <xf numFmtId="0" fontId="0" fillId="0" borderId="12" xfId="0" applyBorder="1" applyAlignment="1">
      <alignment vertical="top"/>
    </xf>
    <xf numFmtId="0" fontId="0" fillId="0" borderId="13" xfId="0" applyBorder="1" applyAlignment="1">
      <alignment vertical="top"/>
    </xf>
    <xf numFmtId="0" fontId="57" fillId="0" borderId="11" xfId="0" applyFont="1" applyBorder="1" applyAlignment="1">
      <alignment horizontal="left" vertical="top" wrapText="1"/>
    </xf>
    <xf numFmtId="0" fontId="48" fillId="0" borderId="12" xfId="0" applyFont="1" applyBorder="1" applyAlignment="1">
      <alignment horizontal="left" vertical="top" wrapText="1"/>
    </xf>
    <xf numFmtId="0" fontId="48" fillId="0" borderId="13" xfId="0" applyFont="1" applyBorder="1" applyAlignment="1">
      <alignment horizontal="left" vertical="top" wrapText="1"/>
    </xf>
    <xf numFmtId="0" fontId="52" fillId="0" borderId="12" xfId="0" applyFont="1" applyBorder="1" applyAlignment="1">
      <alignment horizontal="left" vertical="top" wrapText="1"/>
    </xf>
    <xf numFmtId="0" fontId="69" fillId="0" borderId="0" xfId="0" applyFont="1" applyAlignment="1">
      <alignment horizontal="left" vertical="center" wrapText="1"/>
    </xf>
    <xf numFmtId="0" fontId="68" fillId="0" borderId="12" xfId="0" applyFont="1" applyBorder="1" applyAlignment="1">
      <alignment horizontal="left" vertical="top" wrapText="1"/>
    </xf>
    <xf numFmtId="0" fontId="68" fillId="0" borderId="13" xfId="0" applyFont="1" applyBorder="1" applyAlignment="1">
      <alignment horizontal="left" vertical="top" wrapText="1"/>
    </xf>
    <xf numFmtId="0" fontId="53" fillId="3" borderId="11" xfId="0" applyFont="1" applyFill="1" applyBorder="1" applyAlignment="1">
      <alignment horizontal="center" vertical="top" wrapText="1"/>
    </xf>
    <xf numFmtId="0" fontId="52" fillId="3" borderId="12" xfId="0" applyFont="1" applyFill="1" applyBorder="1" applyAlignment="1">
      <alignment horizontal="center" vertical="top" wrapText="1"/>
    </xf>
    <xf numFmtId="0" fontId="52" fillId="3" borderId="13" xfId="0" applyFont="1" applyFill="1" applyBorder="1" applyAlignment="1">
      <alignment horizontal="center" vertical="top" wrapText="1"/>
    </xf>
    <xf numFmtId="0" fontId="52" fillId="0" borderId="11" xfId="0" applyFont="1" applyBorder="1" applyAlignment="1">
      <alignment horizontal="center" vertical="top" wrapText="1"/>
    </xf>
    <xf numFmtId="0" fontId="52" fillId="0" borderId="12" xfId="0" applyFont="1" applyBorder="1" applyAlignment="1">
      <alignment horizontal="center" vertical="top" wrapText="1"/>
    </xf>
    <xf numFmtId="0" fontId="0" fillId="0" borderId="10" xfId="0" applyBorder="1"/>
    <xf numFmtId="0" fontId="5" fillId="0" borderId="12" xfId="0" applyFont="1" applyBorder="1" applyAlignment="1">
      <alignment horizontal="center" vertical="center" wrapText="1"/>
    </xf>
    <xf numFmtId="0" fontId="55" fillId="3" borderId="11" xfId="0" applyFont="1" applyFill="1" applyBorder="1" applyAlignment="1">
      <alignment horizontal="center" vertical="top" wrapText="1"/>
    </xf>
    <xf numFmtId="0" fontId="56" fillId="3" borderId="11" xfId="0" applyFont="1" applyFill="1" applyBorder="1" applyAlignment="1">
      <alignment horizontal="center" vertical="top" wrapText="1"/>
    </xf>
    <xf numFmtId="0" fontId="56" fillId="3" borderId="14" xfId="0" applyFont="1" applyFill="1" applyBorder="1" applyAlignment="1">
      <alignment horizontal="center" vertical="top" wrapText="1"/>
    </xf>
    <xf numFmtId="0" fontId="56" fillId="3" borderId="20" xfId="0" applyFont="1" applyFill="1" applyBorder="1" applyAlignment="1">
      <alignment horizontal="center" vertical="top" wrapText="1"/>
    </xf>
    <xf numFmtId="0" fontId="56" fillId="3" borderId="19" xfId="0" applyFont="1" applyFill="1" applyBorder="1" applyAlignment="1">
      <alignment horizontal="center" vertical="center" textRotation="90" wrapText="1"/>
    </xf>
    <xf numFmtId="0" fontId="56" fillId="3" borderId="23" xfId="0" applyFont="1" applyFill="1" applyBorder="1" applyAlignment="1">
      <alignment horizontal="center" vertical="center" textRotation="90" wrapText="1"/>
    </xf>
    <xf numFmtId="0" fontId="56" fillId="3" borderId="24" xfId="0" applyFont="1" applyFill="1" applyBorder="1" applyAlignment="1">
      <alignment horizontal="center" vertical="center" textRotation="90" wrapText="1"/>
    </xf>
    <xf numFmtId="0" fontId="57" fillId="3" borderId="11" xfId="0" applyFont="1" applyFill="1" applyBorder="1" applyAlignment="1">
      <alignment horizontal="center" vertical="top" wrapText="1"/>
    </xf>
    <xf numFmtId="0" fontId="57" fillId="3" borderId="12" xfId="0" applyFont="1" applyFill="1" applyBorder="1" applyAlignment="1">
      <alignment horizontal="center" vertical="top" wrapText="1"/>
    </xf>
    <xf numFmtId="0" fontId="57" fillId="3" borderId="13" xfId="0" applyFont="1" applyFill="1" applyBorder="1" applyAlignment="1">
      <alignment horizontal="center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jpeg"/><Relationship Id="rId2" Type="http://schemas.openxmlformats.org/officeDocument/2006/relationships/image" Target="../media/image15.jpeg"/><Relationship Id="rId1" Type="http://schemas.openxmlformats.org/officeDocument/2006/relationships/image" Target="../media/image14.jpeg"/><Relationship Id="rId4" Type="http://schemas.openxmlformats.org/officeDocument/2006/relationships/image" Target="../media/image17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9.jpeg"/><Relationship Id="rId1" Type="http://schemas.openxmlformats.org/officeDocument/2006/relationships/image" Target="../media/image18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136070</xdr:colOff>
      <xdr:row>29</xdr:row>
      <xdr:rowOff>0</xdr:rowOff>
    </xdr:from>
    <xdr:ext cx="5207" cy="2748"/>
    <xdr:pic>
      <xdr:nvPicPr>
        <xdr:cNvPr id="2" name="Рисунок 1">
          <a:extLst>
            <a:ext uri="{FF2B5EF4-FFF2-40B4-BE49-F238E27FC236}">
              <a16:creationId xmlns:a16="http://schemas.microsoft.com/office/drawing/2014/main" id="{40DA99C2-B8A0-4C00-A0F2-7F9BB3C566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474" t="44779" r="6656" b="51585"/>
        <a:stretch/>
      </xdr:blipFill>
      <xdr:spPr>
        <a:xfrm>
          <a:off x="745670" y="13249275"/>
          <a:ext cx="5207" cy="2748"/>
        </a:xfrm>
        <a:prstGeom prst="rect">
          <a:avLst/>
        </a:prstGeom>
      </xdr:spPr>
    </xdr:pic>
    <xdr:clientData/>
  </xdr:oneCellAnchor>
  <xdr:oneCellAnchor>
    <xdr:from>
      <xdr:col>4</xdr:col>
      <xdr:colOff>122467</xdr:colOff>
      <xdr:row>29</xdr:row>
      <xdr:rowOff>0</xdr:rowOff>
    </xdr:from>
    <xdr:ext cx="3956" cy="1756"/>
    <xdr:pic>
      <xdr:nvPicPr>
        <xdr:cNvPr id="3" name="Рисунок 2">
          <a:extLst>
            <a:ext uri="{FF2B5EF4-FFF2-40B4-BE49-F238E27FC236}">
              <a16:creationId xmlns:a16="http://schemas.microsoft.com/office/drawing/2014/main" id="{39E42342-214F-4960-9050-1E32639F84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/>
      </xdr:blipFill>
      <xdr:spPr>
        <a:xfrm>
          <a:off x="2560867" y="13249275"/>
          <a:ext cx="3956" cy="1756"/>
        </a:xfrm>
        <a:prstGeom prst="rect">
          <a:avLst/>
        </a:prstGeom>
      </xdr:spPr>
    </xdr:pic>
    <xdr:clientData/>
  </xdr:oneCellAnchor>
  <xdr:oneCellAnchor>
    <xdr:from>
      <xdr:col>6</xdr:col>
      <xdr:colOff>81643</xdr:colOff>
      <xdr:row>29</xdr:row>
      <xdr:rowOff>0</xdr:rowOff>
    </xdr:from>
    <xdr:ext cx="3945" cy="4526"/>
    <xdr:pic>
      <xdr:nvPicPr>
        <xdr:cNvPr id="4" name="Рисунок 3">
          <a:extLst>
            <a:ext uri="{FF2B5EF4-FFF2-40B4-BE49-F238E27FC236}">
              <a16:creationId xmlns:a16="http://schemas.microsoft.com/office/drawing/2014/main" id="{A772A17B-148F-494B-8855-E67BDDE966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r="22836" b="38059"/>
        <a:stretch/>
      </xdr:blipFill>
      <xdr:spPr>
        <a:xfrm>
          <a:off x="3739243" y="13249275"/>
          <a:ext cx="3945" cy="4526"/>
        </a:xfrm>
        <a:prstGeom prst="rect">
          <a:avLst/>
        </a:prstGeom>
      </xdr:spPr>
    </xdr:pic>
    <xdr:clientData/>
  </xdr:oneCellAnchor>
  <xdr:oneCellAnchor>
    <xdr:from>
      <xdr:col>8</xdr:col>
      <xdr:colOff>27214</xdr:colOff>
      <xdr:row>29</xdr:row>
      <xdr:rowOff>0</xdr:rowOff>
    </xdr:from>
    <xdr:ext cx="3962" cy="4531"/>
    <xdr:pic>
      <xdr:nvPicPr>
        <xdr:cNvPr id="5" name="Рисунок 4">
          <a:extLst>
            <a:ext uri="{FF2B5EF4-FFF2-40B4-BE49-F238E27FC236}">
              <a16:creationId xmlns:a16="http://schemas.microsoft.com/office/drawing/2014/main" id="{04216D07-570C-45D8-8AF7-C8F5F6E863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845" t="53572" r="-107" b="32462"/>
        <a:stretch/>
      </xdr:blipFill>
      <xdr:spPr>
        <a:xfrm>
          <a:off x="4904014" y="13249275"/>
          <a:ext cx="3962" cy="4531"/>
        </a:xfrm>
        <a:prstGeom prst="rect">
          <a:avLst/>
        </a:prstGeom>
      </xdr:spPr>
    </xdr:pic>
    <xdr:clientData/>
  </xdr:oneCellAnchor>
  <xdr:oneCellAnchor>
    <xdr:from>
      <xdr:col>10</xdr:col>
      <xdr:colOff>54428</xdr:colOff>
      <xdr:row>29</xdr:row>
      <xdr:rowOff>0</xdr:rowOff>
    </xdr:from>
    <xdr:ext cx="3967" cy="3963"/>
    <xdr:pic>
      <xdr:nvPicPr>
        <xdr:cNvPr id="6" name="Рисунок 5">
          <a:extLst>
            <a:ext uri="{FF2B5EF4-FFF2-40B4-BE49-F238E27FC236}">
              <a16:creationId xmlns:a16="http://schemas.microsoft.com/office/drawing/2014/main" id="{9DFABC95-0A07-4A89-923C-EDAB0259F6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389" t="32525" b="38585"/>
        <a:stretch/>
      </xdr:blipFill>
      <xdr:spPr>
        <a:xfrm>
          <a:off x="6150428" y="13249275"/>
          <a:ext cx="3967" cy="3963"/>
        </a:xfrm>
        <a:prstGeom prst="rect">
          <a:avLst/>
        </a:prstGeom>
      </xdr:spPr>
    </xdr:pic>
    <xdr:clientData/>
  </xdr:oneCellAnchor>
  <xdr:oneCellAnchor>
    <xdr:from>
      <xdr:col>12</xdr:col>
      <xdr:colOff>95256</xdr:colOff>
      <xdr:row>29</xdr:row>
      <xdr:rowOff>0</xdr:rowOff>
    </xdr:from>
    <xdr:ext cx="3955" cy="3957"/>
    <xdr:pic>
      <xdr:nvPicPr>
        <xdr:cNvPr id="7" name="Рисунок 6">
          <a:extLst>
            <a:ext uri="{FF2B5EF4-FFF2-40B4-BE49-F238E27FC236}">
              <a16:creationId xmlns:a16="http://schemas.microsoft.com/office/drawing/2014/main" id="{CC68E2BC-44FD-441C-A3C6-B7A073775E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142" t="38074" r="1758" b="29209"/>
        <a:stretch/>
      </xdr:blipFill>
      <xdr:spPr>
        <a:xfrm>
          <a:off x="7410456" y="13249275"/>
          <a:ext cx="3955" cy="3957"/>
        </a:xfrm>
        <a:prstGeom prst="rect">
          <a:avLst/>
        </a:prstGeom>
      </xdr:spPr>
    </xdr:pic>
    <xdr:clientData/>
  </xdr:oneCellAnchor>
  <xdr:oneCellAnchor>
    <xdr:from>
      <xdr:col>14</xdr:col>
      <xdr:colOff>108873</xdr:colOff>
      <xdr:row>29</xdr:row>
      <xdr:rowOff>0</xdr:rowOff>
    </xdr:from>
    <xdr:ext cx="3960" cy="3969"/>
    <xdr:pic>
      <xdr:nvPicPr>
        <xdr:cNvPr id="8" name="Рисунок 7">
          <a:extLst>
            <a:ext uri="{FF2B5EF4-FFF2-40B4-BE49-F238E27FC236}">
              <a16:creationId xmlns:a16="http://schemas.microsoft.com/office/drawing/2014/main" id="{C220B3BD-CBF0-4F84-A67D-8680E50141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277" t="11480" r="8821" b="63457"/>
        <a:stretch/>
      </xdr:blipFill>
      <xdr:spPr>
        <a:xfrm>
          <a:off x="8643273" y="13249275"/>
          <a:ext cx="3960" cy="3969"/>
        </a:xfrm>
        <a:prstGeom prst="rect">
          <a:avLst/>
        </a:prstGeom>
      </xdr:spPr>
    </xdr:pic>
    <xdr:clientData/>
  </xdr:oneCellAnchor>
  <xdr:oneCellAnchor>
    <xdr:from>
      <xdr:col>16</xdr:col>
      <xdr:colOff>108857</xdr:colOff>
      <xdr:row>29</xdr:row>
      <xdr:rowOff>0</xdr:rowOff>
    </xdr:from>
    <xdr:ext cx="3958" cy="3963"/>
    <xdr:pic>
      <xdr:nvPicPr>
        <xdr:cNvPr id="9" name="Рисунок 8">
          <a:extLst>
            <a:ext uri="{FF2B5EF4-FFF2-40B4-BE49-F238E27FC236}">
              <a16:creationId xmlns:a16="http://schemas.microsoft.com/office/drawing/2014/main" id="{6F63ECB1-B0DA-4A8D-ABEE-7FAB104A69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439" t="44961" b="41455"/>
        <a:stretch/>
      </xdr:blipFill>
      <xdr:spPr>
        <a:xfrm>
          <a:off x="9862457" y="13249275"/>
          <a:ext cx="3958" cy="3963"/>
        </a:xfrm>
        <a:prstGeom prst="rect">
          <a:avLst/>
        </a:prstGeom>
      </xdr:spPr>
    </xdr:pic>
    <xdr:clientData/>
  </xdr:oneCellAnchor>
  <xdr:oneCellAnchor>
    <xdr:from>
      <xdr:col>4</xdr:col>
      <xdr:colOff>122467</xdr:colOff>
      <xdr:row>29</xdr:row>
      <xdr:rowOff>0</xdr:rowOff>
    </xdr:from>
    <xdr:ext cx="3956" cy="1195"/>
    <xdr:pic>
      <xdr:nvPicPr>
        <xdr:cNvPr id="10" name="Рисунок 9">
          <a:extLst>
            <a:ext uri="{FF2B5EF4-FFF2-40B4-BE49-F238E27FC236}">
              <a16:creationId xmlns:a16="http://schemas.microsoft.com/office/drawing/2014/main" id="{6793F7E7-26BE-4FB9-B7B5-BCAA1FD7C4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/>
      </xdr:blipFill>
      <xdr:spPr>
        <a:xfrm>
          <a:off x="2560867" y="13249275"/>
          <a:ext cx="3956" cy="1195"/>
        </a:xfrm>
        <a:prstGeom prst="rect">
          <a:avLst/>
        </a:prstGeom>
      </xdr:spPr>
    </xdr:pic>
    <xdr:clientData/>
  </xdr:oneCellAnchor>
  <xdr:oneCellAnchor>
    <xdr:from>
      <xdr:col>6</xdr:col>
      <xdr:colOff>81643</xdr:colOff>
      <xdr:row>29</xdr:row>
      <xdr:rowOff>0</xdr:rowOff>
    </xdr:from>
    <xdr:ext cx="3945" cy="3965"/>
    <xdr:pic>
      <xdr:nvPicPr>
        <xdr:cNvPr id="11" name="Рисунок 10">
          <a:extLst>
            <a:ext uri="{FF2B5EF4-FFF2-40B4-BE49-F238E27FC236}">
              <a16:creationId xmlns:a16="http://schemas.microsoft.com/office/drawing/2014/main" id="{6A079887-DB4B-492D-8D93-6E3ABA9B2B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r="22836" b="38059"/>
        <a:stretch/>
      </xdr:blipFill>
      <xdr:spPr>
        <a:xfrm>
          <a:off x="3739243" y="13249275"/>
          <a:ext cx="3945" cy="3965"/>
        </a:xfrm>
        <a:prstGeom prst="rect">
          <a:avLst/>
        </a:prstGeom>
      </xdr:spPr>
    </xdr:pic>
    <xdr:clientData/>
  </xdr:oneCellAnchor>
  <xdr:oneCellAnchor>
    <xdr:from>
      <xdr:col>8</xdr:col>
      <xdr:colOff>27214</xdr:colOff>
      <xdr:row>29</xdr:row>
      <xdr:rowOff>0</xdr:rowOff>
    </xdr:from>
    <xdr:ext cx="3962" cy="3970"/>
    <xdr:pic>
      <xdr:nvPicPr>
        <xdr:cNvPr id="12" name="Рисунок 11">
          <a:extLst>
            <a:ext uri="{FF2B5EF4-FFF2-40B4-BE49-F238E27FC236}">
              <a16:creationId xmlns:a16="http://schemas.microsoft.com/office/drawing/2014/main" id="{77CBEF7A-DFE6-4ED0-9870-31914B8239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845" t="53572" r="-107" b="32462"/>
        <a:stretch/>
      </xdr:blipFill>
      <xdr:spPr>
        <a:xfrm>
          <a:off x="4904014" y="13249275"/>
          <a:ext cx="3962" cy="3970"/>
        </a:xfrm>
        <a:prstGeom prst="rect">
          <a:avLst/>
        </a:prstGeom>
      </xdr:spPr>
    </xdr:pic>
    <xdr:clientData/>
  </xdr:oneCellAnchor>
  <xdr:oneCellAnchor>
    <xdr:from>
      <xdr:col>1</xdr:col>
      <xdr:colOff>136070</xdr:colOff>
      <xdr:row>29</xdr:row>
      <xdr:rowOff>0</xdr:rowOff>
    </xdr:from>
    <xdr:ext cx="5207" cy="2748"/>
    <xdr:pic>
      <xdr:nvPicPr>
        <xdr:cNvPr id="13" name="Рисунок 12">
          <a:extLst>
            <a:ext uri="{FF2B5EF4-FFF2-40B4-BE49-F238E27FC236}">
              <a16:creationId xmlns:a16="http://schemas.microsoft.com/office/drawing/2014/main" id="{DFA89002-912E-4D0E-99E1-85445FD373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474" t="44779" r="6656" b="51585"/>
        <a:stretch/>
      </xdr:blipFill>
      <xdr:spPr>
        <a:xfrm>
          <a:off x="745670" y="13249275"/>
          <a:ext cx="5207" cy="2748"/>
        </a:xfrm>
        <a:prstGeom prst="rect">
          <a:avLst/>
        </a:prstGeom>
      </xdr:spPr>
    </xdr:pic>
    <xdr:clientData/>
  </xdr:oneCellAnchor>
  <xdr:twoCellAnchor editAs="oneCell">
    <xdr:from>
      <xdr:col>1</xdr:col>
      <xdr:colOff>95250</xdr:colOff>
      <xdr:row>7</xdr:row>
      <xdr:rowOff>536</xdr:rowOff>
    </xdr:from>
    <xdr:to>
      <xdr:col>18</xdr:col>
      <xdr:colOff>47625</xdr:colOff>
      <xdr:row>32</xdr:row>
      <xdr:rowOff>135555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B3F5DFD2-38C4-4752-B2C7-8886A47B0D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 l="17978" t="19139" r="22650" b="10174"/>
        <a:stretch/>
      </xdr:blipFill>
      <xdr:spPr>
        <a:xfrm>
          <a:off x="704850" y="7049036"/>
          <a:ext cx="10315575" cy="6907294"/>
        </a:xfrm>
        <a:prstGeom prst="rect">
          <a:avLst/>
        </a:prstGeom>
      </xdr:spPr>
    </xdr:pic>
    <xdr:clientData/>
  </xdr:twoCellAnchor>
  <xdr:twoCellAnchor editAs="oneCell">
    <xdr:from>
      <xdr:col>0</xdr:col>
      <xdr:colOff>452439</xdr:colOff>
      <xdr:row>39</xdr:row>
      <xdr:rowOff>142874</xdr:rowOff>
    </xdr:from>
    <xdr:to>
      <xdr:col>18</xdr:col>
      <xdr:colOff>95251</xdr:colOff>
      <xdr:row>63</xdr:row>
      <xdr:rowOff>111629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43DB1C2-C083-4D6A-915A-A8C490E9E8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/>
        <a:srcRect l="17841" t="35189" r="18739" b="17351"/>
        <a:stretch/>
      </xdr:blipFill>
      <xdr:spPr>
        <a:xfrm>
          <a:off x="452439" y="15373349"/>
          <a:ext cx="10615612" cy="4540755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0</xdr:row>
      <xdr:rowOff>47625</xdr:rowOff>
    </xdr:from>
    <xdr:to>
      <xdr:col>34</xdr:col>
      <xdr:colOff>214312</xdr:colOff>
      <xdr:row>5</xdr:row>
      <xdr:rowOff>147637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B34AF1-FF14-4DE0-A540-6C9033119B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l="4259" t="11885" r="15724" b="11729"/>
        <a:stretch/>
      </xdr:blipFill>
      <xdr:spPr>
        <a:xfrm>
          <a:off x="10972800" y="47625"/>
          <a:ext cx="9967912" cy="6691312"/>
        </a:xfrm>
        <a:prstGeom prst="rect">
          <a:avLst/>
        </a:prstGeom>
      </xdr:spPr>
    </xdr:pic>
    <xdr:clientData/>
  </xdr:twoCellAnchor>
  <xdr:twoCellAnchor editAs="oneCell">
    <xdr:from>
      <xdr:col>17</xdr:col>
      <xdr:colOff>587376</xdr:colOff>
      <xdr:row>5</xdr:row>
      <xdr:rowOff>1</xdr:rowOff>
    </xdr:from>
    <xdr:to>
      <xdr:col>34</xdr:col>
      <xdr:colOff>382305</xdr:colOff>
      <xdr:row>28</xdr:row>
      <xdr:rowOff>23813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2F04E1A6-52F1-4354-BAA4-FEFDF7CB5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0576" y="6667501"/>
          <a:ext cx="10158129" cy="64055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282</xdr:colOff>
      <xdr:row>28</xdr:row>
      <xdr:rowOff>47626</xdr:rowOff>
    </xdr:from>
    <xdr:to>
      <xdr:col>34</xdr:col>
      <xdr:colOff>357188</xdr:colOff>
      <xdr:row>65</xdr:row>
      <xdr:rowOff>177997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5D4BBC82-71A1-497F-8603-5FD7BE2FB4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/>
        <a:srcRect l="13283" t="12039" r="24643" b="8167"/>
        <a:stretch/>
      </xdr:blipFill>
      <xdr:spPr>
        <a:xfrm>
          <a:off x="10973082" y="13096876"/>
          <a:ext cx="10110506" cy="72645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276224</xdr:colOff>
      <xdr:row>20</xdr:row>
      <xdr:rowOff>19050</xdr:rowOff>
    </xdr:from>
    <xdr:to>
      <xdr:col>4</xdr:col>
      <xdr:colOff>361949</xdr:colOff>
      <xdr:row>30</xdr:row>
      <xdr:rowOff>7184</xdr:rowOff>
    </xdr:to>
    <xdr:pic>
      <xdr:nvPicPr>
        <xdr:cNvPr id="2" name="Рисунок 1" descr="схема монтажа стандартный.jpg">
          <a:extLst>
            <a:ext uri="{FF2B5EF4-FFF2-40B4-BE49-F238E27FC236}">
              <a16:creationId xmlns:a16="http://schemas.microsoft.com/office/drawing/2014/main" id="{5A9FD794-7888-4BFC-88ED-A5E57103E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5824" y="5648325"/>
          <a:ext cx="1914525" cy="1893134"/>
        </a:xfrm>
        <a:prstGeom prst="rect">
          <a:avLst/>
        </a:prstGeom>
        <a:ln>
          <a:solidFill>
            <a:schemeClr val="bg1">
              <a:lumMod val="50000"/>
            </a:schemeClr>
          </a:solidFill>
        </a:ln>
      </xdr:spPr>
    </xdr:pic>
    <xdr:clientData/>
  </xdr:twoCellAnchor>
  <xdr:twoCellAnchor editAs="oneCell">
    <xdr:from>
      <xdr:col>5</xdr:col>
      <xdr:colOff>485775</xdr:colOff>
      <xdr:row>20</xdr:row>
      <xdr:rowOff>19050</xdr:rowOff>
    </xdr:from>
    <xdr:to>
      <xdr:col>9</xdr:col>
      <xdr:colOff>119547</xdr:colOff>
      <xdr:row>30</xdr:row>
      <xdr:rowOff>9525</xdr:rowOff>
    </xdr:to>
    <xdr:pic>
      <xdr:nvPicPr>
        <xdr:cNvPr id="3" name="Рисунок 2" descr="схема монтажа низкий.jpg">
          <a:extLst>
            <a:ext uri="{FF2B5EF4-FFF2-40B4-BE49-F238E27FC236}">
              <a16:creationId xmlns:a16="http://schemas.microsoft.com/office/drawing/2014/main" id="{F44B7517-0DE9-4B6A-ACB2-AB191C6DEA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33775" y="5648325"/>
          <a:ext cx="2072172" cy="1895475"/>
        </a:xfrm>
        <a:prstGeom prst="rect">
          <a:avLst/>
        </a:prstGeom>
        <a:ln>
          <a:solidFill>
            <a:schemeClr val="bg1">
              <a:lumMod val="50000"/>
            </a:schemeClr>
          </a:solidFill>
        </a:ln>
      </xdr:spPr>
    </xdr:pic>
    <xdr:clientData/>
  </xdr:twoCellAnchor>
  <xdr:twoCellAnchor editAs="oneCell">
    <xdr:from>
      <xdr:col>11</xdr:col>
      <xdr:colOff>400050</xdr:colOff>
      <xdr:row>20</xdr:row>
      <xdr:rowOff>19051</xdr:rowOff>
    </xdr:from>
    <xdr:to>
      <xdr:col>14</xdr:col>
      <xdr:colOff>535584</xdr:colOff>
      <xdr:row>30</xdr:row>
      <xdr:rowOff>19051</xdr:rowOff>
    </xdr:to>
    <xdr:pic>
      <xdr:nvPicPr>
        <xdr:cNvPr id="4" name="Рисунок 3" descr="схема монтажа высокий.jpg">
          <a:extLst>
            <a:ext uri="{FF2B5EF4-FFF2-40B4-BE49-F238E27FC236}">
              <a16:creationId xmlns:a16="http://schemas.microsoft.com/office/drawing/2014/main" id="{9FFA0727-3226-40DA-B617-B122F44F2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05650" y="5648326"/>
          <a:ext cx="1964334" cy="1905000"/>
        </a:xfrm>
        <a:prstGeom prst="rect">
          <a:avLst/>
        </a:prstGeom>
        <a:ln>
          <a:solidFill>
            <a:schemeClr val="bg1">
              <a:lumMod val="50000"/>
            </a:schemeClr>
          </a:solidFill>
        </a:ln>
      </xdr:spPr>
    </xdr:pic>
    <xdr:clientData/>
  </xdr:twoCellAnchor>
  <xdr:twoCellAnchor editAs="oneCell">
    <xdr:from>
      <xdr:col>7</xdr:col>
      <xdr:colOff>533400</xdr:colOff>
      <xdr:row>4</xdr:row>
      <xdr:rowOff>247650</xdr:rowOff>
    </xdr:from>
    <xdr:to>
      <xdr:col>11</xdr:col>
      <xdr:colOff>116574</xdr:colOff>
      <xdr:row>14</xdr:row>
      <xdr:rowOff>219075</xdr:rowOff>
    </xdr:to>
    <xdr:pic>
      <xdr:nvPicPr>
        <xdr:cNvPr id="5" name="Рисунок 4" descr="standard.jpg">
          <a:extLst>
            <a:ext uri="{FF2B5EF4-FFF2-40B4-BE49-F238E27FC236}">
              <a16:creationId xmlns:a16="http://schemas.microsoft.com/office/drawing/2014/main" id="{CAE55ACA-05D0-4D57-AE88-FE19779E3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00600" y="1990725"/>
          <a:ext cx="2021574" cy="2638425"/>
        </a:xfrm>
        <a:prstGeom prst="rect">
          <a:avLst/>
        </a:prstGeom>
        <a:ln>
          <a:solidFill>
            <a:schemeClr val="bg1">
              <a:lumMod val="65000"/>
            </a:schemeClr>
          </a:solidFill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451104</xdr:colOff>
      <xdr:row>47</xdr:row>
      <xdr:rowOff>1204594</xdr:rowOff>
    </xdr:from>
    <xdr:ext cx="2297569" cy="15173"/>
    <xdr:pic>
      <xdr:nvPicPr>
        <xdr:cNvPr id="3" name="image2.png">
          <a:extLst>
            <a:ext uri="{FF2B5EF4-FFF2-40B4-BE49-F238E27FC236}">
              <a16:creationId xmlns:a16="http://schemas.microsoft.com/office/drawing/2014/main" id="{07EA387A-0CDA-4580-972F-45D75A379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6879" y="11586844"/>
          <a:ext cx="2297569" cy="15173"/>
        </a:xfrm>
        <a:prstGeom prst="rect">
          <a:avLst/>
        </a:prstGeom>
      </xdr:spPr>
    </xdr:pic>
    <xdr:clientData/>
  </xdr:oneCellAnchor>
  <xdr:oneCellAnchor>
    <xdr:from>
      <xdr:col>10</xdr:col>
      <xdr:colOff>467443</xdr:colOff>
      <xdr:row>0</xdr:row>
      <xdr:rowOff>146611</xdr:rowOff>
    </xdr:from>
    <xdr:ext cx="3429147" cy="880085"/>
    <xdr:pic>
      <xdr:nvPicPr>
        <xdr:cNvPr id="6" name="image1.jpeg">
          <a:extLst>
            <a:ext uri="{FF2B5EF4-FFF2-40B4-BE49-F238E27FC236}">
              <a16:creationId xmlns:a16="http://schemas.microsoft.com/office/drawing/2014/main" id="{6577AB53-B8AC-439D-A6F5-F81D4C5AC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1216" y="146611"/>
          <a:ext cx="3429147" cy="880085"/>
        </a:xfrm>
        <a:prstGeom prst="rect">
          <a:avLst/>
        </a:prstGeom>
      </xdr:spPr>
    </xdr:pic>
    <xdr:clientData/>
  </xdr:oneCellAnchor>
  <xdr:oneCellAnchor>
    <xdr:from>
      <xdr:col>1</xdr:col>
      <xdr:colOff>451104</xdr:colOff>
      <xdr:row>47</xdr:row>
      <xdr:rowOff>1204594</xdr:rowOff>
    </xdr:from>
    <xdr:ext cx="2297569" cy="15173"/>
    <xdr:pic>
      <xdr:nvPicPr>
        <xdr:cNvPr id="7" name="image2.png">
          <a:extLst>
            <a:ext uri="{FF2B5EF4-FFF2-40B4-BE49-F238E27FC236}">
              <a16:creationId xmlns:a16="http://schemas.microsoft.com/office/drawing/2014/main" id="{349606C8-EE6F-4A4C-911D-0E53CE0AE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6879" y="11586844"/>
          <a:ext cx="2297569" cy="15173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31750</xdr:colOff>
      <xdr:row>0</xdr:row>
      <xdr:rowOff>219074</xdr:rowOff>
    </xdr:from>
    <xdr:ext cx="5794374" cy="1225551"/>
    <xdr:pic>
      <xdr:nvPicPr>
        <xdr:cNvPr id="2" name="image2.jpeg">
          <a:extLst>
            <a:ext uri="{FF2B5EF4-FFF2-40B4-BE49-F238E27FC236}">
              <a16:creationId xmlns:a16="http://schemas.microsoft.com/office/drawing/2014/main" id="{F0B9817C-0680-42EC-8EF0-7C4C09CA35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6750" y="219074"/>
          <a:ext cx="5794374" cy="1225551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41;&#1086;&#1075;&#1072;&#1082;%20&#1050;&#1058;&#1042;/&#1055;&#1088;&#1072;&#1081;&#1089;&#1080;/&#1047;&#1041;&#1050;%20&#1087;&#1088;&#1072;&#1081;&#1089;%20&#1042;&#1030;&#1055;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айс-лист"/>
      <sheetName val="Опис ЗБК ВОРОТА"/>
      <sheetName val="Типи монтажу"/>
      <sheetName val="Пружини розтягу"/>
      <sheetName val="Пружини ВІП 10%"/>
      <sheetName val="Торсіони"/>
      <sheetName val="торсіон"/>
      <sheetName val="Лист1"/>
    </sheetNames>
    <sheetDataSet>
      <sheetData sheetId="0" refreshError="1"/>
      <sheetData sheetId="1" refreshError="1"/>
      <sheetData sheetId="2" refreshError="1"/>
      <sheetData sheetId="3" refreshError="1">
        <row r="1">
          <cell r="T1">
            <v>0.1</v>
          </cell>
        </row>
        <row r="8">
          <cell r="E8">
            <v>400</v>
          </cell>
          <cell r="K8">
            <v>432</v>
          </cell>
          <cell r="Q8">
            <v>482</v>
          </cell>
        </row>
        <row r="9">
          <cell r="J9">
            <v>459</v>
          </cell>
        </row>
        <row r="10">
          <cell r="I10">
            <v>450</v>
          </cell>
        </row>
        <row r="11">
          <cell r="K11">
            <v>514</v>
          </cell>
          <cell r="P11">
            <v>568</v>
          </cell>
        </row>
        <row r="13">
          <cell r="J13">
            <v>514</v>
          </cell>
        </row>
        <row r="14">
          <cell r="J14">
            <v>523</v>
          </cell>
        </row>
        <row r="15">
          <cell r="L15">
            <v>573</v>
          </cell>
          <cell r="N15">
            <v>595</v>
          </cell>
        </row>
        <row r="17">
          <cell r="N17">
            <v>645</v>
          </cell>
        </row>
      </sheetData>
      <sheetData sheetId="4" refreshError="1"/>
      <sheetData sheetId="5" refreshError="1">
        <row r="1">
          <cell r="A1">
            <v>0.1</v>
          </cell>
        </row>
        <row r="7">
          <cell r="H7">
            <v>477</v>
          </cell>
          <cell r="J7">
            <v>514</v>
          </cell>
          <cell r="P7">
            <v>591</v>
          </cell>
          <cell r="R7">
            <v>609</v>
          </cell>
          <cell r="W7">
            <v>659</v>
          </cell>
        </row>
        <row r="8">
          <cell r="O8">
            <v>582</v>
          </cell>
          <cell r="Y8">
            <v>709</v>
          </cell>
        </row>
        <row r="9">
          <cell r="Y9">
            <v>718</v>
          </cell>
        </row>
        <row r="12">
          <cell r="O12">
            <v>614</v>
          </cell>
          <cell r="X12">
            <v>741</v>
          </cell>
        </row>
        <row r="13">
          <cell r="X13">
            <v>745</v>
          </cell>
        </row>
        <row r="14">
          <cell r="E14">
            <v>523</v>
          </cell>
          <cell r="K14">
            <v>595</v>
          </cell>
          <cell r="P14">
            <v>664</v>
          </cell>
          <cell r="W14">
            <v>768</v>
          </cell>
        </row>
        <row r="15">
          <cell r="H15">
            <v>573</v>
          </cell>
          <cell r="M15">
            <v>650</v>
          </cell>
          <cell r="U15">
            <v>759</v>
          </cell>
          <cell r="V15">
            <v>777</v>
          </cell>
          <cell r="W15">
            <v>800</v>
          </cell>
        </row>
        <row r="16">
          <cell r="G16">
            <v>577</v>
          </cell>
          <cell r="K16">
            <v>645</v>
          </cell>
          <cell r="M16">
            <v>677</v>
          </cell>
          <cell r="V16">
            <v>800</v>
          </cell>
          <cell r="X16">
            <v>845</v>
          </cell>
          <cell r="Y16">
            <v>859</v>
          </cell>
        </row>
        <row r="17">
          <cell r="E17">
            <v>577</v>
          </cell>
          <cell r="L17">
            <v>677</v>
          </cell>
          <cell r="T17">
            <v>795</v>
          </cell>
          <cell r="Y17">
            <v>882</v>
          </cell>
        </row>
        <row r="18">
          <cell r="F18">
            <v>600</v>
          </cell>
          <cell r="H18">
            <v>623</v>
          </cell>
          <cell r="I18">
            <v>636</v>
          </cell>
          <cell r="J18">
            <v>691</v>
          </cell>
          <cell r="S18">
            <v>800</v>
          </cell>
          <cell r="U18">
            <v>845</v>
          </cell>
          <cell r="V18">
            <v>859</v>
          </cell>
          <cell r="W18">
            <v>873</v>
          </cell>
        </row>
        <row r="19">
          <cell r="X19">
            <v>941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R38"/>
  <sheetViews>
    <sheetView tabSelected="1" view="pageBreakPreview" zoomScale="60" zoomScaleNormal="60" workbookViewId="0">
      <selection activeCell="F2" sqref="F2:P2"/>
    </sheetView>
  </sheetViews>
  <sheetFormatPr defaultRowHeight="15" x14ac:dyDescent="0.25"/>
  <sheetData>
    <row r="2" spans="2:18" ht="21" x14ac:dyDescent="0.35">
      <c r="B2" s="1"/>
      <c r="C2" s="2"/>
      <c r="D2" s="3"/>
      <c r="E2" s="3"/>
      <c r="F2" s="93" t="s">
        <v>89</v>
      </c>
      <c r="G2" s="93"/>
      <c r="H2" s="93"/>
      <c r="I2" s="93"/>
      <c r="J2" s="93"/>
      <c r="K2" s="93"/>
      <c r="L2" s="93"/>
      <c r="M2" s="93"/>
      <c r="N2" s="93"/>
      <c r="O2" s="93"/>
      <c r="P2" s="93"/>
      <c r="Q2" s="4"/>
      <c r="R2" s="4"/>
    </row>
    <row r="3" spans="2:18" ht="45.75" customHeight="1" x14ac:dyDescent="0.25">
      <c r="C3" s="2"/>
      <c r="D3" s="94" t="s">
        <v>0</v>
      </c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</row>
    <row r="4" spans="2:18" ht="409.6" customHeight="1" x14ac:dyDescent="0.25">
      <c r="B4" s="95" t="s">
        <v>1</v>
      </c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5"/>
      <c r="Q4" s="5"/>
      <c r="R4" s="5"/>
    </row>
    <row r="5" spans="2:18" ht="33.75" customHeight="1" x14ac:dyDescent="0.25">
      <c r="B5" s="85" t="s">
        <v>2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</row>
    <row r="6" spans="2:18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2:18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2:18" x14ac:dyDescent="0.2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2:18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2:18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2:18" ht="171.75" customHeight="1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2:18" x14ac:dyDescent="0.25">
      <c r="B12" s="6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</row>
    <row r="13" spans="2:18" x14ac:dyDescent="0.25">
      <c r="B13" s="6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</row>
    <row r="14" spans="2:18" x14ac:dyDescent="0.25">
      <c r="B14" s="6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</row>
    <row r="15" spans="2:18" x14ac:dyDescent="0.25">
      <c r="B15" s="92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</row>
    <row r="16" spans="2:18" x14ac:dyDescent="0.25">
      <c r="B16" s="9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2:18" x14ac:dyDescent="0.25">
      <c r="B17" s="92"/>
      <c r="C17" s="2"/>
      <c r="D17" s="2"/>
      <c r="E17" s="86"/>
      <c r="F17" s="88"/>
      <c r="G17" s="2"/>
      <c r="H17" s="2"/>
      <c r="I17" s="86"/>
      <c r="J17" s="88"/>
      <c r="K17" s="2"/>
      <c r="L17" s="2"/>
      <c r="M17" s="86"/>
      <c r="N17" s="88"/>
      <c r="O17" s="2"/>
      <c r="P17" s="2"/>
      <c r="Q17" s="86"/>
      <c r="R17" s="88"/>
    </row>
    <row r="18" spans="2:18" x14ac:dyDescent="0.25">
      <c r="B18" s="92"/>
      <c r="C18" s="2"/>
      <c r="D18" s="2"/>
      <c r="E18" s="86"/>
      <c r="F18" s="88"/>
      <c r="G18" s="2"/>
      <c r="H18" s="2"/>
      <c r="I18" s="86"/>
      <c r="J18" s="88"/>
      <c r="K18" s="2"/>
      <c r="L18" s="2"/>
      <c r="M18" s="2"/>
      <c r="N18" s="2"/>
      <c r="O18" s="2"/>
      <c r="P18" s="2"/>
      <c r="Q18" s="2"/>
      <c r="R18" s="2"/>
    </row>
    <row r="19" spans="2:18" x14ac:dyDescent="0.25">
      <c r="B19" s="92"/>
      <c r="C19" s="2"/>
      <c r="D19" s="2"/>
      <c r="E19" s="7"/>
      <c r="F19" s="8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</row>
    <row r="20" spans="2:18" x14ac:dyDescent="0.25">
      <c r="B20" s="92"/>
      <c r="C20" s="2"/>
      <c r="D20" s="2"/>
      <c r="E20" s="7"/>
      <c r="F20" s="8"/>
      <c r="G20" s="2"/>
      <c r="H20" s="2"/>
      <c r="I20" s="86"/>
      <c r="J20" s="86"/>
      <c r="K20" s="9"/>
      <c r="L20" s="9"/>
      <c r="M20" s="86"/>
      <c r="N20" s="86"/>
      <c r="O20" s="2"/>
      <c r="P20" s="2"/>
      <c r="Q20" s="86"/>
      <c r="R20" s="88"/>
    </row>
    <row r="21" spans="2:18" x14ac:dyDescent="0.25">
      <c r="B21" s="92"/>
      <c r="C21" s="2"/>
      <c r="D21" s="2"/>
      <c r="E21" s="7"/>
      <c r="F21" s="8"/>
      <c r="G21" s="2"/>
      <c r="H21" s="2"/>
      <c r="I21" s="86"/>
      <c r="J21" s="86"/>
      <c r="K21" s="87"/>
      <c r="L21" s="87"/>
      <c r="M21" s="87"/>
      <c r="N21" s="87"/>
      <c r="O21" s="2"/>
      <c r="P21" s="2"/>
      <c r="Q21" s="7"/>
      <c r="R21" s="8"/>
    </row>
    <row r="22" spans="2:18" x14ac:dyDescent="0.25">
      <c r="B22" s="92"/>
      <c r="D22" s="2"/>
      <c r="E22" s="2"/>
      <c r="F22" s="2"/>
      <c r="G22" s="2"/>
      <c r="H22" s="2"/>
      <c r="I22" s="2"/>
      <c r="J22" s="2"/>
      <c r="K22" s="2"/>
      <c r="L22" s="2"/>
      <c r="M22" s="88"/>
      <c r="N22" s="88"/>
      <c r="O22" s="9"/>
      <c r="P22" s="9"/>
      <c r="Q22" s="9"/>
      <c r="R22" s="9"/>
    </row>
    <row r="23" spans="2:18" x14ac:dyDescent="0.25">
      <c r="B23" s="92"/>
      <c r="C23" s="2"/>
      <c r="D23" s="2"/>
      <c r="E23" s="2"/>
      <c r="F23" s="2"/>
      <c r="G23" s="2"/>
      <c r="H23" s="2"/>
      <c r="I23" s="2"/>
      <c r="J23" s="2"/>
      <c r="K23" s="2"/>
      <c r="L23" s="2"/>
      <c r="M23" s="8"/>
      <c r="N23" s="10"/>
      <c r="O23" s="2"/>
      <c r="P23" s="2"/>
      <c r="Q23" s="2"/>
      <c r="R23" s="2"/>
    </row>
    <row r="24" spans="2:18" x14ac:dyDescent="0.25">
      <c r="B24" s="92"/>
      <c r="C24" s="11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89"/>
      <c r="R24" s="89"/>
    </row>
    <row r="25" spans="2:18" x14ac:dyDescent="0.25">
      <c r="B25" s="90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</row>
    <row r="26" spans="2:18" x14ac:dyDescent="0.25">
      <c r="B26" s="13"/>
      <c r="C26" s="1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2"/>
      <c r="R26" s="12"/>
    </row>
    <row r="27" spans="2:18" x14ac:dyDescent="0.25"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2:18" ht="15.75" x14ac:dyDescent="0.25">
      <c r="B28" s="1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2:18" ht="15.75" x14ac:dyDescent="0.25">
      <c r="B29" s="1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2:18" x14ac:dyDescent="0.25">
      <c r="B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</row>
    <row r="31" spans="2:18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2:18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2:18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2:18" x14ac:dyDescent="0.25">
      <c r="B34" s="2"/>
      <c r="C34" s="91"/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91"/>
      <c r="Q34" s="91"/>
      <c r="R34" s="91"/>
    </row>
    <row r="35" spans="2:18" x14ac:dyDescent="0.25">
      <c r="B35" s="2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</row>
    <row r="36" spans="2:18" x14ac:dyDescent="0.25">
      <c r="B36" s="2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</row>
    <row r="38" spans="2:18" ht="21" x14ac:dyDescent="0.25">
      <c r="B38" s="85" t="s">
        <v>3</v>
      </c>
      <c r="C38" s="85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</row>
  </sheetData>
  <mergeCells count="40">
    <mergeCell ref="F2:P2"/>
    <mergeCell ref="D3:R3"/>
    <mergeCell ref="B4:O4"/>
    <mergeCell ref="B5:R5"/>
    <mergeCell ref="C12:F12"/>
    <mergeCell ref="G12:J12"/>
    <mergeCell ref="K12:N12"/>
    <mergeCell ref="O12:R12"/>
    <mergeCell ref="E18:F18"/>
    <mergeCell ref="C13:F13"/>
    <mergeCell ref="G13:J13"/>
    <mergeCell ref="K13:N13"/>
    <mergeCell ref="O13:R13"/>
    <mergeCell ref="C14:F14"/>
    <mergeCell ref="G14:J14"/>
    <mergeCell ref="K14:N14"/>
    <mergeCell ref="O14:R14"/>
    <mergeCell ref="I18:J18"/>
    <mergeCell ref="G19:J19"/>
    <mergeCell ref="K19:N19"/>
    <mergeCell ref="O19:R19"/>
    <mergeCell ref="I20:J20"/>
    <mergeCell ref="M20:N20"/>
    <mergeCell ref="Q20:R20"/>
    <mergeCell ref="B38:R38"/>
    <mergeCell ref="I21:J21"/>
    <mergeCell ref="K21:N21"/>
    <mergeCell ref="M22:N22"/>
    <mergeCell ref="Q24:R24"/>
    <mergeCell ref="B25:R25"/>
    <mergeCell ref="C34:R36"/>
    <mergeCell ref="B15:B24"/>
    <mergeCell ref="C15:F15"/>
    <mergeCell ref="G15:J15"/>
    <mergeCell ref="K15:N15"/>
    <mergeCell ref="O15:R15"/>
    <mergeCell ref="E17:F17"/>
    <mergeCell ref="I17:J17"/>
    <mergeCell ref="M17:N17"/>
    <mergeCell ref="Q17:R17"/>
  </mergeCells>
  <pageMargins left="0.7" right="0.7" top="0.75" bottom="0.75" header="0.3" footer="0.3"/>
  <pageSetup paperSize="9" scale="2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R42"/>
  <sheetViews>
    <sheetView topLeftCell="A7" workbookViewId="0">
      <selection activeCell="M20" sqref="M20"/>
    </sheetView>
  </sheetViews>
  <sheetFormatPr defaultRowHeight="15" x14ac:dyDescent="0.25"/>
  <sheetData>
    <row r="2" spans="2:18" ht="71.25" customHeight="1" x14ac:dyDescent="0.25">
      <c r="B2" s="138"/>
      <c r="C2" s="138"/>
      <c r="D2" s="138"/>
      <c r="E2" s="138"/>
      <c r="F2" s="139" t="s">
        <v>90</v>
      </c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</row>
    <row r="3" spans="2:18" x14ac:dyDescent="0.25">
      <c r="B3" s="132" t="s">
        <v>94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</row>
    <row r="4" spans="2:18" ht="36" customHeight="1" x14ac:dyDescent="0.35">
      <c r="B4" s="140" t="s">
        <v>4</v>
      </c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6"/>
      <c r="N4" s="16"/>
      <c r="O4" s="4"/>
      <c r="P4" s="4"/>
      <c r="Q4" s="4"/>
      <c r="R4" s="4"/>
    </row>
    <row r="5" spans="2:18" ht="21" x14ac:dyDescent="0.35">
      <c r="B5" s="17" t="s">
        <v>5</v>
      </c>
      <c r="C5" s="18"/>
      <c r="D5" s="18"/>
      <c r="E5" s="18"/>
      <c r="F5" s="17"/>
      <c r="G5" s="19"/>
      <c r="H5" s="20"/>
      <c r="I5" s="20"/>
      <c r="J5" s="20"/>
      <c r="K5" s="20"/>
      <c r="L5" s="20"/>
      <c r="M5" s="21"/>
      <c r="N5" s="20"/>
      <c r="O5" s="4"/>
      <c r="P5" s="4"/>
      <c r="Q5" s="4"/>
      <c r="R5" s="4"/>
    </row>
    <row r="6" spans="2:18" ht="21" x14ac:dyDescent="0.35">
      <c r="B6" s="22" t="s">
        <v>6</v>
      </c>
      <c r="C6" s="18"/>
      <c r="D6" s="18"/>
      <c r="E6" s="18"/>
      <c r="F6" s="17"/>
      <c r="G6" s="19"/>
      <c r="H6" s="20"/>
      <c r="I6" s="20"/>
      <c r="J6" s="20"/>
      <c r="K6" s="20"/>
      <c r="L6" s="20"/>
      <c r="M6" s="19"/>
      <c r="N6" s="20"/>
      <c r="O6" s="4"/>
      <c r="P6" s="4"/>
      <c r="Q6" s="4"/>
      <c r="R6" s="4"/>
    </row>
    <row r="7" spans="2:18" ht="21" x14ac:dyDescent="0.35">
      <c r="B7" s="141" t="s">
        <v>7</v>
      </c>
      <c r="C7" s="141"/>
      <c r="D7" s="141"/>
      <c r="E7" s="142" t="s">
        <v>8</v>
      </c>
      <c r="F7" s="142"/>
      <c r="G7" s="142"/>
      <c r="I7" s="4"/>
      <c r="J7" s="4"/>
      <c r="K7" s="4"/>
      <c r="L7" s="4"/>
      <c r="M7" s="4"/>
      <c r="N7" s="4"/>
      <c r="O7" s="4"/>
      <c r="P7" s="4"/>
      <c r="Q7" s="4"/>
      <c r="R7" s="4"/>
    </row>
    <row r="8" spans="2:18" ht="21" x14ac:dyDescent="0.35">
      <c r="B8" s="136" t="s">
        <v>9</v>
      </c>
      <c r="C8" s="136"/>
      <c r="D8" s="136"/>
      <c r="E8" s="136"/>
      <c r="F8" s="136"/>
      <c r="G8" s="136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2:18" ht="21" x14ac:dyDescent="0.35">
      <c r="B9" s="135" t="s">
        <v>10</v>
      </c>
      <c r="C9" s="135"/>
      <c r="D9" s="135"/>
      <c r="E9" s="131" t="s">
        <v>11</v>
      </c>
      <c r="F9" s="131"/>
      <c r="G9" s="131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2:18" ht="21" x14ac:dyDescent="0.35">
      <c r="B10" s="135" t="s">
        <v>12</v>
      </c>
      <c r="C10" s="135"/>
      <c r="D10" s="135"/>
      <c r="E10" s="131" t="s">
        <v>13</v>
      </c>
      <c r="F10" s="131"/>
      <c r="G10" s="131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pans="2:18" ht="21" x14ac:dyDescent="0.35">
      <c r="B11" s="137" t="s">
        <v>14</v>
      </c>
      <c r="C11" s="137"/>
      <c r="D11" s="137"/>
      <c r="E11" s="137"/>
      <c r="F11" s="137"/>
      <c r="G11" s="137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pans="2:18" ht="21" x14ac:dyDescent="0.35">
      <c r="B12" s="135" t="s">
        <v>15</v>
      </c>
      <c r="C12" s="135"/>
      <c r="D12" s="135"/>
      <c r="E12" s="131" t="s">
        <v>16</v>
      </c>
      <c r="F12" s="131"/>
      <c r="G12" s="131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2:18" ht="21" x14ac:dyDescent="0.35">
      <c r="B13" s="135" t="s">
        <v>12</v>
      </c>
      <c r="C13" s="135"/>
      <c r="D13" s="135"/>
      <c r="E13" s="131" t="s">
        <v>17</v>
      </c>
      <c r="F13" s="131"/>
      <c r="G13" s="131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spans="2:18" ht="21" x14ac:dyDescent="0.35">
      <c r="B14" s="136" t="s">
        <v>18</v>
      </c>
      <c r="C14" s="136"/>
      <c r="D14" s="136"/>
      <c r="E14" s="131" t="s">
        <v>19</v>
      </c>
      <c r="F14" s="131"/>
      <c r="G14" s="131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2:18" ht="21" x14ac:dyDescent="0.35">
      <c r="B15" s="23" t="s">
        <v>20</v>
      </c>
      <c r="C15" s="23"/>
      <c r="D15" s="23"/>
      <c r="E15" s="131" t="s">
        <v>21</v>
      </c>
      <c r="F15" s="131"/>
      <c r="G15" s="131"/>
      <c r="H15" s="4"/>
      <c r="I15" s="4"/>
      <c r="J15" s="4"/>
      <c r="K15" s="4"/>
      <c r="L15" s="4"/>
      <c r="N15" s="4"/>
      <c r="O15" s="4"/>
      <c r="P15" s="4"/>
      <c r="Q15" s="4"/>
      <c r="R15" s="4"/>
    </row>
    <row r="16" spans="2:18" x14ac:dyDescent="0.25">
      <c r="C16" s="24"/>
      <c r="D16" s="24"/>
      <c r="E16" s="25"/>
      <c r="F16" s="25"/>
      <c r="G16" s="25"/>
      <c r="H16" s="25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2:18" x14ac:dyDescent="0.25">
      <c r="B17" s="132" t="s">
        <v>95</v>
      </c>
      <c r="C17" s="132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</row>
    <row r="18" spans="2:18" x14ac:dyDescent="0.25">
      <c r="B18" s="17" t="s">
        <v>22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2:18" x14ac:dyDescent="0.25">
      <c r="B19" s="26" t="s">
        <v>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2:18" x14ac:dyDescent="0.25">
      <c r="B20" s="27" t="s">
        <v>6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2:18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2:18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2:18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2:18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2:18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2:18" x14ac:dyDescent="0.2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2:18" x14ac:dyDescent="0.2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2:18" x14ac:dyDescent="0.2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2:18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2:18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2:18" x14ac:dyDescent="0.25">
      <c r="B31" s="133" t="s">
        <v>23</v>
      </c>
      <c r="C31" s="133"/>
      <c r="D31" s="133"/>
      <c r="E31" s="133"/>
      <c r="F31" s="29"/>
      <c r="G31" s="29"/>
      <c r="H31" s="28" t="s">
        <v>24</v>
      </c>
      <c r="I31" s="30"/>
      <c r="J31" s="30"/>
      <c r="K31" s="30"/>
      <c r="L31" s="30"/>
      <c r="M31" s="133" t="s">
        <v>25</v>
      </c>
      <c r="N31" s="133"/>
      <c r="O31" s="133"/>
      <c r="P31" s="133"/>
      <c r="Q31" s="133"/>
      <c r="R31" s="30"/>
    </row>
    <row r="32" spans="2:18" x14ac:dyDescent="0.25">
      <c r="B32" s="134"/>
      <c r="C32" s="134"/>
      <c r="D32" s="134"/>
      <c r="E32" s="134"/>
      <c r="F32" s="2"/>
      <c r="H32" s="31"/>
      <c r="I32" s="32"/>
      <c r="J32" s="32"/>
      <c r="K32" s="32"/>
      <c r="L32" s="32"/>
      <c r="M32" s="134"/>
      <c r="N32" s="134"/>
      <c r="O32" s="134"/>
      <c r="P32" s="134"/>
      <c r="Q32" s="134"/>
      <c r="R32" s="32"/>
    </row>
    <row r="33" spans="2:18" x14ac:dyDescent="0.25">
      <c r="B33" s="33"/>
      <c r="C33" s="33"/>
      <c r="D33" s="33"/>
      <c r="E33" s="33"/>
      <c r="F33" s="2"/>
      <c r="G33" s="33"/>
      <c r="H33" s="33"/>
      <c r="I33" s="33"/>
      <c r="J33" s="33"/>
      <c r="K33" s="33"/>
      <c r="L33" s="32"/>
      <c r="M33" s="33"/>
      <c r="N33" s="33"/>
      <c r="O33" s="33"/>
      <c r="P33" s="33"/>
      <c r="Q33" s="33"/>
      <c r="R33" s="32"/>
    </row>
    <row r="34" spans="2:18" ht="15.75" x14ac:dyDescent="0.25">
      <c r="B34" s="2"/>
      <c r="C34" s="2"/>
      <c r="D34" s="2"/>
      <c r="E34" s="2"/>
      <c r="F34" s="2"/>
      <c r="G34" s="2"/>
      <c r="H34" s="2"/>
      <c r="I34" s="2"/>
      <c r="J34" s="34"/>
      <c r="K34" s="34"/>
      <c r="L34" s="34"/>
      <c r="M34" s="34"/>
      <c r="N34" s="123"/>
      <c r="O34" s="123"/>
      <c r="P34" s="123"/>
      <c r="Q34" s="123"/>
      <c r="R34" s="35"/>
    </row>
    <row r="35" spans="2:18" ht="23.25" customHeight="1" x14ac:dyDescent="0.25">
      <c r="B35" s="2"/>
      <c r="C35" s="124" t="s">
        <v>26</v>
      </c>
      <c r="D35" s="125"/>
      <c r="E35" s="124" t="s">
        <v>27</v>
      </c>
      <c r="F35" s="126"/>
      <c r="G35" s="125"/>
      <c r="H35" s="127" t="s">
        <v>15</v>
      </c>
      <c r="I35" s="128"/>
      <c r="J35" s="127" t="s">
        <v>28</v>
      </c>
      <c r="K35" s="128"/>
      <c r="L35" s="127" t="s">
        <v>29</v>
      </c>
      <c r="M35" s="128"/>
      <c r="N35" s="127" t="s">
        <v>20</v>
      </c>
      <c r="O35" s="128"/>
      <c r="P35" s="129"/>
      <c r="Q35" s="130"/>
      <c r="R35" s="36"/>
    </row>
    <row r="36" spans="2:18" x14ac:dyDescent="0.25">
      <c r="B36" s="2"/>
      <c r="C36" s="119" t="s">
        <v>30</v>
      </c>
      <c r="D36" s="120"/>
      <c r="E36" s="98" t="s">
        <v>31</v>
      </c>
      <c r="F36" s="99"/>
      <c r="G36" s="100"/>
      <c r="H36" s="98" t="s">
        <v>32</v>
      </c>
      <c r="I36" s="100"/>
      <c r="J36" s="98">
        <v>120</v>
      </c>
      <c r="K36" s="100"/>
      <c r="L36" s="113">
        <v>90</v>
      </c>
      <c r="M36" s="114"/>
      <c r="N36" s="101" t="s">
        <v>33</v>
      </c>
      <c r="O36" s="102"/>
      <c r="P36" s="96"/>
      <c r="Q36" s="97"/>
      <c r="R36" s="37"/>
    </row>
    <row r="37" spans="2:18" x14ac:dyDescent="0.25">
      <c r="B37" s="2"/>
      <c r="C37" s="121"/>
      <c r="D37" s="122"/>
      <c r="E37" s="98" t="s">
        <v>34</v>
      </c>
      <c r="F37" s="99"/>
      <c r="G37" s="100"/>
      <c r="H37" s="117" t="s">
        <v>35</v>
      </c>
      <c r="I37" s="118"/>
      <c r="J37" s="98">
        <v>130</v>
      </c>
      <c r="K37" s="100"/>
      <c r="L37" s="115"/>
      <c r="M37" s="116"/>
      <c r="N37" s="103"/>
      <c r="O37" s="104"/>
      <c r="P37" s="96"/>
      <c r="Q37" s="97"/>
      <c r="R37" s="37"/>
    </row>
    <row r="38" spans="2:18" x14ac:dyDescent="0.25">
      <c r="B38" s="2"/>
      <c r="C38" s="119" t="s">
        <v>36</v>
      </c>
      <c r="D38" s="120"/>
      <c r="E38" s="98" t="s">
        <v>31</v>
      </c>
      <c r="F38" s="99"/>
      <c r="G38" s="100"/>
      <c r="H38" s="117" t="s">
        <v>32</v>
      </c>
      <c r="I38" s="118"/>
      <c r="J38" s="117">
        <v>210</v>
      </c>
      <c r="K38" s="118"/>
      <c r="L38" s="113">
        <v>75</v>
      </c>
      <c r="M38" s="114"/>
      <c r="N38" s="101" t="s">
        <v>37</v>
      </c>
      <c r="O38" s="102"/>
      <c r="P38" s="96"/>
      <c r="Q38" s="97"/>
      <c r="R38" s="37"/>
    </row>
    <row r="39" spans="2:18" x14ac:dyDescent="0.25">
      <c r="B39" s="2"/>
      <c r="C39" s="121"/>
      <c r="D39" s="122"/>
      <c r="E39" s="98" t="s">
        <v>34</v>
      </c>
      <c r="F39" s="99"/>
      <c r="G39" s="100"/>
      <c r="H39" s="98" t="s">
        <v>38</v>
      </c>
      <c r="I39" s="100"/>
      <c r="J39" s="98">
        <v>210</v>
      </c>
      <c r="K39" s="100"/>
      <c r="L39" s="115"/>
      <c r="M39" s="116"/>
      <c r="N39" s="103"/>
      <c r="O39" s="104"/>
      <c r="P39" s="96"/>
      <c r="Q39" s="97"/>
      <c r="R39" s="37"/>
    </row>
    <row r="40" spans="2:18" x14ac:dyDescent="0.25">
      <c r="B40" s="2"/>
      <c r="C40" s="105" t="s">
        <v>39</v>
      </c>
      <c r="D40" s="106"/>
      <c r="E40" s="98" t="s">
        <v>40</v>
      </c>
      <c r="F40" s="99"/>
      <c r="G40" s="100"/>
      <c r="H40" s="101" t="s">
        <v>38</v>
      </c>
      <c r="I40" s="102"/>
      <c r="J40" s="109" t="s">
        <v>41</v>
      </c>
      <c r="K40" s="110"/>
      <c r="L40" s="113">
        <v>95</v>
      </c>
      <c r="M40" s="114"/>
      <c r="N40" s="101" t="s">
        <v>37</v>
      </c>
      <c r="O40" s="102"/>
      <c r="P40" s="96"/>
      <c r="Q40" s="97"/>
      <c r="R40" s="37"/>
    </row>
    <row r="41" spans="2:18" x14ac:dyDescent="0.25">
      <c r="B41" s="2"/>
      <c r="C41" s="107"/>
      <c r="D41" s="108"/>
      <c r="E41" s="98" t="s">
        <v>34</v>
      </c>
      <c r="F41" s="99"/>
      <c r="G41" s="100"/>
      <c r="H41" s="103"/>
      <c r="I41" s="104"/>
      <c r="J41" s="111"/>
      <c r="K41" s="112"/>
      <c r="L41" s="115"/>
      <c r="M41" s="116"/>
      <c r="N41" s="103"/>
      <c r="O41" s="104"/>
      <c r="P41" s="96"/>
      <c r="Q41" s="97"/>
    </row>
    <row r="42" spans="2:18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</sheetData>
  <protectedRanges>
    <protectedRange sqref="C35:C38 P35:P38" name="Диапазон1_1"/>
    <protectedRange sqref="P40 J35:J37 C35:C39 E35:E41 P35:P38 L35 N38 N35:N36 N40" name="Диапазон1_3_1"/>
  </protectedRanges>
  <mergeCells count="60">
    <mergeCell ref="B11:G11"/>
    <mergeCell ref="B2:E2"/>
    <mergeCell ref="F2:R2"/>
    <mergeCell ref="B3:R3"/>
    <mergeCell ref="B4:L4"/>
    <mergeCell ref="B7:D7"/>
    <mergeCell ref="E7:G7"/>
    <mergeCell ref="B8:G8"/>
    <mergeCell ref="B9:D9"/>
    <mergeCell ref="E9:G9"/>
    <mergeCell ref="B10:D10"/>
    <mergeCell ref="E10:G10"/>
    <mergeCell ref="B12:D12"/>
    <mergeCell ref="E12:G12"/>
    <mergeCell ref="B13:D13"/>
    <mergeCell ref="E13:G13"/>
    <mergeCell ref="B14:D14"/>
    <mergeCell ref="E14:G14"/>
    <mergeCell ref="E15:G15"/>
    <mergeCell ref="B17:R17"/>
    <mergeCell ref="B31:E31"/>
    <mergeCell ref="M31:Q31"/>
    <mergeCell ref="B32:E32"/>
    <mergeCell ref="M32:Q32"/>
    <mergeCell ref="N34:Q34"/>
    <mergeCell ref="C35:D35"/>
    <mergeCell ref="E35:G35"/>
    <mergeCell ref="H35:I35"/>
    <mergeCell ref="J35:K35"/>
    <mergeCell ref="L35:M35"/>
    <mergeCell ref="N35:O35"/>
    <mergeCell ref="P35:Q35"/>
    <mergeCell ref="P36:Q37"/>
    <mergeCell ref="E37:G37"/>
    <mergeCell ref="H37:I37"/>
    <mergeCell ref="J37:K37"/>
    <mergeCell ref="C38:D39"/>
    <mergeCell ref="E38:G38"/>
    <mergeCell ref="H38:I38"/>
    <mergeCell ref="J38:K38"/>
    <mergeCell ref="L38:M39"/>
    <mergeCell ref="N38:O39"/>
    <mergeCell ref="C36:D37"/>
    <mergeCell ref="E36:G36"/>
    <mergeCell ref="H36:I36"/>
    <mergeCell ref="J36:K36"/>
    <mergeCell ref="L36:M37"/>
    <mergeCell ref="N36:O37"/>
    <mergeCell ref="C40:D41"/>
    <mergeCell ref="E40:G40"/>
    <mergeCell ref="H40:I41"/>
    <mergeCell ref="J40:K41"/>
    <mergeCell ref="L40:M41"/>
    <mergeCell ref="P40:Q41"/>
    <mergeCell ref="E41:G41"/>
    <mergeCell ref="P38:Q39"/>
    <mergeCell ref="E39:G39"/>
    <mergeCell ref="H39:I39"/>
    <mergeCell ref="J39:K39"/>
    <mergeCell ref="N40:O41"/>
  </mergeCells>
  <pageMargins left="0.7" right="0.7" top="0.75" bottom="0.75" header="0.3" footer="0.3"/>
  <pageSetup paperSize="9" scale="6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48"/>
  <sheetViews>
    <sheetView view="pageBreakPreview" zoomScale="110" zoomScaleNormal="100" zoomScaleSheetLayoutView="110" workbookViewId="0">
      <selection activeCell="R20" sqref="R20"/>
    </sheetView>
  </sheetViews>
  <sheetFormatPr defaultRowHeight="15" x14ac:dyDescent="0.25"/>
  <cols>
    <col min="2" max="3" width="4.85546875" customWidth="1"/>
    <col min="4" max="4" width="8.28515625" customWidth="1"/>
    <col min="5" max="17" width="9.28515625" customWidth="1"/>
    <col min="18" max="18" width="8" customWidth="1"/>
  </cols>
  <sheetData>
    <row r="1" spans="1:19" x14ac:dyDescent="0.25">
      <c r="A1" s="151"/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</row>
    <row r="2" spans="1:19" x14ac:dyDescent="0.25">
      <c r="A2" s="151"/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</row>
    <row r="3" spans="1:19" ht="72" customHeight="1" x14ac:dyDescent="0.25">
      <c r="A3" s="151"/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</row>
    <row r="4" spans="1:19" x14ac:dyDescent="0.25">
      <c r="A4" s="151"/>
      <c r="B4" s="152" t="s">
        <v>91</v>
      </c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1"/>
    </row>
    <row r="5" spans="1:19" ht="18.75" x14ac:dyDescent="0.3">
      <c r="A5" s="151"/>
      <c r="B5" s="154" t="s">
        <v>50</v>
      </c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1"/>
    </row>
    <row r="6" spans="1:19" ht="15.75" thickBot="1" x14ac:dyDescent="0.3">
      <c r="A6" s="151"/>
      <c r="B6" s="162"/>
      <c r="C6" s="39"/>
      <c r="D6" s="193" t="s">
        <v>42</v>
      </c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5"/>
      <c r="R6" s="38"/>
    </row>
    <row r="7" spans="1:19" ht="15.75" thickBot="1" x14ac:dyDescent="0.3">
      <c r="A7" s="151"/>
      <c r="B7" s="162"/>
      <c r="C7" s="196" t="s">
        <v>43</v>
      </c>
      <c r="D7" s="62"/>
      <c r="E7" s="67">
        <v>2000</v>
      </c>
      <c r="F7" s="68">
        <v>2100</v>
      </c>
      <c r="G7" s="68">
        <v>2200</v>
      </c>
      <c r="H7" s="68">
        <v>2300</v>
      </c>
      <c r="I7" s="68">
        <v>2400</v>
      </c>
      <c r="J7" s="68">
        <v>2500</v>
      </c>
      <c r="K7" s="68">
        <v>2600</v>
      </c>
      <c r="L7" s="68">
        <v>2700</v>
      </c>
      <c r="M7" s="69">
        <v>2800</v>
      </c>
      <c r="N7" s="68">
        <v>2900</v>
      </c>
      <c r="O7" s="68">
        <v>3000</v>
      </c>
      <c r="P7" s="68">
        <v>3100</v>
      </c>
      <c r="Q7" s="70">
        <v>3200</v>
      </c>
      <c r="R7" s="38"/>
    </row>
    <row r="8" spans="1:19" x14ac:dyDescent="0.25">
      <c r="A8" s="151"/>
      <c r="B8" s="162"/>
      <c r="C8" s="196"/>
      <c r="D8" s="63">
        <v>1800</v>
      </c>
      <c r="E8" s="71">
        <f>(('[1]Пружини розтягу'!E8*'[1]Пружини розтягу'!$T$1)+'[1]Пружини розтягу'!E8)*(100%+25%)</f>
        <v>550</v>
      </c>
      <c r="F8" s="72">
        <f>435*(100%+25%)</f>
        <v>543.75</v>
      </c>
      <c r="G8" s="72">
        <f>440*(100%+25%)</f>
        <v>550</v>
      </c>
      <c r="H8" s="72">
        <f>450*(100%+25%)</f>
        <v>562.5</v>
      </c>
      <c r="I8" s="72">
        <f>455*(100%+25%)</f>
        <v>568.75</v>
      </c>
      <c r="J8" s="73">
        <f>465*(100%+25%)</f>
        <v>581.25</v>
      </c>
      <c r="K8" s="72">
        <f>(('[1]Пружини розтягу'!K8*'[1]Пружини розтягу'!$T$1)+'[1]Пружини розтягу'!K8)*(100%+25%)</f>
        <v>594</v>
      </c>
      <c r="L8" s="72">
        <f>485*(100%+25%)</f>
        <v>606.25</v>
      </c>
      <c r="M8" s="72">
        <f>495*(100%+25%)</f>
        <v>618.75</v>
      </c>
      <c r="N8" s="72">
        <f>505*(100%+25%)</f>
        <v>631.25</v>
      </c>
      <c r="O8" s="73">
        <f>510*(100%+25%)</f>
        <v>637.5</v>
      </c>
      <c r="P8" s="72">
        <f>525*(100%+25%)</f>
        <v>656.25</v>
      </c>
      <c r="Q8" s="72">
        <f>(('[1]Пружини розтягу'!Q8*'[1]Пружини розтягу'!$T$1)+'[1]Пружини розтягу'!Q8)*(100%+25%)</f>
        <v>662.75</v>
      </c>
      <c r="R8" s="38"/>
    </row>
    <row r="9" spans="1:19" x14ac:dyDescent="0.25">
      <c r="A9" s="151"/>
      <c r="B9" s="162"/>
      <c r="C9" s="196"/>
      <c r="D9" s="64">
        <v>1900</v>
      </c>
      <c r="E9" s="74">
        <f>465*(100%+25%)</f>
        <v>581.25</v>
      </c>
      <c r="F9" s="75">
        <f>465*(100%+25%)</f>
        <v>581.25</v>
      </c>
      <c r="G9" s="75">
        <f>475*(100%+25%)</f>
        <v>593.75</v>
      </c>
      <c r="H9" s="75">
        <f>485*(100%+25%)</f>
        <v>606.25</v>
      </c>
      <c r="I9" s="75">
        <f>460*(100%+25%)</f>
        <v>575</v>
      </c>
      <c r="J9" s="76">
        <f>(('[1]Пружини розтягу'!J9*'[1]Пружини розтягу'!$T$1)+'[1]Пружини розтягу'!J9)*(100%+25%)</f>
        <v>631.125</v>
      </c>
      <c r="K9" s="75">
        <f>505*(100%+25%)</f>
        <v>631.25</v>
      </c>
      <c r="L9" s="75">
        <f>525*(100%+25%)</f>
        <v>656.25</v>
      </c>
      <c r="M9" s="75">
        <f>535*(100%+25%)</f>
        <v>668.75</v>
      </c>
      <c r="N9" s="75">
        <f>530*(100%+25%)</f>
        <v>662.5</v>
      </c>
      <c r="O9" s="76">
        <f>555*(100%+25%)</f>
        <v>693.75</v>
      </c>
      <c r="P9" s="75">
        <f>570*(100%+25%)</f>
        <v>712.5</v>
      </c>
      <c r="Q9" s="75">
        <f>585*(100%+25%)</f>
        <v>731.25</v>
      </c>
      <c r="R9" s="38"/>
    </row>
    <row r="10" spans="1:19" x14ac:dyDescent="0.25">
      <c r="A10" s="151"/>
      <c r="B10" s="162"/>
      <c r="C10" s="196"/>
      <c r="D10" s="64">
        <v>2000</v>
      </c>
      <c r="E10" s="77">
        <f>475*(100%+25%)</f>
        <v>593.75</v>
      </c>
      <c r="F10" s="76">
        <f>480*(100%+25%)</f>
        <v>600</v>
      </c>
      <c r="G10" s="76">
        <f>500*(100%+25%)</f>
        <v>625</v>
      </c>
      <c r="H10" s="76">
        <f>500*(100%+25%)</f>
        <v>625</v>
      </c>
      <c r="I10" s="76">
        <f>(('[1]Пружини розтягу'!I10*'[1]Пружини розтягу'!$T$1)+'[1]Пружини розтягу'!I10)*(100%+25%)</f>
        <v>618.75</v>
      </c>
      <c r="J10" s="76">
        <f>525*(100%+25%)</f>
        <v>656.25</v>
      </c>
      <c r="K10" s="76">
        <f>535*(100%+25%)</f>
        <v>668.75</v>
      </c>
      <c r="L10" s="76">
        <f>540*(100%+25%)</f>
        <v>675</v>
      </c>
      <c r="M10" s="76">
        <f>555*(100%+25%)</f>
        <v>693.75</v>
      </c>
      <c r="N10" s="76">
        <f>560*(100%+25%)</f>
        <v>700</v>
      </c>
      <c r="O10" s="76">
        <f>585*(100%+25%)</f>
        <v>731.25</v>
      </c>
      <c r="P10" s="76">
        <f>600*(100%+25%)</f>
        <v>750</v>
      </c>
      <c r="Q10" s="76">
        <f>610*(100%+25%)</f>
        <v>762.5</v>
      </c>
      <c r="R10" s="38"/>
    </row>
    <row r="11" spans="1:19" x14ac:dyDescent="0.25">
      <c r="A11" s="151"/>
      <c r="B11" s="162"/>
      <c r="C11" s="196"/>
      <c r="D11" s="64">
        <v>2100</v>
      </c>
      <c r="E11" s="74">
        <f>495*(100%+25%)</f>
        <v>618.75</v>
      </c>
      <c r="F11" s="75">
        <f>510*(100%+25%)</f>
        <v>637.5</v>
      </c>
      <c r="G11" s="75">
        <f>525*(100%+25%)</f>
        <v>656.25</v>
      </c>
      <c r="H11" s="75">
        <f>535*(100%+25%)</f>
        <v>668.75</v>
      </c>
      <c r="I11" s="75">
        <f>545*(100%+25%)</f>
        <v>681.25</v>
      </c>
      <c r="J11" s="76">
        <f>555*(100%+25%)</f>
        <v>693.75</v>
      </c>
      <c r="K11" s="75">
        <f>(('[1]Пружини розтягу'!K11*'[1]Пружини розтягу'!$T$1)+'[1]Пружини розтягу'!K11)*(100%+25%)</f>
        <v>706.75</v>
      </c>
      <c r="L11" s="75">
        <f>575*(100%+25%)</f>
        <v>718.75</v>
      </c>
      <c r="M11" s="75">
        <f>590*(100%+25%)</f>
        <v>737.5</v>
      </c>
      <c r="N11" s="75">
        <f>600*(100%+25%)</f>
        <v>750</v>
      </c>
      <c r="O11" s="76">
        <f>615*(100%+25%)</f>
        <v>768.75</v>
      </c>
      <c r="P11" s="75">
        <f>(('[1]Пружини розтягу'!P11*'[1]Пружини розтягу'!$T$1)+'[1]Пружини розтягу'!P11)*(100%+25%)</f>
        <v>781</v>
      </c>
      <c r="Q11" s="75">
        <f>645*(100%+25%)</f>
        <v>806.25</v>
      </c>
      <c r="R11" s="38"/>
    </row>
    <row r="12" spans="1:19" x14ac:dyDescent="0.25">
      <c r="A12" s="151"/>
      <c r="B12" s="162"/>
      <c r="C12" s="196"/>
      <c r="D12" s="64">
        <v>2200</v>
      </c>
      <c r="E12" s="74">
        <f>500*(100%+25%)</f>
        <v>625</v>
      </c>
      <c r="F12" s="75">
        <f>515*(100%+25%)</f>
        <v>643.75</v>
      </c>
      <c r="G12" s="75">
        <f>530*(100%+25%)</f>
        <v>662.5</v>
      </c>
      <c r="H12" s="75">
        <f>540*(100%+25%)</f>
        <v>675</v>
      </c>
      <c r="I12" s="75">
        <f>550*(100%+25%)</f>
        <v>687.5</v>
      </c>
      <c r="J12" s="76">
        <f>560*(100%+25%)</f>
        <v>700</v>
      </c>
      <c r="K12" s="75">
        <f>575*(100%+25%)</f>
        <v>718.75</v>
      </c>
      <c r="L12" s="75">
        <f>580*(100%+25%)</f>
        <v>725</v>
      </c>
      <c r="M12" s="75">
        <f>595*(100%+25%)</f>
        <v>743.75</v>
      </c>
      <c r="N12" s="75">
        <f>605*(100%+25%)</f>
        <v>756.25</v>
      </c>
      <c r="O12" s="76">
        <f>625*(100%+25%)</f>
        <v>781.25</v>
      </c>
      <c r="P12" s="75">
        <f>635*(100%+25%)</f>
        <v>793.75</v>
      </c>
      <c r="Q12" s="75">
        <f>650*(100%+25%)</f>
        <v>812.5</v>
      </c>
      <c r="R12" s="38"/>
    </row>
    <row r="13" spans="1:19" x14ac:dyDescent="0.25">
      <c r="A13" s="151"/>
      <c r="B13" s="162"/>
      <c r="C13" s="196"/>
      <c r="D13" s="64">
        <v>2300</v>
      </c>
      <c r="E13" s="74">
        <f>510*(100%+25%)</f>
        <v>637.5</v>
      </c>
      <c r="F13" s="75">
        <f>520*(100%+25%)</f>
        <v>650</v>
      </c>
      <c r="G13" s="75">
        <f>535*(100%+25%)</f>
        <v>668.75</v>
      </c>
      <c r="H13" s="75">
        <f>545*(100%+25%)</f>
        <v>681.25</v>
      </c>
      <c r="I13" s="75">
        <f>555*(100%+25%)</f>
        <v>693.75</v>
      </c>
      <c r="J13" s="76">
        <f>(('[1]Пружини розтягу'!J13*'[1]Пружини розтягу'!$T$1)+'[1]Пружини розтягу'!J13)*(100%+25%)</f>
        <v>706.75</v>
      </c>
      <c r="K13" s="75">
        <f>585*(100%+25%)</f>
        <v>731.25</v>
      </c>
      <c r="L13" s="75">
        <f>595*(100%+25%)</f>
        <v>743.75</v>
      </c>
      <c r="M13" s="75">
        <f>605*(100%+25%)</f>
        <v>756.25</v>
      </c>
      <c r="N13" s="75">
        <f>615*(100%+25%)</f>
        <v>768.75</v>
      </c>
      <c r="O13" s="76">
        <f>635*(100%+25%)</f>
        <v>793.75</v>
      </c>
      <c r="P13" s="75">
        <f>650*(100%+25%)</f>
        <v>812.5</v>
      </c>
      <c r="Q13" s="75">
        <f>665*(100%+25%)</f>
        <v>831.25</v>
      </c>
      <c r="R13" s="38"/>
    </row>
    <row r="14" spans="1:19" x14ac:dyDescent="0.25">
      <c r="A14" s="151"/>
      <c r="B14" s="162"/>
      <c r="C14" s="196"/>
      <c r="D14" s="65">
        <v>2400</v>
      </c>
      <c r="E14" s="78">
        <f>520*(100%+25%)</f>
        <v>650</v>
      </c>
      <c r="F14" s="79">
        <f>530*(100%+25%)</f>
        <v>662.5</v>
      </c>
      <c r="G14" s="79">
        <f>540*(100%+25%)</f>
        <v>675</v>
      </c>
      <c r="H14" s="79">
        <f>545*(100%+25%)</f>
        <v>681.25</v>
      </c>
      <c r="I14" s="75">
        <f>565*(100%+25%)</f>
        <v>706.25</v>
      </c>
      <c r="J14" s="76">
        <f>(('[1]Пружини розтягу'!J14*'[1]Пружини розтягу'!$T$1)+'[1]Пружини розтягу'!J14)*(100%+25%)</f>
        <v>719.125</v>
      </c>
      <c r="K14" s="75">
        <f>595*(100%+25%)</f>
        <v>743.75</v>
      </c>
      <c r="L14" s="75">
        <f>605*(100%+25%)</f>
        <v>756.25</v>
      </c>
      <c r="M14" s="75">
        <f>615*(100%+25%)</f>
        <v>768.75</v>
      </c>
      <c r="N14" s="75">
        <f>625*(100%+25%)</f>
        <v>781.25</v>
      </c>
      <c r="O14" s="76">
        <f>640*(100%+25%)</f>
        <v>800</v>
      </c>
      <c r="P14" s="75">
        <f>660*(100%+25%)</f>
        <v>825</v>
      </c>
      <c r="Q14" s="75">
        <f>680*(100%+25%)</f>
        <v>850</v>
      </c>
      <c r="R14" s="38"/>
    </row>
    <row r="15" spans="1:19" x14ac:dyDescent="0.25">
      <c r="A15" s="151"/>
      <c r="B15" s="162"/>
      <c r="C15" s="196"/>
      <c r="D15" s="64">
        <v>2500</v>
      </c>
      <c r="E15" s="80">
        <f>540*(100%+25%)</f>
        <v>675</v>
      </c>
      <c r="F15" s="81">
        <f>545*(100%+25%)</f>
        <v>681.25</v>
      </c>
      <c r="G15" s="81">
        <f>555*(100%+25%)</f>
        <v>693.75</v>
      </c>
      <c r="H15" s="81">
        <f>575*(100%+25%)</f>
        <v>718.75</v>
      </c>
      <c r="I15" s="76">
        <f>590*(100%+25%)</f>
        <v>737.5</v>
      </c>
      <c r="J15" s="76">
        <f>610*(100%+25%)</f>
        <v>762.5</v>
      </c>
      <c r="K15" s="76">
        <f>615*(100%+25%)</f>
        <v>768.75</v>
      </c>
      <c r="L15" s="76">
        <f>(('[1]Пружини розтягу'!L15*'[1]Пружини розтягу'!$T$1)+'[1]Пружини розтягу'!L15)*(100%+25%)</f>
        <v>787.875</v>
      </c>
      <c r="M15" s="76">
        <f>640*(100%+25%)</f>
        <v>800</v>
      </c>
      <c r="N15" s="76">
        <f>(('[1]Пружини розтягу'!N15*'[1]Пружини розтягу'!$T$1)+'[1]Пружини розтягу'!N15)*(100%+25%)</f>
        <v>818.125</v>
      </c>
      <c r="O15" s="76">
        <f>670*(100%+25%)</f>
        <v>837.5</v>
      </c>
      <c r="P15" s="81">
        <f>695*(100%+25%)</f>
        <v>868.75</v>
      </c>
      <c r="Q15" s="76">
        <f>710*(100%+25%)</f>
        <v>887.5</v>
      </c>
      <c r="R15" s="38"/>
    </row>
    <row r="16" spans="1:19" x14ac:dyDescent="0.25">
      <c r="A16" s="151"/>
      <c r="B16" s="162"/>
      <c r="C16" s="196"/>
      <c r="D16" s="64">
        <v>2600</v>
      </c>
      <c r="E16" s="78">
        <f>560*(100%+25%)</f>
        <v>700</v>
      </c>
      <c r="F16" s="79">
        <f>570*(100%+25%)</f>
        <v>712.5</v>
      </c>
      <c r="G16" s="79">
        <f>575*(100%+25%)</f>
        <v>718.75</v>
      </c>
      <c r="H16" s="79">
        <f>595*(100%+25%)</f>
        <v>743.75</v>
      </c>
      <c r="I16" s="75">
        <f>610*(100%+25%)</f>
        <v>762.5</v>
      </c>
      <c r="J16" s="76">
        <f>630*(100%+25%)</f>
        <v>787.5</v>
      </c>
      <c r="K16" s="75">
        <f>630*(100%+25%)</f>
        <v>787.5</v>
      </c>
      <c r="L16" s="75">
        <f>640*(100%+25%)</f>
        <v>800</v>
      </c>
      <c r="M16" s="75">
        <f>655*(100%+25%)</f>
        <v>818.75</v>
      </c>
      <c r="N16" s="75">
        <f>670*(100%+25%)</f>
        <v>837.5</v>
      </c>
      <c r="O16" s="81">
        <f>695*(100%+25%)</f>
        <v>868.75</v>
      </c>
      <c r="P16" s="79">
        <f>710*(100%+25%)</f>
        <v>887.5</v>
      </c>
      <c r="Q16" s="79">
        <f>725*(100%+25%)</f>
        <v>906.25</v>
      </c>
      <c r="R16" s="38"/>
    </row>
    <row r="17" spans="1:18" x14ac:dyDescent="0.25">
      <c r="A17" s="151"/>
      <c r="B17" s="162"/>
      <c r="C17" s="196"/>
      <c r="D17" s="64">
        <v>2700</v>
      </c>
      <c r="E17" s="78">
        <f>585*(100%+25%)</f>
        <v>731.25</v>
      </c>
      <c r="F17" s="79">
        <f>590*(100%+25%)</f>
        <v>737.5</v>
      </c>
      <c r="G17" s="79">
        <f>600*(100%+25%)</f>
        <v>750</v>
      </c>
      <c r="H17" s="79">
        <f>615*(100%+25%)</f>
        <v>768.75</v>
      </c>
      <c r="I17" s="75">
        <f>645*(100%+25%)</f>
        <v>806.25</v>
      </c>
      <c r="J17" s="76">
        <f>655*(100%+25%)</f>
        <v>818.75</v>
      </c>
      <c r="K17" s="75">
        <f>660*(100%+25%)</f>
        <v>825</v>
      </c>
      <c r="L17" s="75">
        <f>685*(100%+25%)</f>
        <v>856.25</v>
      </c>
      <c r="M17" s="75">
        <f>700*(100%+25%)</f>
        <v>875</v>
      </c>
      <c r="N17" s="75">
        <f>(('[1]Пружини розтягу'!N17*'[1]Пружини розтягу'!$T$1)+'[1]Пружини розтягу'!N17)*(100%+25%)</f>
        <v>886.875</v>
      </c>
      <c r="O17" s="81">
        <f>730*(100%+25%)</f>
        <v>912.5</v>
      </c>
      <c r="P17" s="79">
        <f>740*(100%+25%)</f>
        <v>925</v>
      </c>
      <c r="Q17" s="79">
        <f>770*(100%+25%)</f>
        <v>962.5</v>
      </c>
      <c r="R17" s="38"/>
    </row>
    <row r="18" spans="1:18" x14ac:dyDescent="0.25">
      <c r="A18" s="151"/>
      <c r="B18" s="162"/>
      <c r="C18" s="196"/>
      <c r="D18" s="64">
        <v>2800</v>
      </c>
      <c r="E18" s="78">
        <f>600*(100%+25%)</f>
        <v>750</v>
      </c>
      <c r="F18" s="79">
        <f>610*(100%+25%)</f>
        <v>762.5</v>
      </c>
      <c r="G18" s="79">
        <f>615*(100%+25%)</f>
        <v>768.75</v>
      </c>
      <c r="H18" s="79">
        <f>630*(100%+25%)</f>
        <v>787.5</v>
      </c>
      <c r="I18" s="75">
        <f>650*(100%+25%)</f>
        <v>812.5</v>
      </c>
      <c r="J18" s="76">
        <f>670*(100%+25%)</f>
        <v>837.5</v>
      </c>
      <c r="K18" s="75">
        <f>675*(100%+25%)</f>
        <v>843.75</v>
      </c>
      <c r="L18" s="75">
        <f>700*(100%+25%)</f>
        <v>875</v>
      </c>
      <c r="M18" s="75">
        <f>715*(100%+25%)</f>
        <v>893.75</v>
      </c>
      <c r="N18" s="75">
        <f>735*(100%+25%)</f>
        <v>918.75</v>
      </c>
      <c r="O18" s="81">
        <f>750*(100%+25%)</f>
        <v>937.5</v>
      </c>
      <c r="P18" s="79">
        <f>775*(100%+25%)</f>
        <v>968.75</v>
      </c>
      <c r="Q18" s="79">
        <f>805*(100%+25%)</f>
        <v>1006.25</v>
      </c>
      <c r="R18" s="38"/>
    </row>
    <row r="19" spans="1:18" ht="15.75" thickBot="1" x14ac:dyDescent="0.3">
      <c r="A19" s="151"/>
      <c r="B19" s="162"/>
      <c r="C19" s="197"/>
      <c r="D19" s="66">
        <v>2900</v>
      </c>
      <c r="E19" s="78">
        <f>615*(100%+25%)</f>
        <v>768.75</v>
      </c>
      <c r="F19" s="79">
        <f>625*(100%+25%)</f>
        <v>781.25</v>
      </c>
      <c r="G19" s="79">
        <f>635*(100%+25%)</f>
        <v>793.75</v>
      </c>
      <c r="H19" s="79">
        <f>550*(100%+25%)</f>
        <v>687.5</v>
      </c>
      <c r="I19" s="75">
        <f>670*(100%+25%)</f>
        <v>837.5</v>
      </c>
      <c r="J19" s="76">
        <f>690*(100%+25%)</f>
        <v>862.5</v>
      </c>
      <c r="K19" s="75">
        <f>705*(100%+25%)</f>
        <v>881.25</v>
      </c>
      <c r="L19" s="75">
        <f>720*(100%+25%)</f>
        <v>900</v>
      </c>
      <c r="M19" s="75">
        <f>740*(100%+25%)</f>
        <v>925</v>
      </c>
      <c r="N19" s="79">
        <f>775*(100%+25%)</f>
        <v>968.75</v>
      </c>
      <c r="O19" s="81">
        <f>795*(100%+25%)</f>
        <v>993.75</v>
      </c>
      <c r="P19" s="79">
        <f>815*(100%+25%)</f>
        <v>1018.75</v>
      </c>
      <c r="Q19" s="79">
        <f>830*(100%+25%)</f>
        <v>1037.5</v>
      </c>
      <c r="R19" s="38"/>
    </row>
    <row r="20" spans="1:18" ht="15.75" thickBot="1" x14ac:dyDescent="0.3">
      <c r="A20" s="151"/>
      <c r="B20" s="162"/>
      <c r="C20" s="198"/>
      <c r="D20" s="162"/>
      <c r="E20" s="199"/>
      <c r="F20" s="199"/>
      <c r="G20" s="199"/>
      <c r="H20" s="199"/>
      <c r="I20" s="199"/>
      <c r="J20" s="199"/>
      <c r="K20" s="199"/>
      <c r="L20" s="199"/>
      <c r="M20" s="199"/>
      <c r="N20" s="199"/>
      <c r="O20" s="199"/>
      <c r="P20" s="199"/>
      <c r="Q20" s="199"/>
      <c r="R20" s="84"/>
    </row>
    <row r="21" spans="1:18" x14ac:dyDescent="0.25">
      <c r="A21" s="151"/>
      <c r="B21" s="192" t="s">
        <v>44</v>
      </c>
      <c r="C21" s="190"/>
      <c r="D21" s="190"/>
      <c r="E21" s="190"/>
      <c r="F21" s="190"/>
      <c r="G21" s="190"/>
      <c r="H21" s="190"/>
      <c r="I21" s="190"/>
      <c r="J21" s="190"/>
      <c r="K21" s="190"/>
      <c r="L21" s="190"/>
      <c r="M21" s="190"/>
      <c r="N21" s="190"/>
      <c r="O21" s="190"/>
      <c r="P21" s="190"/>
      <c r="Q21" s="190"/>
      <c r="R21" s="191"/>
    </row>
    <row r="22" spans="1:18" x14ac:dyDescent="0.25">
      <c r="A22" s="151"/>
      <c r="B22" s="176" t="s">
        <v>45</v>
      </c>
      <c r="C22" s="177"/>
      <c r="D22" s="177"/>
      <c r="E22" s="177"/>
      <c r="F22" s="177"/>
      <c r="G22" s="177"/>
      <c r="H22" s="177"/>
      <c r="I22" s="177"/>
      <c r="J22" s="177"/>
      <c r="K22" s="177"/>
      <c r="L22" s="177"/>
      <c r="M22" s="178"/>
      <c r="N22" s="179" t="s">
        <v>46</v>
      </c>
      <c r="O22" s="178"/>
      <c r="P22" s="179" t="s">
        <v>47</v>
      </c>
      <c r="Q22" s="177"/>
      <c r="R22" s="180"/>
    </row>
    <row r="23" spans="1:18" x14ac:dyDescent="0.25">
      <c r="A23" s="151"/>
      <c r="B23" s="143" t="s">
        <v>63</v>
      </c>
      <c r="C23" s="144"/>
      <c r="D23" s="144"/>
      <c r="E23" s="144"/>
      <c r="F23" s="144"/>
      <c r="G23" s="144"/>
      <c r="H23" s="144"/>
      <c r="I23" s="144"/>
      <c r="J23" s="144"/>
      <c r="K23" s="144"/>
      <c r="L23" s="144"/>
      <c r="M23" s="145"/>
      <c r="N23" s="146" t="s">
        <v>58</v>
      </c>
      <c r="O23" s="147"/>
      <c r="P23" s="186">
        <v>0.1</v>
      </c>
      <c r="Q23" s="187"/>
      <c r="R23" s="188"/>
    </row>
    <row r="24" spans="1:18" x14ac:dyDescent="0.25">
      <c r="A24" s="151"/>
      <c r="B24" s="143" t="s">
        <v>64</v>
      </c>
      <c r="C24" s="144"/>
      <c r="D24" s="144"/>
      <c r="E24" s="144"/>
      <c r="F24" s="144"/>
      <c r="G24" s="144"/>
      <c r="H24" s="144"/>
      <c r="I24" s="144"/>
      <c r="J24" s="144"/>
      <c r="K24" s="144"/>
      <c r="L24" s="144"/>
      <c r="M24" s="145"/>
      <c r="N24" s="146" t="s">
        <v>58</v>
      </c>
      <c r="O24" s="147"/>
      <c r="P24" s="186">
        <v>0.1</v>
      </c>
      <c r="Q24" s="187"/>
      <c r="R24" s="188"/>
    </row>
    <row r="25" spans="1:18" ht="15.75" thickBot="1" x14ac:dyDescent="0.3">
      <c r="A25" s="151"/>
      <c r="B25" s="168" t="s">
        <v>65</v>
      </c>
      <c r="C25" s="181"/>
      <c r="D25" s="181"/>
      <c r="E25" s="181"/>
      <c r="F25" s="181"/>
      <c r="G25" s="181"/>
      <c r="H25" s="181"/>
      <c r="I25" s="181"/>
      <c r="J25" s="181"/>
      <c r="K25" s="181"/>
      <c r="L25" s="181"/>
      <c r="M25" s="182"/>
      <c r="N25" s="171" t="s">
        <v>58</v>
      </c>
      <c r="O25" s="172"/>
      <c r="P25" s="200">
        <v>0.1</v>
      </c>
      <c r="Q25" s="201"/>
      <c r="R25" s="202"/>
    </row>
    <row r="26" spans="1:18" ht="15.75" thickBot="1" x14ac:dyDescent="0.3">
      <c r="A26" s="151"/>
      <c r="B26" s="162"/>
      <c r="C26" s="162"/>
      <c r="D26" s="162"/>
      <c r="E26" s="162"/>
      <c r="F26" s="162"/>
      <c r="G26" s="162"/>
      <c r="H26" s="162"/>
      <c r="I26" s="162"/>
      <c r="J26" s="162"/>
      <c r="K26" s="162"/>
      <c r="L26" s="162"/>
      <c r="M26" s="162"/>
      <c r="N26" s="162"/>
      <c r="O26" s="162"/>
      <c r="P26" s="162"/>
      <c r="Q26" s="162"/>
      <c r="R26" s="162"/>
    </row>
    <row r="27" spans="1:18" x14ac:dyDescent="0.25">
      <c r="A27" s="151"/>
      <c r="B27" s="189" t="s">
        <v>59</v>
      </c>
      <c r="C27" s="190"/>
      <c r="D27" s="190"/>
      <c r="E27" s="190"/>
      <c r="F27" s="190"/>
      <c r="G27" s="190"/>
      <c r="H27" s="190"/>
      <c r="I27" s="190"/>
      <c r="J27" s="190"/>
      <c r="K27" s="190"/>
      <c r="L27" s="190"/>
      <c r="M27" s="190"/>
      <c r="N27" s="190"/>
      <c r="O27" s="190"/>
      <c r="P27" s="190"/>
      <c r="Q27" s="190"/>
      <c r="R27" s="191"/>
    </row>
    <row r="28" spans="1:18" x14ac:dyDescent="0.25">
      <c r="A28" s="151"/>
      <c r="B28" s="176" t="s">
        <v>45</v>
      </c>
      <c r="C28" s="177"/>
      <c r="D28" s="177"/>
      <c r="E28" s="177"/>
      <c r="F28" s="177"/>
      <c r="G28" s="177"/>
      <c r="H28" s="177"/>
      <c r="I28" s="177"/>
      <c r="J28" s="177"/>
      <c r="K28" s="177"/>
      <c r="L28" s="177"/>
      <c r="M28" s="178"/>
      <c r="N28" s="179" t="s">
        <v>46</v>
      </c>
      <c r="O28" s="178"/>
      <c r="P28" s="179" t="s">
        <v>48</v>
      </c>
      <c r="Q28" s="177"/>
      <c r="R28" s="180"/>
    </row>
    <row r="29" spans="1:18" x14ac:dyDescent="0.25">
      <c r="A29" s="151"/>
      <c r="B29" s="143" t="s">
        <v>57</v>
      </c>
      <c r="C29" s="144"/>
      <c r="D29" s="144"/>
      <c r="E29" s="144"/>
      <c r="F29" s="144"/>
      <c r="G29" s="144"/>
      <c r="H29" s="144"/>
      <c r="I29" s="144"/>
      <c r="J29" s="144"/>
      <c r="K29" s="144"/>
      <c r="L29" s="144"/>
      <c r="M29" s="145"/>
      <c r="N29" s="157" t="s">
        <v>58</v>
      </c>
      <c r="O29" s="158"/>
      <c r="P29" s="159">
        <f>175*(100%+25%)</f>
        <v>218.75</v>
      </c>
      <c r="Q29" s="160">
        <f t="shared" ref="Q29:R35" si="0">0*(100%+25%)</f>
        <v>0</v>
      </c>
      <c r="R29" s="161">
        <f t="shared" si="0"/>
        <v>0</v>
      </c>
    </row>
    <row r="30" spans="1:18" ht="15" customHeight="1" x14ac:dyDescent="0.25">
      <c r="A30" s="151"/>
      <c r="B30" s="143" t="s">
        <v>67</v>
      </c>
      <c r="C30" s="155"/>
      <c r="D30" s="155"/>
      <c r="E30" s="155"/>
      <c r="F30" s="155"/>
      <c r="G30" s="155"/>
      <c r="H30" s="155"/>
      <c r="I30" s="155"/>
      <c r="J30" s="155"/>
      <c r="K30" s="155"/>
      <c r="L30" s="155"/>
      <c r="M30" s="156"/>
      <c r="N30" s="157" t="s">
        <v>58</v>
      </c>
      <c r="O30" s="158"/>
      <c r="P30" s="159">
        <f>120*(100%+25%)</f>
        <v>150</v>
      </c>
      <c r="Q30" s="160">
        <f t="shared" si="0"/>
        <v>0</v>
      </c>
      <c r="R30" s="161">
        <f t="shared" si="0"/>
        <v>0</v>
      </c>
    </row>
    <row r="31" spans="1:18" ht="15" customHeight="1" x14ac:dyDescent="0.25">
      <c r="A31" s="151"/>
      <c r="B31" s="143" t="s">
        <v>71</v>
      </c>
      <c r="C31" s="155"/>
      <c r="D31" s="155"/>
      <c r="E31" s="155"/>
      <c r="F31" s="155"/>
      <c r="G31" s="155"/>
      <c r="H31" s="155"/>
      <c r="I31" s="155"/>
      <c r="J31" s="155"/>
      <c r="K31" s="155"/>
      <c r="L31" s="155"/>
      <c r="M31" s="156"/>
      <c r="N31" s="157" t="s">
        <v>58</v>
      </c>
      <c r="O31" s="158"/>
      <c r="P31" s="159">
        <f>130*(100%+25%)</f>
        <v>162.5</v>
      </c>
      <c r="Q31" s="160">
        <f t="shared" si="0"/>
        <v>0</v>
      </c>
      <c r="R31" s="161">
        <f t="shared" si="0"/>
        <v>0</v>
      </c>
    </row>
    <row r="32" spans="1:18" ht="15" customHeight="1" x14ac:dyDescent="0.25">
      <c r="A32" s="151"/>
      <c r="B32" s="143" t="s">
        <v>68</v>
      </c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6"/>
      <c r="N32" s="157" t="s">
        <v>58</v>
      </c>
      <c r="O32" s="163"/>
      <c r="P32" s="159">
        <f>140*(100%+25%)</f>
        <v>175</v>
      </c>
      <c r="Q32" s="160">
        <f t="shared" si="0"/>
        <v>0</v>
      </c>
      <c r="R32" s="161">
        <f t="shared" si="0"/>
        <v>0</v>
      </c>
    </row>
    <row r="33" spans="1:18" ht="15" customHeight="1" x14ac:dyDescent="0.25">
      <c r="A33" s="151"/>
      <c r="B33" s="143" t="s">
        <v>69</v>
      </c>
      <c r="C33" s="155"/>
      <c r="D33" s="155"/>
      <c r="E33" s="155"/>
      <c r="F33" s="155"/>
      <c r="G33" s="155"/>
      <c r="H33" s="155"/>
      <c r="I33" s="155"/>
      <c r="J33" s="155"/>
      <c r="K33" s="155"/>
      <c r="L33" s="155"/>
      <c r="M33" s="156"/>
      <c r="N33" s="157" t="s">
        <v>58</v>
      </c>
      <c r="O33" s="158"/>
      <c r="P33" s="159">
        <f>140*(100%+25%)</f>
        <v>175</v>
      </c>
      <c r="Q33" s="160">
        <f t="shared" si="0"/>
        <v>0</v>
      </c>
      <c r="R33" s="161">
        <f t="shared" si="0"/>
        <v>0</v>
      </c>
    </row>
    <row r="34" spans="1:18" ht="15" customHeight="1" x14ac:dyDescent="0.25">
      <c r="A34" s="151"/>
      <c r="B34" s="143" t="s">
        <v>70</v>
      </c>
      <c r="C34" s="155"/>
      <c r="D34" s="155"/>
      <c r="E34" s="155"/>
      <c r="F34" s="155"/>
      <c r="G34" s="155"/>
      <c r="H34" s="155"/>
      <c r="I34" s="155"/>
      <c r="J34" s="155"/>
      <c r="K34" s="155"/>
      <c r="L34" s="155"/>
      <c r="M34" s="156"/>
      <c r="N34" s="157" t="s">
        <v>58</v>
      </c>
      <c r="O34" s="158"/>
      <c r="P34" s="159">
        <f>150*(100%+25%)</f>
        <v>187.5</v>
      </c>
      <c r="Q34" s="160">
        <f t="shared" si="0"/>
        <v>0</v>
      </c>
      <c r="R34" s="161">
        <f t="shared" si="0"/>
        <v>0</v>
      </c>
    </row>
    <row r="35" spans="1:18" ht="15" customHeight="1" thickBot="1" x14ac:dyDescent="0.3">
      <c r="A35" s="151"/>
      <c r="B35" s="168" t="s">
        <v>72</v>
      </c>
      <c r="C35" s="169"/>
      <c r="D35" s="169"/>
      <c r="E35" s="169"/>
      <c r="F35" s="169"/>
      <c r="G35" s="169"/>
      <c r="H35" s="169"/>
      <c r="I35" s="169"/>
      <c r="J35" s="169"/>
      <c r="K35" s="169"/>
      <c r="L35" s="169"/>
      <c r="M35" s="170"/>
      <c r="N35" s="171" t="s">
        <v>66</v>
      </c>
      <c r="O35" s="172"/>
      <c r="P35" s="173">
        <f>110*(100%+25%)</f>
        <v>137.5</v>
      </c>
      <c r="Q35" s="174">
        <f t="shared" si="0"/>
        <v>0</v>
      </c>
      <c r="R35" s="175">
        <f t="shared" si="0"/>
        <v>0</v>
      </c>
    </row>
    <row r="36" spans="1:18" ht="15" customHeight="1" x14ac:dyDescent="0.25">
      <c r="A36" s="151"/>
      <c r="B36" s="189" t="s">
        <v>92</v>
      </c>
      <c r="C36" s="190"/>
      <c r="D36" s="190"/>
      <c r="E36" s="190"/>
      <c r="F36" s="190"/>
      <c r="G36" s="190"/>
      <c r="H36" s="190"/>
      <c r="I36" s="190"/>
      <c r="J36" s="190"/>
      <c r="K36" s="190"/>
      <c r="L36" s="190"/>
      <c r="M36" s="190"/>
      <c r="N36" s="190"/>
      <c r="O36" s="190"/>
      <c r="P36" s="190"/>
      <c r="Q36" s="190"/>
      <c r="R36" s="191"/>
    </row>
    <row r="37" spans="1:18" ht="15" customHeight="1" x14ac:dyDescent="0.25">
      <c r="A37" s="151"/>
      <c r="B37" s="176" t="s">
        <v>45</v>
      </c>
      <c r="C37" s="177"/>
      <c r="D37" s="177"/>
      <c r="E37" s="177"/>
      <c r="F37" s="177"/>
      <c r="G37" s="177"/>
      <c r="H37" s="177"/>
      <c r="I37" s="177"/>
      <c r="J37" s="177"/>
      <c r="K37" s="177"/>
      <c r="L37" s="177"/>
      <c r="M37" s="178"/>
      <c r="N37" s="179" t="s">
        <v>46</v>
      </c>
      <c r="O37" s="178"/>
      <c r="P37" s="179" t="s">
        <v>48</v>
      </c>
      <c r="Q37" s="177"/>
      <c r="R37" s="180"/>
    </row>
    <row r="38" spans="1:18" ht="15" customHeight="1" x14ac:dyDescent="0.25">
      <c r="A38" s="151"/>
      <c r="B38" s="143" t="s">
        <v>61</v>
      </c>
      <c r="C38" s="144"/>
      <c r="D38" s="144"/>
      <c r="E38" s="144"/>
      <c r="F38" s="144"/>
      <c r="G38" s="144"/>
      <c r="H38" s="144"/>
      <c r="I38" s="144"/>
      <c r="J38" s="144"/>
      <c r="K38" s="144"/>
      <c r="L38" s="144"/>
      <c r="M38" s="145"/>
      <c r="N38" s="146" t="s">
        <v>58</v>
      </c>
      <c r="O38" s="147"/>
      <c r="P38" s="148">
        <f>45*(100%+25%)</f>
        <v>56.25</v>
      </c>
      <c r="Q38" s="149">
        <f t="shared" ref="Q38:R45" si="1">0*(100%+25%)</f>
        <v>0</v>
      </c>
      <c r="R38" s="150">
        <f t="shared" si="1"/>
        <v>0</v>
      </c>
    </row>
    <row r="39" spans="1:18" ht="15" customHeight="1" x14ac:dyDescent="0.25">
      <c r="A39" s="151"/>
      <c r="B39" s="143" t="s">
        <v>78</v>
      </c>
      <c r="C39" s="144"/>
      <c r="D39" s="144"/>
      <c r="E39" s="144"/>
      <c r="F39" s="144"/>
      <c r="G39" s="144"/>
      <c r="H39" s="144"/>
      <c r="I39" s="144"/>
      <c r="J39" s="144"/>
      <c r="K39" s="144"/>
      <c r="L39" s="144"/>
      <c r="M39" s="145"/>
      <c r="N39" s="146" t="s">
        <v>58</v>
      </c>
      <c r="O39" s="147"/>
      <c r="P39" s="148">
        <f>10*(100%+25%)</f>
        <v>12.5</v>
      </c>
      <c r="Q39" s="149">
        <f t="shared" si="1"/>
        <v>0</v>
      </c>
      <c r="R39" s="150">
        <f t="shared" si="1"/>
        <v>0</v>
      </c>
    </row>
    <row r="40" spans="1:18" ht="15" customHeight="1" x14ac:dyDescent="0.25">
      <c r="A40" s="151"/>
      <c r="B40" s="143" t="s">
        <v>73</v>
      </c>
      <c r="C40" s="144"/>
      <c r="D40" s="144"/>
      <c r="E40" s="144"/>
      <c r="F40" s="144"/>
      <c r="G40" s="144"/>
      <c r="H40" s="144"/>
      <c r="I40" s="144"/>
      <c r="J40" s="144"/>
      <c r="K40" s="144"/>
      <c r="L40" s="144"/>
      <c r="M40" s="145"/>
      <c r="N40" s="146" t="s">
        <v>58</v>
      </c>
      <c r="O40" s="147"/>
      <c r="P40" s="148">
        <f>25*(100%+25%)</f>
        <v>31.25</v>
      </c>
      <c r="Q40" s="149">
        <f t="shared" si="1"/>
        <v>0</v>
      </c>
      <c r="R40" s="150">
        <f t="shared" si="1"/>
        <v>0</v>
      </c>
    </row>
    <row r="41" spans="1:18" ht="15" customHeight="1" x14ac:dyDescent="0.25">
      <c r="A41" s="151"/>
      <c r="B41" s="143" t="s">
        <v>74</v>
      </c>
      <c r="C41" s="155"/>
      <c r="D41" s="155"/>
      <c r="E41" s="155"/>
      <c r="F41" s="155"/>
      <c r="G41" s="155"/>
      <c r="H41" s="155"/>
      <c r="I41" s="155"/>
      <c r="J41" s="155"/>
      <c r="K41" s="155"/>
      <c r="L41" s="155"/>
      <c r="M41" s="156"/>
      <c r="N41" s="146" t="s">
        <v>58</v>
      </c>
      <c r="O41" s="163"/>
      <c r="P41" s="148">
        <f>30*(100%+25%)</f>
        <v>37.5</v>
      </c>
      <c r="Q41" s="149">
        <f t="shared" si="1"/>
        <v>0</v>
      </c>
      <c r="R41" s="150">
        <f t="shared" si="1"/>
        <v>0</v>
      </c>
    </row>
    <row r="42" spans="1:18" ht="15" customHeight="1" x14ac:dyDescent="0.25">
      <c r="A42" s="151"/>
      <c r="B42" s="143" t="s">
        <v>75</v>
      </c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6"/>
      <c r="N42" s="146" t="s">
        <v>58</v>
      </c>
      <c r="O42" s="147"/>
      <c r="P42" s="148">
        <f>50*(100%+25%)</f>
        <v>62.5</v>
      </c>
      <c r="Q42" s="149">
        <f t="shared" si="1"/>
        <v>0</v>
      </c>
      <c r="R42" s="150">
        <f t="shared" si="1"/>
        <v>0</v>
      </c>
    </row>
    <row r="43" spans="1:18" ht="15" customHeight="1" x14ac:dyDescent="0.25">
      <c r="A43" s="151"/>
      <c r="B43" s="143" t="s">
        <v>76</v>
      </c>
      <c r="C43" s="155"/>
      <c r="D43" s="155"/>
      <c r="E43" s="155"/>
      <c r="F43" s="155"/>
      <c r="G43" s="155"/>
      <c r="H43" s="155"/>
      <c r="I43" s="155"/>
      <c r="J43" s="155"/>
      <c r="K43" s="155"/>
      <c r="L43" s="155"/>
      <c r="M43" s="156"/>
      <c r="N43" s="146" t="s">
        <v>58</v>
      </c>
      <c r="O43" s="163"/>
      <c r="P43" s="148">
        <f>40*(100%+25%)</f>
        <v>50</v>
      </c>
      <c r="Q43" s="164">
        <f t="shared" si="1"/>
        <v>0</v>
      </c>
      <c r="R43" s="165">
        <f t="shared" si="1"/>
        <v>0</v>
      </c>
    </row>
    <row r="44" spans="1:18" ht="15" customHeight="1" x14ac:dyDescent="0.25">
      <c r="A44" s="151"/>
      <c r="B44" s="143" t="s">
        <v>77</v>
      </c>
      <c r="C44" s="155"/>
      <c r="D44" s="155"/>
      <c r="E44" s="155"/>
      <c r="F44" s="155"/>
      <c r="G44" s="155"/>
      <c r="H44" s="155"/>
      <c r="I44" s="155"/>
      <c r="J44" s="155"/>
      <c r="K44" s="155"/>
      <c r="L44" s="155"/>
      <c r="M44" s="156"/>
      <c r="N44" s="146" t="s">
        <v>58</v>
      </c>
      <c r="O44" s="163"/>
      <c r="P44" s="148">
        <f>40*(100%+25%)</f>
        <v>50</v>
      </c>
      <c r="Q44" s="164">
        <f t="shared" si="1"/>
        <v>0</v>
      </c>
      <c r="R44" s="165">
        <f t="shared" si="1"/>
        <v>0</v>
      </c>
    </row>
    <row r="45" spans="1:18" ht="15" customHeight="1" thickBot="1" x14ac:dyDescent="0.3">
      <c r="A45" s="151"/>
      <c r="B45" s="168" t="s">
        <v>60</v>
      </c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2"/>
      <c r="N45" s="171" t="s">
        <v>49</v>
      </c>
      <c r="O45" s="172"/>
      <c r="P45" s="183">
        <f>12*(100%+25%)</f>
        <v>15</v>
      </c>
      <c r="Q45" s="184">
        <f t="shared" si="1"/>
        <v>0</v>
      </c>
      <c r="R45" s="185">
        <f t="shared" si="1"/>
        <v>0</v>
      </c>
    </row>
    <row r="46" spans="1:18" ht="15" customHeight="1" x14ac:dyDescent="0.25">
      <c r="A46" s="151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8"/>
      <c r="O46" s="48"/>
      <c r="P46" s="49"/>
      <c r="Q46" s="49"/>
      <c r="R46" s="49"/>
    </row>
    <row r="47" spans="1:18" ht="15" customHeight="1" x14ac:dyDescent="0.25">
      <c r="A47" s="151"/>
      <c r="B47" s="46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8"/>
      <c r="O47" s="48"/>
      <c r="P47" s="49"/>
      <c r="Q47" s="49"/>
      <c r="R47" s="49"/>
    </row>
    <row r="48" spans="1:18" ht="62.25" customHeight="1" x14ac:dyDescent="0.25">
      <c r="A48" s="151"/>
      <c r="B48" s="166" t="s">
        <v>87</v>
      </c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  <c r="N48" s="167"/>
      <c r="O48" s="167"/>
      <c r="P48" s="167"/>
      <c r="Q48" s="167"/>
      <c r="R48" s="167"/>
    </row>
  </sheetData>
  <mergeCells count="76">
    <mergeCell ref="B21:R21"/>
    <mergeCell ref="B22:M22"/>
    <mergeCell ref="N22:O22"/>
    <mergeCell ref="P22:R22"/>
    <mergeCell ref="A1:A48"/>
    <mergeCell ref="B6:B20"/>
    <mergeCell ref="D6:Q6"/>
    <mergeCell ref="C7:C19"/>
    <mergeCell ref="C20:Q20"/>
    <mergeCell ref="B25:M25"/>
    <mergeCell ref="N25:O25"/>
    <mergeCell ref="P25:R25"/>
    <mergeCell ref="B36:R36"/>
    <mergeCell ref="B23:M23"/>
    <mergeCell ref="N23:O23"/>
    <mergeCell ref="P23:R23"/>
    <mergeCell ref="B24:M24"/>
    <mergeCell ref="N24:O24"/>
    <mergeCell ref="P24:R24"/>
    <mergeCell ref="B27:R27"/>
    <mergeCell ref="B28:M28"/>
    <mergeCell ref="N28:O28"/>
    <mergeCell ref="P28:R28"/>
    <mergeCell ref="B37:M37"/>
    <mergeCell ref="N37:O37"/>
    <mergeCell ref="P37:R37"/>
    <mergeCell ref="B45:M45"/>
    <mergeCell ref="N45:O45"/>
    <mergeCell ref="P45:R45"/>
    <mergeCell ref="B40:M40"/>
    <mergeCell ref="N40:O40"/>
    <mergeCell ref="P40:R40"/>
    <mergeCell ref="B41:M41"/>
    <mergeCell ref="B42:M42"/>
    <mergeCell ref="N41:O41"/>
    <mergeCell ref="N42:O42"/>
    <mergeCell ref="P41:R41"/>
    <mergeCell ref="P42:R42"/>
    <mergeCell ref="B43:M43"/>
    <mergeCell ref="B48:R48"/>
    <mergeCell ref="B35:M35"/>
    <mergeCell ref="N35:O35"/>
    <mergeCell ref="P35:R35"/>
    <mergeCell ref="B29:M29"/>
    <mergeCell ref="N29:O29"/>
    <mergeCell ref="P29:R29"/>
    <mergeCell ref="B31:M31"/>
    <mergeCell ref="B32:M32"/>
    <mergeCell ref="N31:O31"/>
    <mergeCell ref="N32:O32"/>
    <mergeCell ref="P31:R31"/>
    <mergeCell ref="P32:R32"/>
    <mergeCell ref="B30:M30"/>
    <mergeCell ref="N30:O30"/>
    <mergeCell ref="P30:R30"/>
    <mergeCell ref="B44:M44"/>
    <mergeCell ref="N43:O43"/>
    <mergeCell ref="N44:O44"/>
    <mergeCell ref="P43:R43"/>
    <mergeCell ref="P44:R44"/>
    <mergeCell ref="B39:M39"/>
    <mergeCell ref="N39:O39"/>
    <mergeCell ref="P39:R39"/>
    <mergeCell ref="B1:S3"/>
    <mergeCell ref="B4:S4"/>
    <mergeCell ref="B5:S5"/>
    <mergeCell ref="B33:M33"/>
    <mergeCell ref="B34:M34"/>
    <mergeCell ref="N33:O33"/>
    <mergeCell ref="N34:O34"/>
    <mergeCell ref="P33:R33"/>
    <mergeCell ref="P34:R34"/>
    <mergeCell ref="B38:M38"/>
    <mergeCell ref="N38:O38"/>
    <mergeCell ref="P38:R38"/>
    <mergeCell ref="B26:R26"/>
  </mergeCells>
  <pageMargins left="0.7" right="0.7" top="0.75" bottom="0.75" header="0.3" footer="0.3"/>
  <pageSetup paperSize="9" scale="79" fitToHeight="0" orientation="landscape" r:id="rId1"/>
  <rowBreaks count="1" manualBreakCount="1">
    <brk id="26" max="18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AA50"/>
  <sheetViews>
    <sheetView view="pageBreakPreview" topLeftCell="A13" zoomScale="80" zoomScaleNormal="100" zoomScaleSheetLayoutView="80" workbookViewId="0">
      <selection activeCell="B3" sqref="B3:AA3"/>
    </sheetView>
  </sheetViews>
  <sheetFormatPr defaultRowHeight="15" x14ac:dyDescent="0.25"/>
  <cols>
    <col min="1" max="1" width="1" customWidth="1"/>
    <col min="2" max="2" width="4.7109375" customWidth="1"/>
    <col min="3" max="25" width="7.5703125" customWidth="1"/>
    <col min="26" max="27" width="10.5703125" customWidth="1"/>
  </cols>
  <sheetData>
    <row r="1" spans="2:27" ht="67.5" customHeight="1" x14ac:dyDescent="0.25"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</row>
    <row r="2" spans="2:27" ht="67.5" customHeight="1" x14ac:dyDescent="0.25"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</row>
    <row r="3" spans="2:27" ht="15.75" x14ac:dyDescent="0.25">
      <c r="B3" s="223" t="s">
        <v>93</v>
      </c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218"/>
    </row>
    <row r="4" spans="2:27" ht="21" x14ac:dyDescent="0.25">
      <c r="B4" s="38"/>
      <c r="C4" s="222" t="s">
        <v>56</v>
      </c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  <c r="Q4" s="222"/>
      <c r="R4" s="222"/>
      <c r="S4" s="222"/>
      <c r="T4" s="222"/>
      <c r="U4" s="222"/>
      <c r="V4" s="222"/>
      <c r="W4" s="222"/>
      <c r="X4" s="222"/>
      <c r="Y4" s="222"/>
      <c r="Z4" s="38"/>
      <c r="AA4" s="38"/>
    </row>
    <row r="5" spans="2:27" ht="21" customHeight="1" thickBot="1" x14ac:dyDescent="0.3">
      <c r="B5" s="38"/>
      <c r="C5" s="224" t="s">
        <v>42</v>
      </c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  <c r="W5" s="225"/>
      <c r="X5" s="225"/>
      <c r="Y5" s="226"/>
      <c r="Z5" s="38"/>
      <c r="AA5" s="38"/>
    </row>
    <row r="6" spans="2:27" ht="21" customHeight="1" thickBot="1" x14ac:dyDescent="0.3">
      <c r="B6" s="38"/>
      <c r="C6" s="227" t="s">
        <v>43</v>
      </c>
      <c r="D6" s="57"/>
      <c r="E6" s="56">
        <v>2000</v>
      </c>
      <c r="F6" s="52">
        <v>2100</v>
      </c>
      <c r="G6" s="52">
        <v>2200</v>
      </c>
      <c r="H6" s="52">
        <v>2300</v>
      </c>
      <c r="I6" s="52">
        <v>2400</v>
      </c>
      <c r="J6" s="52">
        <v>2500</v>
      </c>
      <c r="K6" s="52">
        <v>2600</v>
      </c>
      <c r="L6" s="52">
        <v>2700</v>
      </c>
      <c r="M6" s="52">
        <v>2800</v>
      </c>
      <c r="N6" s="52">
        <v>2900</v>
      </c>
      <c r="O6" s="52">
        <v>3000</v>
      </c>
      <c r="P6" s="53">
        <v>3100</v>
      </c>
      <c r="Q6" s="53">
        <v>3200</v>
      </c>
      <c r="R6" s="53">
        <v>3300</v>
      </c>
      <c r="S6" s="54">
        <v>3400</v>
      </c>
      <c r="T6" s="54">
        <v>3500</v>
      </c>
      <c r="U6" s="54">
        <v>3600</v>
      </c>
      <c r="V6" s="54">
        <v>3700</v>
      </c>
      <c r="W6" s="54">
        <v>3800</v>
      </c>
      <c r="X6" s="54">
        <v>3900</v>
      </c>
      <c r="Y6" s="55">
        <v>4000</v>
      </c>
      <c r="Z6" s="38"/>
      <c r="AA6" s="38"/>
    </row>
    <row r="7" spans="2:27" ht="21" customHeight="1" x14ac:dyDescent="0.25">
      <c r="B7" s="38"/>
      <c r="C7" s="228"/>
      <c r="D7" s="58">
        <v>1800</v>
      </c>
      <c r="E7" s="82">
        <f>500*(100%+25%)</f>
        <v>625</v>
      </c>
      <c r="F7" s="82">
        <f>510*(100%+25%)</f>
        <v>637.5</v>
      </c>
      <c r="G7" s="82">
        <f>515*(100%+25%)</f>
        <v>643.75</v>
      </c>
      <c r="H7" s="82">
        <f>(([1]Торсіони!H7*[1]Торсіони!$A$1)+[1]Торсіони!H7)*(100%+25%)</f>
        <v>655.875</v>
      </c>
      <c r="I7" s="82">
        <f>535*(100%+25%)</f>
        <v>668.75</v>
      </c>
      <c r="J7" s="83">
        <f>(([1]Торсіони!J7*[1]Торсіони!$A$1)+[1]Торсіони!J7)*(100%+25%)</f>
        <v>706.75</v>
      </c>
      <c r="K7" s="82">
        <f>575*(100%+25%)</f>
        <v>718.75</v>
      </c>
      <c r="L7" s="82">
        <f>585*(100%+25%)</f>
        <v>731.25</v>
      </c>
      <c r="M7" s="82">
        <f>600*(100%+25%)</f>
        <v>750</v>
      </c>
      <c r="N7" s="82">
        <f>610*(100%+25%)</f>
        <v>762.5</v>
      </c>
      <c r="O7" s="83">
        <f>635*(100%+25%)</f>
        <v>793.75</v>
      </c>
      <c r="P7" s="82">
        <f>(([1]Торсіони!P7*[1]Торсіони!$A$1)+[1]Торсіони!P7)*(100%+25%)</f>
        <v>812.625</v>
      </c>
      <c r="Q7" s="82">
        <f>675*(100%+25%)</f>
        <v>843.75</v>
      </c>
      <c r="R7" s="82">
        <f>(([1]Торсіони!R7*[1]Торсіони!$A$1)+[1]Торсіони!R7)*(100%+25%)</f>
        <v>837.375</v>
      </c>
      <c r="S7" s="82">
        <f>685*(100%+25%)</f>
        <v>856.25</v>
      </c>
      <c r="T7" s="83">
        <f>700*(100%+25%)</f>
        <v>875</v>
      </c>
      <c r="U7" s="82">
        <f>705*(100%+25%)</f>
        <v>881.25</v>
      </c>
      <c r="V7" s="82">
        <f>710*(100%+25%)</f>
        <v>887.5</v>
      </c>
      <c r="W7" s="82">
        <f>(([1]Торсіони!W7*[1]Торсіони!$A$1)+[1]Торсіони!W7)*(100%+25%)</f>
        <v>906.125</v>
      </c>
      <c r="X7" s="82">
        <f>760*(100%+25%)</f>
        <v>950</v>
      </c>
      <c r="Y7" s="83">
        <f>775*(100%+25%)</f>
        <v>968.75</v>
      </c>
      <c r="Z7" s="38"/>
      <c r="AA7" s="38"/>
    </row>
    <row r="8" spans="2:27" ht="21" customHeight="1" x14ac:dyDescent="0.25">
      <c r="B8" s="38"/>
      <c r="C8" s="228"/>
      <c r="D8" s="59">
        <v>1900</v>
      </c>
      <c r="E8" s="82">
        <f>510*(100%+25%)</f>
        <v>637.5</v>
      </c>
      <c r="F8" s="82">
        <f>515*(100%+25%)</f>
        <v>643.75</v>
      </c>
      <c r="G8" s="82">
        <f>520*(100%+25%)</f>
        <v>650</v>
      </c>
      <c r="H8" s="82">
        <f>530*(100%+25%)</f>
        <v>662.5</v>
      </c>
      <c r="I8" s="82">
        <f>540*(100%+25%)</f>
        <v>675</v>
      </c>
      <c r="J8" s="83">
        <f>575*(100%+25%)</f>
        <v>718.75</v>
      </c>
      <c r="K8" s="82">
        <f>580*(100%+25%)</f>
        <v>725</v>
      </c>
      <c r="L8" s="82">
        <f>590*(100%+25%)</f>
        <v>737.5</v>
      </c>
      <c r="M8" s="82">
        <f>605*(100%+25%)</f>
        <v>756.25</v>
      </c>
      <c r="N8" s="82">
        <f>620*(100%+25%)</f>
        <v>775</v>
      </c>
      <c r="O8" s="83">
        <f>(([1]Торсіони!O8*[1]Торсіони!$A$1)+[1]Торсіони!O8)*(100%+25%)</f>
        <v>800.25</v>
      </c>
      <c r="P8" s="82">
        <f>660*(100%+25%)</f>
        <v>825</v>
      </c>
      <c r="Q8" s="82">
        <f>685*(100%+25%)</f>
        <v>856.25</v>
      </c>
      <c r="R8" s="82">
        <f>690*(100%+25%)</f>
        <v>862.5</v>
      </c>
      <c r="S8" s="82">
        <f>700*(100%+25%)</f>
        <v>875</v>
      </c>
      <c r="T8" s="83">
        <f>710*(100%+25%)</f>
        <v>887.5</v>
      </c>
      <c r="U8" s="82">
        <f>715*(100%+25%)</f>
        <v>893.75</v>
      </c>
      <c r="V8" s="82">
        <f>720*(100%+25%)</f>
        <v>900</v>
      </c>
      <c r="W8" s="82">
        <f>745*(100%+25%)</f>
        <v>931.25</v>
      </c>
      <c r="X8" s="82">
        <f>770*(100%+25%)</f>
        <v>962.5</v>
      </c>
      <c r="Y8" s="83">
        <f>(([1]Торсіони!Y8*[1]Торсіони!$A$1)+[1]Торсіони!Y8)*(100%+25%)</f>
        <v>974.875</v>
      </c>
      <c r="Z8" s="38"/>
      <c r="AA8" s="38"/>
    </row>
    <row r="9" spans="2:27" ht="21" customHeight="1" x14ac:dyDescent="0.25">
      <c r="B9" s="38"/>
      <c r="C9" s="228"/>
      <c r="D9" s="59">
        <v>2000</v>
      </c>
      <c r="E9" s="83">
        <f>530*(100%+25%)</f>
        <v>662.5</v>
      </c>
      <c r="F9" s="83">
        <f>530*(100%+25%)</f>
        <v>662.5</v>
      </c>
      <c r="G9" s="83">
        <f>540*(100%+25%)</f>
        <v>675</v>
      </c>
      <c r="H9" s="83">
        <f>555*(100%+25%)</f>
        <v>693.75</v>
      </c>
      <c r="I9" s="83">
        <f>565*(100%+25%)</f>
        <v>706.25</v>
      </c>
      <c r="J9" s="83">
        <f>615*(100%+25%)</f>
        <v>768.75</v>
      </c>
      <c r="K9" s="83">
        <f>605*(100%+25%)</f>
        <v>756.25</v>
      </c>
      <c r="L9" s="83">
        <f>620*(100%+25%)</f>
        <v>775</v>
      </c>
      <c r="M9" s="83">
        <f>625*(100%+25%)</f>
        <v>781.25</v>
      </c>
      <c r="N9" s="83">
        <f>635*(100%+25%)</f>
        <v>793.75</v>
      </c>
      <c r="O9" s="83">
        <f>655*(100%+25%)</f>
        <v>818.75</v>
      </c>
      <c r="P9" s="83">
        <f>675*(100%+25%)</f>
        <v>843.75</v>
      </c>
      <c r="Q9" s="83">
        <f>700*(100%+25%)</f>
        <v>875</v>
      </c>
      <c r="R9" s="83">
        <f>705*(100%+25%)</f>
        <v>881.25</v>
      </c>
      <c r="S9" s="83">
        <f>720*(100%+25%)</f>
        <v>900</v>
      </c>
      <c r="T9" s="83">
        <f>725*(100%+25%)</f>
        <v>906.25</v>
      </c>
      <c r="U9" s="83">
        <f>735*(100%+25%)</f>
        <v>918.75</v>
      </c>
      <c r="V9" s="83">
        <f>740*(100%+25%)</f>
        <v>925</v>
      </c>
      <c r="W9" s="83">
        <f>755*(100%+25%)</f>
        <v>943.75</v>
      </c>
      <c r="X9" s="83">
        <f>775*(100%+25%)</f>
        <v>968.75</v>
      </c>
      <c r="Y9" s="83">
        <f>(([1]Торсіони!Y9*[1]Торсіони!$A$1)+[1]Торсіони!Y9)*(100%+25%)</f>
        <v>987.25</v>
      </c>
      <c r="Z9" s="38"/>
      <c r="AA9" s="38"/>
    </row>
    <row r="10" spans="2:27" ht="21" customHeight="1" x14ac:dyDescent="0.25">
      <c r="B10" s="38"/>
      <c r="C10" s="228"/>
      <c r="D10" s="59">
        <v>2100</v>
      </c>
      <c r="E10" s="82">
        <f>535*(100%+25%)</f>
        <v>668.75</v>
      </c>
      <c r="F10" s="82">
        <f>540*(100%+25%)</f>
        <v>675</v>
      </c>
      <c r="G10" s="82">
        <f>550*(100%+25%)</f>
        <v>687.5</v>
      </c>
      <c r="H10" s="82">
        <f>565*(100%+25%)</f>
        <v>706.25</v>
      </c>
      <c r="I10" s="82">
        <f>575*(100%+25%)</f>
        <v>718.75</v>
      </c>
      <c r="J10" s="83">
        <f>625*(100%+25%)</f>
        <v>781.25</v>
      </c>
      <c r="K10" s="82">
        <f>610*(100%+25%)</f>
        <v>762.5</v>
      </c>
      <c r="L10" s="82">
        <f>630*(100%+25%)</f>
        <v>787.5</v>
      </c>
      <c r="M10" s="82">
        <f>635*(100%+25%)</f>
        <v>793.75</v>
      </c>
      <c r="N10" s="82">
        <f>645*(100%+25%)</f>
        <v>806.25</v>
      </c>
      <c r="O10" s="83">
        <f>660*(100%+25%)</f>
        <v>825</v>
      </c>
      <c r="P10" s="82">
        <f>690*(100%+25%)</f>
        <v>862.5</v>
      </c>
      <c r="Q10" s="82">
        <f>715*(100%+25%)</f>
        <v>893.75</v>
      </c>
      <c r="R10" s="82">
        <f>720*(100%+25%)</f>
        <v>900</v>
      </c>
      <c r="S10" s="82">
        <f>725*(100%+25%)</f>
        <v>906.25</v>
      </c>
      <c r="T10" s="83">
        <f>735*(100%+25%)</f>
        <v>918.75</v>
      </c>
      <c r="U10" s="82">
        <f>745*(100%+25%)</f>
        <v>931.25</v>
      </c>
      <c r="V10" s="82">
        <f>750*(100%+25%)</f>
        <v>937.5</v>
      </c>
      <c r="W10" s="82">
        <f>760*(100%+25%)</f>
        <v>950</v>
      </c>
      <c r="X10" s="82">
        <f>785*(100%+25%)</f>
        <v>981.25</v>
      </c>
      <c r="Y10" s="83">
        <f>795*(100%+25%)</f>
        <v>993.75</v>
      </c>
      <c r="Z10" s="38"/>
      <c r="AA10" s="38"/>
    </row>
    <row r="11" spans="2:27" ht="21" customHeight="1" x14ac:dyDescent="0.25">
      <c r="B11" s="38"/>
      <c r="C11" s="228"/>
      <c r="D11" s="59">
        <v>2200</v>
      </c>
      <c r="E11" s="82">
        <f>540*(100%+25%)</f>
        <v>675</v>
      </c>
      <c r="F11" s="82">
        <f>545*(100%+25%)</f>
        <v>681.25</v>
      </c>
      <c r="G11" s="82">
        <f>555*(100%+25%)</f>
        <v>693.75</v>
      </c>
      <c r="H11" s="82">
        <f>575*(100%+25%)</f>
        <v>718.75</v>
      </c>
      <c r="I11" s="82">
        <f>580*(100%+25%)</f>
        <v>725</v>
      </c>
      <c r="J11" s="83">
        <f>635*(100%+25%)</f>
        <v>793.75</v>
      </c>
      <c r="K11" s="82">
        <f>615*(100%+25%)</f>
        <v>768.75</v>
      </c>
      <c r="L11" s="82">
        <f>640*(100%+25%)</f>
        <v>800</v>
      </c>
      <c r="M11" s="82">
        <f>645*(100%+25%)</f>
        <v>806.25</v>
      </c>
      <c r="N11" s="82">
        <f>655*(100%+25%)</f>
        <v>818.75</v>
      </c>
      <c r="O11" s="83">
        <f>670*(100%+25%)</f>
        <v>837.5</v>
      </c>
      <c r="P11" s="82">
        <f>695*(100%+25%)</f>
        <v>868.75</v>
      </c>
      <c r="Q11" s="82">
        <f>725*(100%+25%)</f>
        <v>906.25</v>
      </c>
      <c r="R11" s="82">
        <f>730*(100%+25%)</f>
        <v>912.5</v>
      </c>
      <c r="S11" s="82">
        <f>735*(100%+25%)</f>
        <v>918.75</v>
      </c>
      <c r="T11" s="83">
        <f>745*(100%+25%)</f>
        <v>931.25</v>
      </c>
      <c r="U11" s="82">
        <f>755*(100%+25%)</f>
        <v>943.75</v>
      </c>
      <c r="V11" s="82">
        <f>765*(100%+25%)</f>
        <v>956.25</v>
      </c>
      <c r="W11" s="82">
        <f>770*(100%+25%)</f>
        <v>962.5</v>
      </c>
      <c r="X11" s="82">
        <f>790*(100%+25%)</f>
        <v>987.5</v>
      </c>
      <c r="Y11" s="83">
        <f>805*(100%+25%)</f>
        <v>1006.25</v>
      </c>
      <c r="Z11" s="38"/>
      <c r="AA11" s="38"/>
    </row>
    <row r="12" spans="2:27" ht="21" customHeight="1" x14ac:dyDescent="0.25">
      <c r="B12" s="38"/>
      <c r="C12" s="228"/>
      <c r="D12" s="59">
        <v>2300</v>
      </c>
      <c r="E12" s="82">
        <f>545*(100%+25%)</f>
        <v>681.25</v>
      </c>
      <c r="F12" s="82">
        <f>550*(100%+25%)</f>
        <v>687.5</v>
      </c>
      <c r="G12" s="82">
        <f>560*(100%+25%)</f>
        <v>700</v>
      </c>
      <c r="H12" s="82">
        <f>585*(100%+25%)</f>
        <v>731.25</v>
      </c>
      <c r="I12" s="82">
        <f>585*(100%+25%)</f>
        <v>731.25</v>
      </c>
      <c r="J12" s="83">
        <f>645*(100%+25%)</f>
        <v>806.25</v>
      </c>
      <c r="K12" s="82">
        <f>620*(100%+25%)</f>
        <v>775</v>
      </c>
      <c r="L12" s="82">
        <f>650*(100%+25%)</f>
        <v>812.5</v>
      </c>
      <c r="M12" s="82">
        <f>655*(100%+25%)</f>
        <v>818.75</v>
      </c>
      <c r="N12" s="82">
        <f>665*(100%+25%)</f>
        <v>831.25</v>
      </c>
      <c r="O12" s="83">
        <f>(([1]Торсіони!O12*[1]Торсіони!$A$1)+[1]Торсіони!O12)*(100%+25%)</f>
        <v>844.25</v>
      </c>
      <c r="P12" s="82">
        <f>705*(100%+25%)</f>
        <v>881.25</v>
      </c>
      <c r="Q12" s="82">
        <f>735*(100%+25%)</f>
        <v>918.75</v>
      </c>
      <c r="R12" s="82">
        <f>740*(100%+25%)</f>
        <v>925</v>
      </c>
      <c r="S12" s="82">
        <f>745*(100%+25%)</f>
        <v>931.25</v>
      </c>
      <c r="T12" s="83">
        <f>755*(100%+25%)</f>
        <v>943.75</v>
      </c>
      <c r="U12" s="82">
        <f>765*(100%+25%)</f>
        <v>956.25</v>
      </c>
      <c r="V12" s="82">
        <f>775*(100%+25%)</f>
        <v>968.75</v>
      </c>
      <c r="W12" s="82">
        <f>780*(100%+25%)</f>
        <v>975</v>
      </c>
      <c r="X12" s="82">
        <f>(([1]Торсіони!X12*[1]Торсіони!$A$1)+[1]Торсіони!X12)*(100%+25%)</f>
        <v>1018.875</v>
      </c>
      <c r="Y12" s="83">
        <f>835*(100%+25%)</f>
        <v>1043.75</v>
      </c>
      <c r="Z12" s="38"/>
      <c r="AA12" s="38"/>
    </row>
    <row r="13" spans="2:27" ht="21" customHeight="1" x14ac:dyDescent="0.25">
      <c r="B13" s="38"/>
      <c r="C13" s="228"/>
      <c r="D13" s="59">
        <v>2400</v>
      </c>
      <c r="E13" s="82">
        <f>560*(100%+25%)</f>
        <v>700</v>
      </c>
      <c r="F13" s="82">
        <f>565*(100%+25%)</f>
        <v>706.25</v>
      </c>
      <c r="G13" s="82">
        <f>575*(100%+25%)</f>
        <v>718.75</v>
      </c>
      <c r="H13" s="82">
        <f>595*(100%+25%)</f>
        <v>743.75</v>
      </c>
      <c r="I13" s="82">
        <f>600*(100%+25%)</f>
        <v>750</v>
      </c>
      <c r="J13" s="83">
        <f>655*(100%+25%)</f>
        <v>818.75</v>
      </c>
      <c r="K13" s="82">
        <f>630*(100%+25%)</f>
        <v>787.5</v>
      </c>
      <c r="L13" s="82">
        <f>660*(100%+25%)</f>
        <v>825</v>
      </c>
      <c r="M13" s="82">
        <f>670*(100%+25%)</f>
        <v>837.5</v>
      </c>
      <c r="N13" s="82">
        <f>680*(100%+25%)</f>
        <v>850</v>
      </c>
      <c r="O13" s="83">
        <f>695*(100%+25%)</f>
        <v>868.75</v>
      </c>
      <c r="P13" s="82">
        <f>715*(100%+25%)</f>
        <v>893.75</v>
      </c>
      <c r="Q13" s="82">
        <f>745*(100%+25%)</f>
        <v>931.25</v>
      </c>
      <c r="R13" s="82">
        <f>750*(100%+25%)</f>
        <v>937.5</v>
      </c>
      <c r="S13" s="82">
        <f>755*(100%+25%)</f>
        <v>943.75</v>
      </c>
      <c r="T13" s="83">
        <f>765*(100%+25%)</f>
        <v>956.25</v>
      </c>
      <c r="U13" s="82">
        <f>775*(100%+25%)</f>
        <v>968.75</v>
      </c>
      <c r="V13" s="82">
        <f>795*(100%+25%)</f>
        <v>993.75</v>
      </c>
      <c r="W13" s="82">
        <f>805*(100%+25%)</f>
        <v>1006.25</v>
      </c>
      <c r="X13" s="82">
        <f>(([1]Торсіони!X13*[1]Торсіони!$A$1)+[1]Торсіони!X13)*(100%+25%)</f>
        <v>1024.375</v>
      </c>
      <c r="Y13" s="83">
        <f>845*(100%+25%)</f>
        <v>1056.25</v>
      </c>
      <c r="Z13" s="38"/>
      <c r="AA13" s="38"/>
    </row>
    <row r="14" spans="2:27" ht="21" customHeight="1" x14ac:dyDescent="0.25">
      <c r="B14" s="38"/>
      <c r="C14" s="228"/>
      <c r="D14" s="59">
        <v>2500</v>
      </c>
      <c r="E14" s="83">
        <f>(([1]Торсіони!E14*[1]Торсіони!$A$1)+[1]Торсіони!E14)*(100%+25%)</f>
        <v>719.125</v>
      </c>
      <c r="F14" s="83">
        <f>585*(100%+25%)</f>
        <v>731.25</v>
      </c>
      <c r="G14" s="83">
        <f>590*(100%+25%)</f>
        <v>737.5</v>
      </c>
      <c r="H14" s="83">
        <f>615*(100%+25%)</f>
        <v>768.75</v>
      </c>
      <c r="I14" s="83">
        <f>630*(100%+25%)</f>
        <v>787.5</v>
      </c>
      <c r="J14" s="83">
        <f>670*(100%+25%)</f>
        <v>837.5</v>
      </c>
      <c r="K14" s="83">
        <f>(([1]Торсіони!K14*[1]Торсіони!$A$1)+[1]Торсіони!K14)*(100%+25%)</f>
        <v>818.125</v>
      </c>
      <c r="L14" s="83">
        <f>675*(100%+25%)</f>
        <v>843.75</v>
      </c>
      <c r="M14" s="83">
        <f>695*(100%+25%)</f>
        <v>868.75</v>
      </c>
      <c r="N14" s="83">
        <f>710*(100%+25%)</f>
        <v>887.5</v>
      </c>
      <c r="O14" s="83">
        <f>720*(100%+25%)</f>
        <v>900</v>
      </c>
      <c r="P14" s="83">
        <f>(([1]Торсіони!P14*[1]Торсіони!$A$1)+[1]Торсіони!P14)*(100%+25%)</f>
        <v>913</v>
      </c>
      <c r="Q14" s="83">
        <f>755*(100%+25%)</f>
        <v>943.75</v>
      </c>
      <c r="R14" s="83">
        <f>765*(100%+25%)</f>
        <v>956.25</v>
      </c>
      <c r="S14" s="83">
        <f>780*(100%+25%)</f>
        <v>975</v>
      </c>
      <c r="T14" s="83">
        <f>795*(100%+25%)</f>
        <v>993.75</v>
      </c>
      <c r="U14" s="83">
        <f>815*(100%+25%)</f>
        <v>1018.75</v>
      </c>
      <c r="V14" s="83">
        <f>830*(100%+25%)</f>
        <v>1037.5</v>
      </c>
      <c r="W14" s="83">
        <f>(([1]Торсіони!W14*[1]Торсіони!$A$1)+[1]Торсіони!W14)*(100%+25%)</f>
        <v>1056</v>
      </c>
      <c r="X14" s="83">
        <f>870*(100%+25%)</f>
        <v>1087.5</v>
      </c>
      <c r="Y14" s="83">
        <f>895*(100%+25%)</f>
        <v>1118.75</v>
      </c>
      <c r="Z14" s="38"/>
      <c r="AA14" s="38"/>
    </row>
    <row r="15" spans="2:27" ht="21" customHeight="1" x14ac:dyDescent="0.25">
      <c r="B15" s="38"/>
      <c r="C15" s="228"/>
      <c r="D15" s="59">
        <v>2600</v>
      </c>
      <c r="E15" s="82">
        <f>600*(100%+25%)</f>
        <v>750</v>
      </c>
      <c r="F15" s="82">
        <f>605*(100%+25%)</f>
        <v>756.25</v>
      </c>
      <c r="G15" s="82">
        <f>615*(100%+25%)</f>
        <v>768.75</v>
      </c>
      <c r="H15" s="82">
        <f>(([1]Торсіони!H15*[1]Торсіони!$A$1)+[1]Торсіони!H15)*(100%+25%)</f>
        <v>787.875</v>
      </c>
      <c r="I15" s="82">
        <f>650*(100%+25%)</f>
        <v>812.5</v>
      </c>
      <c r="J15" s="83">
        <f>690*(100%+25%)</f>
        <v>862.5</v>
      </c>
      <c r="K15" s="82">
        <f>680*(100%+25%)</f>
        <v>850</v>
      </c>
      <c r="L15" s="82">
        <f>700*(100%+25%)</f>
        <v>875</v>
      </c>
      <c r="M15" s="82">
        <f>(([1]Торсіони!M15*[1]Торсіони!$A$1)+[1]Торсіони!M15)*(100%+25%)</f>
        <v>893.75</v>
      </c>
      <c r="N15" s="82">
        <f>730*(100%+25%)</f>
        <v>912.5</v>
      </c>
      <c r="O15" s="83">
        <f>760*(100%+25%)</f>
        <v>950</v>
      </c>
      <c r="P15" s="82">
        <f>775*(100%+25%)</f>
        <v>968.75</v>
      </c>
      <c r="Q15" s="82">
        <f>785*(100%+25%)</f>
        <v>981.25</v>
      </c>
      <c r="R15" s="82">
        <f>790*(100%+25%)</f>
        <v>987.5</v>
      </c>
      <c r="S15" s="82">
        <f>805*(100%+25%)</f>
        <v>1006.25</v>
      </c>
      <c r="T15" s="83">
        <f>815*(100%+25%)</f>
        <v>1018.75</v>
      </c>
      <c r="U15" s="82">
        <f>(([1]Торсіони!U15*[1]Торсіони!$A$1)+[1]Торсіони!U15)*(100%+25%)</f>
        <v>1043.625</v>
      </c>
      <c r="V15" s="82">
        <f>(([1]Торсіони!V15*[1]Торсіони!$A$1)+[1]Торсіони!V15)*(100%+25%)</f>
        <v>1068.375</v>
      </c>
      <c r="W15" s="82">
        <f>(([1]Торсіони!W15*[1]Торсіони!$A$1)+[1]Торсіони!W15)*(100%+25%)</f>
        <v>1100</v>
      </c>
      <c r="X15" s="82">
        <f>900*(100%+25%)</f>
        <v>1125</v>
      </c>
      <c r="Y15" s="83">
        <f>920*(100%+25%)</f>
        <v>1150</v>
      </c>
      <c r="Z15" s="38"/>
      <c r="AA15" s="38"/>
    </row>
    <row r="16" spans="2:27" ht="21" customHeight="1" x14ac:dyDescent="0.25">
      <c r="B16" s="38"/>
      <c r="C16" s="228"/>
      <c r="D16" s="59">
        <v>2700</v>
      </c>
      <c r="E16" s="82">
        <f>620*(100%+25%)</f>
        <v>775</v>
      </c>
      <c r="F16" s="82">
        <f>626*(100%+25%)</f>
        <v>782.5</v>
      </c>
      <c r="G16" s="82">
        <f>(([1]Торсіони!G16*[1]Торсіони!$A$1)+[1]Торсіони!G16)*(100%+25%)</f>
        <v>793.375</v>
      </c>
      <c r="H16" s="82">
        <f>650*(100%+25%)</f>
        <v>812.5</v>
      </c>
      <c r="I16" s="82">
        <f>670*(100%+25%)</f>
        <v>837.5</v>
      </c>
      <c r="J16" s="83">
        <f>710*(100%+25%)</f>
        <v>887.5</v>
      </c>
      <c r="K16" s="82">
        <f>(([1]Торсіони!K16*[1]Торсіони!$A$1)+[1]Торсіони!K16)*(100%+25%)</f>
        <v>886.875</v>
      </c>
      <c r="L16" s="82">
        <f>730*(100%+25%)</f>
        <v>912.5</v>
      </c>
      <c r="M16" s="82">
        <f>(([1]Торсіони!M16*[1]Торсіони!$A$1)+[1]Торсіони!M16)*(100%+25%)</f>
        <v>930.875</v>
      </c>
      <c r="N16" s="82">
        <f>760*(100%+25%)</f>
        <v>950</v>
      </c>
      <c r="O16" s="83">
        <f>800*(100%+25%)</f>
        <v>1000</v>
      </c>
      <c r="P16" s="82">
        <f>805*(100%+25%)</f>
        <v>1006.25</v>
      </c>
      <c r="Q16" s="82">
        <f>815*(100%+25%)</f>
        <v>1018.75</v>
      </c>
      <c r="R16" s="82">
        <f>825*(100%+25%)</f>
        <v>1031.25</v>
      </c>
      <c r="S16" s="82">
        <f>835*(100%+25%)</f>
        <v>1043.75</v>
      </c>
      <c r="T16" s="83">
        <f>840*(100%+25%)</f>
        <v>1050</v>
      </c>
      <c r="U16" s="82">
        <f>860*(100%+25%)</f>
        <v>1075</v>
      </c>
      <c r="V16" s="82">
        <f>(([1]Торсіони!V16*[1]Торсіони!$A$1)+[1]Торсіони!V16)*(100%+25%)</f>
        <v>1100</v>
      </c>
      <c r="W16" s="82">
        <f>915*(100%+25%)</f>
        <v>1143.75</v>
      </c>
      <c r="X16" s="82">
        <f>(([1]Торсіони!X16*[1]Торсіони!$A$1)+[1]Торсіони!X16)*(100%+25%)</f>
        <v>1161.875</v>
      </c>
      <c r="Y16" s="83">
        <f>(([1]Торсіони!Y16*[1]Торсіони!$A$1)+[1]Торсіони!Y16)*(100%+25%)</f>
        <v>1181.125</v>
      </c>
      <c r="Z16" s="38"/>
      <c r="AA16" s="38"/>
    </row>
    <row r="17" spans="2:27" ht="21" customHeight="1" x14ac:dyDescent="0.25">
      <c r="B17" s="38"/>
      <c r="C17" s="228"/>
      <c r="D17" s="59">
        <v>2800</v>
      </c>
      <c r="E17" s="82">
        <f>(([1]Торсіони!E17*[1]Торсіони!$A$1)+[1]Торсіони!E17)*(100%+25%)</f>
        <v>793.375</v>
      </c>
      <c r="F17" s="82">
        <f>645*(100%+25%)</f>
        <v>806.25</v>
      </c>
      <c r="G17" s="82">
        <f>650*(100%+25%)</f>
        <v>812.5</v>
      </c>
      <c r="H17" s="82">
        <f>670*(100%+25%)</f>
        <v>837.5</v>
      </c>
      <c r="I17" s="82">
        <f>680*(100%+25%)</f>
        <v>850</v>
      </c>
      <c r="J17" s="83">
        <f>735*(100%+25%)</f>
        <v>918.75</v>
      </c>
      <c r="K17" s="82">
        <f>735*(100%+25%)</f>
        <v>918.75</v>
      </c>
      <c r="L17" s="82">
        <f>(([1]Торсіони!L17*[1]Торсіони!$A$1)+[1]Торсіони!L17)*(100%+25%)</f>
        <v>930.875</v>
      </c>
      <c r="M17" s="82">
        <f>770*(100%+25%)</f>
        <v>962.5</v>
      </c>
      <c r="N17" s="82">
        <f>780*(100%+25%)</f>
        <v>975</v>
      </c>
      <c r="O17" s="83">
        <f>795*(100%+25%)</f>
        <v>993.75</v>
      </c>
      <c r="P17" s="82">
        <f>825*(100%+25%)</f>
        <v>1031.25</v>
      </c>
      <c r="Q17" s="82">
        <f>835*(100%+25%)</f>
        <v>1043.75</v>
      </c>
      <c r="R17" s="82">
        <f>845*(100%+25%)</f>
        <v>1056.25</v>
      </c>
      <c r="S17" s="82">
        <f>855*(100%+25%)</f>
        <v>1068.75</v>
      </c>
      <c r="T17" s="83">
        <f>(([1]Торсіони!T17*[1]Торсіони!$A$1)+[1]Торсіони!T17)*(100%+25%)</f>
        <v>1093.125</v>
      </c>
      <c r="U17" s="82">
        <f>900*(100%+25%)</f>
        <v>1125</v>
      </c>
      <c r="V17" s="82">
        <f>925*(100%+25%)</f>
        <v>1156.25</v>
      </c>
      <c r="W17" s="82">
        <f>940*(100%+25%)</f>
        <v>1175</v>
      </c>
      <c r="X17" s="82">
        <f>955*(100%+25%)</f>
        <v>1193.75</v>
      </c>
      <c r="Y17" s="83">
        <f>(([1]Торсіони!Y17*[1]Торсіони!$A$1)+[1]Торсіони!Y17)*(100%+25%)</f>
        <v>1212.75</v>
      </c>
      <c r="Z17" s="38"/>
      <c r="AA17" s="38"/>
    </row>
    <row r="18" spans="2:27" ht="21" customHeight="1" x14ac:dyDescent="0.25">
      <c r="B18" s="38"/>
      <c r="C18" s="228"/>
      <c r="D18" s="59">
        <v>2900</v>
      </c>
      <c r="E18" s="82">
        <f>650*(100%+25%)</f>
        <v>812.5</v>
      </c>
      <c r="F18" s="82">
        <f>(([1]Торсіони!F18*[1]Торсіони!$A$1)+[1]Торсіони!F18)*(100%+25%)</f>
        <v>825</v>
      </c>
      <c r="G18" s="82">
        <f>675*(100%+25%)</f>
        <v>843.75</v>
      </c>
      <c r="H18" s="82">
        <f>(([1]Торсіони!H18*[1]Торсіони!$A$1)+[1]Торсіони!H18)*(100%+25%)</f>
        <v>856.625</v>
      </c>
      <c r="I18" s="82">
        <f>(([1]Торсіони!I18*[1]Торсіони!$A$1)+[1]Торсіони!I18)*(100%+25%)</f>
        <v>874.5</v>
      </c>
      <c r="J18" s="83">
        <f>(([1]Торсіони!J18*[1]Торсіони!$A$1)+[1]Торсіони!J18)*(100%+25%)</f>
        <v>950.125</v>
      </c>
      <c r="K18" s="82">
        <f>780*(100%+25%)</f>
        <v>975</v>
      </c>
      <c r="L18" s="82">
        <f>800*(100%+25%)</f>
        <v>1000</v>
      </c>
      <c r="M18" s="82">
        <f>810*(100%+25%)</f>
        <v>1012.5</v>
      </c>
      <c r="N18" s="82">
        <f>820*(100%+25%)</f>
        <v>1025</v>
      </c>
      <c r="O18" s="83">
        <f>835*(100%+25%)</f>
        <v>1043.75</v>
      </c>
      <c r="P18" s="82">
        <f>840*(100%+25%)</f>
        <v>1050</v>
      </c>
      <c r="Q18" s="82">
        <f>850*(100%+25%)</f>
        <v>1062.5</v>
      </c>
      <c r="R18" s="82">
        <f>865*(100%+25%)</f>
        <v>1081.25</v>
      </c>
      <c r="S18" s="82">
        <f>(([1]Торсіони!S18*[1]Торсіони!$A$1)+[1]Торсіони!S18)*(100%+25%)</f>
        <v>1100</v>
      </c>
      <c r="T18" s="83">
        <f>915*(100%+25%)</f>
        <v>1143.75</v>
      </c>
      <c r="U18" s="82">
        <f>(([1]Торсіони!U18*[1]Торсіони!$A$1)+[1]Торсіони!U18)*(100%+25%)</f>
        <v>1161.875</v>
      </c>
      <c r="V18" s="82">
        <f>(([1]Торсіони!V18*[1]Торсіони!$A$1)+[1]Торсіони!V18)*(100%+25%)</f>
        <v>1181.125</v>
      </c>
      <c r="W18" s="82">
        <f>(([1]Торсіони!W18*[1]Торсіони!$A$1)+[1]Торсіони!W18)*(100%+25%)</f>
        <v>1200.375</v>
      </c>
      <c r="X18" s="82">
        <f>980*(100%+25%)</f>
        <v>1225</v>
      </c>
      <c r="Y18" s="83">
        <f>995*(100%+25%)</f>
        <v>1243.75</v>
      </c>
      <c r="Z18" s="38"/>
      <c r="AA18" s="38"/>
    </row>
    <row r="19" spans="2:27" ht="21" customHeight="1" thickBot="1" x14ac:dyDescent="0.3">
      <c r="B19" s="38"/>
      <c r="C19" s="229"/>
      <c r="D19" s="60">
        <v>3000</v>
      </c>
      <c r="E19" s="83">
        <f>720*(100%+25%)</f>
        <v>900</v>
      </c>
      <c r="F19" s="83">
        <f>725*(100%+25%)</f>
        <v>906.25</v>
      </c>
      <c r="G19" s="83">
        <f>735*(100%+25%)</f>
        <v>918.75</v>
      </c>
      <c r="H19" s="83">
        <f>755*(100%+25%)</f>
        <v>943.75</v>
      </c>
      <c r="I19" s="83">
        <f>770*(100%+25%)</f>
        <v>962.5</v>
      </c>
      <c r="J19" s="83">
        <f>780*(100%+25%)</f>
        <v>975</v>
      </c>
      <c r="K19" s="83">
        <f>795*(100%+25%)</f>
        <v>993.75</v>
      </c>
      <c r="L19" s="83">
        <f>815*(100%+25%)</f>
        <v>1018.75</v>
      </c>
      <c r="M19" s="83">
        <f>830*(100%+25%)</f>
        <v>1037.5</v>
      </c>
      <c r="N19" s="83">
        <f>845*(100%+25%)</f>
        <v>1056.25</v>
      </c>
      <c r="O19" s="83">
        <f>855*(100%+25%)</f>
        <v>1068.75</v>
      </c>
      <c r="P19" s="83">
        <f>860*(100%+25%)</f>
        <v>1075</v>
      </c>
      <c r="Q19" s="83">
        <f>870*(100%+25%)</f>
        <v>1087.5</v>
      </c>
      <c r="R19" s="83">
        <f>890*(100%+25%)</f>
        <v>1112.5</v>
      </c>
      <c r="S19" s="83">
        <f>925*(100%+25%)</f>
        <v>1156.25</v>
      </c>
      <c r="T19" s="83">
        <f>940*(100%+25%)</f>
        <v>1175</v>
      </c>
      <c r="U19" s="83">
        <f>955*(100%+25%)</f>
        <v>1193.75</v>
      </c>
      <c r="V19" s="83">
        <f>970*(100%+25%)</f>
        <v>1212.5</v>
      </c>
      <c r="W19" s="83">
        <f>1005*(100%+25%)</f>
        <v>1256.25</v>
      </c>
      <c r="X19" s="83">
        <f>(([1]Торсіони!X19*[1]Торсіони!$A$1)+[1]Торсіони!X19)*(100%+25%)</f>
        <v>1293.875</v>
      </c>
      <c r="Y19" s="83">
        <f>1050*(100%+25%)</f>
        <v>1312.5</v>
      </c>
      <c r="Z19" s="38"/>
      <c r="AA19" s="38"/>
    </row>
    <row r="20" spans="2:27" ht="21" customHeight="1" x14ac:dyDescent="0.25"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</row>
    <row r="21" spans="2:27" ht="18" x14ac:dyDescent="0.25">
      <c r="B21" s="230" t="s">
        <v>55</v>
      </c>
      <c r="C21" s="231"/>
      <c r="D21" s="231"/>
      <c r="E21" s="231"/>
      <c r="F21" s="231"/>
      <c r="G21" s="231"/>
      <c r="H21" s="231"/>
      <c r="I21" s="231"/>
      <c r="J21" s="231"/>
      <c r="K21" s="231"/>
      <c r="L21" s="231"/>
      <c r="M21" s="231"/>
      <c r="N21" s="231"/>
      <c r="O21" s="231"/>
      <c r="P21" s="231"/>
      <c r="Q21" s="231"/>
      <c r="R21" s="231"/>
      <c r="S21" s="231"/>
      <c r="T21" s="231"/>
      <c r="U21" s="231"/>
      <c r="V21" s="231"/>
      <c r="W21" s="231"/>
      <c r="X21" s="231"/>
      <c r="Y21" s="231"/>
      <c r="Z21" s="231"/>
      <c r="AA21" s="232"/>
    </row>
    <row r="22" spans="2:27" ht="15.75" x14ac:dyDescent="0.25">
      <c r="B22" s="219" t="s">
        <v>51</v>
      </c>
      <c r="C22" s="220"/>
      <c r="D22" s="220"/>
      <c r="E22" s="220"/>
      <c r="F22" s="220"/>
      <c r="G22" s="220"/>
      <c r="H22" s="220"/>
      <c r="I22" s="220"/>
      <c r="J22" s="220"/>
      <c r="K22" s="220"/>
      <c r="L22" s="220"/>
      <c r="M22" s="220"/>
      <c r="N22" s="220"/>
      <c r="O22" s="220"/>
      <c r="P22" s="220"/>
      <c r="Q22" s="220"/>
      <c r="R22" s="220"/>
      <c r="S22" s="220"/>
      <c r="T22" s="220"/>
      <c r="U22" s="220"/>
      <c r="V22" s="220"/>
      <c r="W22" s="220"/>
      <c r="X22" s="220"/>
      <c r="Y22" s="220"/>
      <c r="Z22" s="42" t="s">
        <v>52</v>
      </c>
      <c r="AA22" s="42" t="s">
        <v>53</v>
      </c>
    </row>
    <row r="23" spans="2:27" ht="25.5" customHeight="1" x14ac:dyDescent="0.25">
      <c r="B23" s="209" t="s">
        <v>63</v>
      </c>
      <c r="C23" s="204"/>
      <c r="D23" s="204"/>
      <c r="E23" s="204"/>
      <c r="F23" s="204"/>
      <c r="G23" s="204"/>
      <c r="H23" s="204"/>
      <c r="I23" s="204"/>
      <c r="J23" s="204"/>
      <c r="K23" s="204"/>
      <c r="L23" s="204"/>
      <c r="M23" s="204"/>
      <c r="N23" s="204"/>
      <c r="O23" s="204"/>
      <c r="P23" s="204"/>
      <c r="Q23" s="204"/>
      <c r="R23" s="204"/>
      <c r="S23" s="204"/>
      <c r="T23" s="204"/>
      <c r="U23" s="204"/>
      <c r="V23" s="204"/>
      <c r="W23" s="204"/>
      <c r="X23" s="204"/>
      <c r="Y23" s="204"/>
      <c r="Z23" s="42" t="s">
        <v>58</v>
      </c>
      <c r="AA23" s="51">
        <v>0.1</v>
      </c>
    </row>
    <row r="24" spans="2:27" ht="25.5" customHeight="1" x14ac:dyDescent="0.25">
      <c r="B24" s="209" t="s">
        <v>64</v>
      </c>
      <c r="C24" s="204"/>
      <c r="D24" s="204"/>
      <c r="E24" s="204"/>
      <c r="F24" s="204"/>
      <c r="G24" s="204"/>
      <c r="H24" s="204"/>
      <c r="I24" s="204"/>
      <c r="J24" s="204"/>
      <c r="K24" s="204"/>
      <c r="L24" s="204"/>
      <c r="M24" s="204"/>
      <c r="N24" s="204"/>
      <c r="O24" s="204"/>
      <c r="P24" s="204"/>
      <c r="Q24" s="204"/>
      <c r="R24" s="204"/>
      <c r="S24" s="204"/>
      <c r="T24" s="204"/>
      <c r="U24" s="204"/>
      <c r="V24" s="204"/>
      <c r="W24" s="204"/>
      <c r="X24" s="204"/>
      <c r="Y24" s="204"/>
      <c r="Z24" s="42" t="s">
        <v>58</v>
      </c>
      <c r="AA24" s="51">
        <v>0.1</v>
      </c>
    </row>
    <row r="25" spans="2:27" ht="25.5" customHeight="1" x14ac:dyDescent="0.25">
      <c r="B25" s="209" t="s">
        <v>65</v>
      </c>
      <c r="C25" s="204"/>
      <c r="D25" s="204"/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204"/>
      <c r="P25" s="204"/>
      <c r="Q25" s="204"/>
      <c r="R25" s="204"/>
      <c r="S25" s="204"/>
      <c r="T25" s="204"/>
      <c r="U25" s="204"/>
      <c r="V25" s="204"/>
      <c r="W25" s="204"/>
      <c r="X25" s="204"/>
      <c r="Y25" s="204"/>
      <c r="Z25" s="42" t="s">
        <v>58</v>
      </c>
      <c r="AA25" s="51">
        <v>0.1</v>
      </c>
    </row>
    <row r="26" spans="2:27" ht="15.75" x14ac:dyDescent="0.25"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</row>
    <row r="27" spans="2:27" ht="15.75" x14ac:dyDescent="0.25">
      <c r="B27" s="216" t="s">
        <v>79</v>
      </c>
      <c r="C27" s="217"/>
      <c r="D27" s="217"/>
      <c r="E27" s="217"/>
      <c r="F27" s="217"/>
      <c r="G27" s="217"/>
      <c r="H27" s="217"/>
      <c r="I27" s="217"/>
      <c r="J27" s="217"/>
      <c r="K27" s="217"/>
      <c r="L27" s="217"/>
      <c r="M27" s="217"/>
      <c r="N27" s="217"/>
      <c r="O27" s="217"/>
      <c r="P27" s="217"/>
      <c r="Q27" s="217"/>
      <c r="R27" s="217"/>
      <c r="S27" s="217"/>
      <c r="T27" s="217"/>
      <c r="U27" s="217"/>
      <c r="V27" s="217"/>
      <c r="W27" s="217"/>
      <c r="X27" s="217"/>
      <c r="Y27" s="217"/>
      <c r="Z27" s="217"/>
      <c r="AA27" s="218"/>
    </row>
    <row r="28" spans="2:27" ht="31.5" x14ac:dyDescent="0.25">
      <c r="B28" s="219" t="s">
        <v>51</v>
      </c>
      <c r="C28" s="220"/>
      <c r="D28" s="220"/>
      <c r="E28" s="220"/>
      <c r="F28" s="220"/>
      <c r="G28" s="220"/>
      <c r="H28" s="220"/>
      <c r="I28" s="220"/>
      <c r="J28" s="220"/>
      <c r="K28" s="220"/>
      <c r="L28" s="220"/>
      <c r="M28" s="220"/>
      <c r="N28" s="220"/>
      <c r="O28" s="220"/>
      <c r="P28" s="220"/>
      <c r="Q28" s="220"/>
      <c r="R28" s="220"/>
      <c r="S28" s="220"/>
      <c r="T28" s="220"/>
      <c r="U28" s="220"/>
      <c r="V28" s="220"/>
      <c r="W28" s="220"/>
      <c r="X28" s="220"/>
      <c r="Y28" s="220"/>
      <c r="Z28" s="42" t="s">
        <v>52</v>
      </c>
      <c r="AA28" s="42" t="s">
        <v>54</v>
      </c>
    </row>
    <row r="29" spans="2:27" ht="30" customHeight="1" x14ac:dyDescent="0.25">
      <c r="B29" s="209" t="s">
        <v>80</v>
      </c>
      <c r="C29" s="204"/>
      <c r="D29" s="204"/>
      <c r="E29" s="204"/>
      <c r="F29" s="204"/>
      <c r="G29" s="204"/>
      <c r="H29" s="204"/>
      <c r="I29" s="204"/>
      <c r="J29" s="204"/>
      <c r="K29" s="204"/>
      <c r="L29" s="204"/>
      <c r="M29" s="204"/>
      <c r="N29" s="204"/>
      <c r="O29" s="204"/>
      <c r="P29" s="204"/>
      <c r="Q29" s="204"/>
      <c r="R29" s="204"/>
      <c r="S29" s="204"/>
      <c r="T29" s="204"/>
      <c r="U29" s="204"/>
      <c r="V29" s="204"/>
      <c r="W29" s="204"/>
      <c r="X29" s="204"/>
      <c r="Y29" s="204"/>
      <c r="Z29" s="42" t="s">
        <v>83</v>
      </c>
      <c r="AA29" s="50">
        <f>50*(100%+25%)</f>
        <v>62.5</v>
      </c>
    </row>
    <row r="30" spans="2:27" ht="30" customHeight="1" x14ac:dyDescent="0.25">
      <c r="B30" s="209" t="s">
        <v>61</v>
      </c>
      <c r="C30" s="204"/>
      <c r="D30" s="204"/>
      <c r="E30" s="204"/>
      <c r="F30" s="204"/>
      <c r="G30" s="204"/>
      <c r="H30" s="204"/>
      <c r="I30" s="204"/>
      <c r="J30" s="204"/>
      <c r="K30" s="204"/>
      <c r="L30" s="204"/>
      <c r="M30" s="204"/>
      <c r="N30" s="204"/>
      <c r="O30" s="204"/>
      <c r="P30" s="204"/>
      <c r="Q30" s="204"/>
      <c r="R30" s="204"/>
      <c r="S30" s="204"/>
      <c r="T30" s="204"/>
      <c r="U30" s="204"/>
      <c r="V30" s="204"/>
      <c r="W30" s="204"/>
      <c r="X30" s="204"/>
      <c r="Y30" s="204"/>
      <c r="Z30" s="42" t="s">
        <v>83</v>
      </c>
      <c r="AA30" s="50">
        <f>45*(100%+25%)</f>
        <v>56.25</v>
      </c>
    </row>
    <row r="31" spans="2:27" ht="30" customHeight="1" x14ac:dyDescent="0.25">
      <c r="B31" s="209" t="s">
        <v>62</v>
      </c>
      <c r="C31" s="204"/>
      <c r="D31" s="204"/>
      <c r="E31" s="204"/>
      <c r="F31" s="204"/>
      <c r="G31" s="204"/>
      <c r="H31" s="204"/>
      <c r="I31" s="204"/>
      <c r="J31" s="204"/>
      <c r="K31" s="204"/>
      <c r="L31" s="204"/>
      <c r="M31" s="204"/>
      <c r="N31" s="204"/>
      <c r="O31" s="204"/>
      <c r="P31" s="204"/>
      <c r="Q31" s="204"/>
      <c r="R31" s="204"/>
      <c r="S31" s="204"/>
      <c r="T31" s="204"/>
      <c r="U31" s="204"/>
      <c r="V31" s="204"/>
      <c r="W31" s="204"/>
      <c r="X31" s="204"/>
      <c r="Y31" s="204"/>
      <c r="Z31" s="42" t="s">
        <v>58</v>
      </c>
      <c r="AA31" s="50">
        <f>10*(100%+25%)</f>
        <v>12.5</v>
      </c>
    </row>
    <row r="32" spans="2:27" ht="30" customHeight="1" x14ac:dyDescent="0.25">
      <c r="B32" s="209" t="s">
        <v>84</v>
      </c>
      <c r="C32" s="204"/>
      <c r="D32" s="204"/>
      <c r="E32" s="204"/>
      <c r="F32" s="204"/>
      <c r="G32" s="204"/>
      <c r="H32" s="204"/>
      <c r="I32" s="204"/>
      <c r="J32" s="204"/>
      <c r="K32" s="204"/>
      <c r="L32" s="204"/>
      <c r="M32" s="204"/>
      <c r="N32" s="204"/>
      <c r="O32" s="204"/>
      <c r="P32" s="204"/>
      <c r="Q32" s="204"/>
      <c r="R32" s="204"/>
      <c r="S32" s="204"/>
      <c r="T32" s="204"/>
      <c r="U32" s="204"/>
      <c r="V32" s="204"/>
      <c r="W32" s="204"/>
      <c r="X32" s="204"/>
      <c r="Y32" s="204"/>
      <c r="Z32" s="42" t="s">
        <v>58</v>
      </c>
      <c r="AA32" s="50">
        <f>65*(100%+25%)</f>
        <v>81.25</v>
      </c>
    </row>
    <row r="33" spans="2:27" ht="30" customHeight="1" x14ac:dyDescent="0.25">
      <c r="B33" s="209" t="s">
        <v>85</v>
      </c>
      <c r="C33" s="204"/>
      <c r="D33" s="204"/>
      <c r="E33" s="204"/>
      <c r="F33" s="204"/>
      <c r="G33" s="204"/>
      <c r="H33" s="204"/>
      <c r="I33" s="204"/>
      <c r="J33" s="204"/>
      <c r="K33" s="204"/>
      <c r="L33" s="204"/>
      <c r="M33" s="204"/>
      <c r="N33" s="204"/>
      <c r="O33" s="204"/>
      <c r="P33" s="204"/>
      <c r="Q33" s="204"/>
      <c r="R33" s="204"/>
      <c r="S33" s="204"/>
      <c r="T33" s="204"/>
      <c r="U33" s="204"/>
      <c r="V33" s="204"/>
      <c r="W33" s="204"/>
      <c r="X33" s="204"/>
      <c r="Y33" s="204"/>
      <c r="Z33" s="42" t="s">
        <v>58</v>
      </c>
      <c r="AA33" s="50">
        <f>40*(100%+25%)</f>
        <v>50</v>
      </c>
    </row>
    <row r="34" spans="2:27" ht="30" customHeight="1" x14ac:dyDescent="0.25">
      <c r="B34" s="209" t="s">
        <v>73</v>
      </c>
      <c r="C34" s="204"/>
      <c r="D34" s="204"/>
      <c r="E34" s="204"/>
      <c r="F34" s="204"/>
      <c r="G34" s="204"/>
      <c r="H34" s="204"/>
      <c r="I34" s="204"/>
      <c r="J34" s="204"/>
      <c r="K34" s="204"/>
      <c r="L34" s="204"/>
      <c r="M34" s="204"/>
      <c r="N34" s="210"/>
      <c r="O34" s="210"/>
      <c r="P34" s="210"/>
      <c r="Q34" s="210"/>
      <c r="R34" s="210"/>
      <c r="S34" s="210"/>
      <c r="T34" s="210"/>
      <c r="U34" s="210"/>
      <c r="V34" s="210"/>
      <c r="W34" s="210"/>
      <c r="X34" s="210"/>
      <c r="Y34" s="211"/>
      <c r="Z34" s="42" t="s">
        <v>58</v>
      </c>
      <c r="AA34" s="50">
        <f>25*(100%+25%)</f>
        <v>31.25</v>
      </c>
    </row>
    <row r="35" spans="2:27" ht="30" customHeight="1" x14ac:dyDescent="0.25">
      <c r="B35" s="209" t="s">
        <v>74</v>
      </c>
      <c r="C35" s="210"/>
      <c r="D35" s="210"/>
      <c r="E35" s="210"/>
      <c r="F35" s="210"/>
      <c r="G35" s="210"/>
      <c r="H35" s="210"/>
      <c r="I35" s="210"/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11"/>
      <c r="Z35" s="42" t="s">
        <v>58</v>
      </c>
      <c r="AA35" s="50">
        <f>30*(100%+25%)</f>
        <v>37.5</v>
      </c>
    </row>
    <row r="36" spans="2:27" ht="30" customHeight="1" x14ac:dyDescent="0.25">
      <c r="B36" s="209" t="s">
        <v>75</v>
      </c>
      <c r="C36" s="210"/>
      <c r="D36" s="210"/>
      <c r="E36" s="210"/>
      <c r="F36" s="210"/>
      <c r="G36" s="210"/>
      <c r="H36" s="210"/>
      <c r="I36" s="210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211"/>
      <c r="Z36" s="42" t="s">
        <v>58</v>
      </c>
      <c r="AA36" s="50">
        <f>50*(100%+25%)</f>
        <v>62.5</v>
      </c>
    </row>
    <row r="37" spans="2:27" ht="30" customHeight="1" x14ac:dyDescent="0.25">
      <c r="B37" s="203" t="s">
        <v>81</v>
      </c>
      <c r="C37" s="204"/>
      <c r="D37" s="204"/>
      <c r="E37" s="204"/>
      <c r="F37" s="204"/>
      <c r="G37" s="204"/>
      <c r="H37" s="204"/>
      <c r="I37" s="204"/>
      <c r="J37" s="204"/>
      <c r="K37" s="204"/>
      <c r="L37" s="204"/>
      <c r="M37" s="204"/>
      <c r="N37" s="204"/>
      <c r="O37" s="204"/>
      <c r="P37" s="204"/>
      <c r="Q37" s="204"/>
      <c r="R37" s="204"/>
      <c r="S37" s="204"/>
      <c r="T37" s="204"/>
      <c r="U37" s="204"/>
      <c r="V37" s="204"/>
      <c r="W37" s="204"/>
      <c r="X37" s="204"/>
      <c r="Y37" s="205"/>
      <c r="Z37" s="42" t="s">
        <v>58</v>
      </c>
      <c r="AA37" s="50">
        <f>40*(100%+25%)</f>
        <v>50</v>
      </c>
    </row>
    <row r="38" spans="2:27" ht="30" customHeight="1" x14ac:dyDescent="0.25">
      <c r="B38" s="203" t="s">
        <v>82</v>
      </c>
      <c r="C38" s="204"/>
      <c r="D38" s="204"/>
      <c r="E38" s="204"/>
      <c r="F38" s="204"/>
      <c r="G38" s="204"/>
      <c r="H38" s="204"/>
      <c r="I38" s="204"/>
      <c r="J38" s="204"/>
      <c r="K38" s="204"/>
      <c r="L38" s="204"/>
      <c r="M38" s="204"/>
      <c r="N38" s="204"/>
      <c r="O38" s="204"/>
      <c r="P38" s="204"/>
      <c r="Q38" s="204"/>
      <c r="R38" s="204"/>
      <c r="S38" s="204"/>
      <c r="T38" s="204"/>
      <c r="U38" s="204"/>
      <c r="V38" s="204"/>
      <c r="W38" s="204"/>
      <c r="X38" s="204"/>
      <c r="Y38" s="205"/>
      <c r="Z38" s="42" t="s">
        <v>58</v>
      </c>
      <c r="AA38" s="50">
        <f>40*(100%+25%)</f>
        <v>50</v>
      </c>
    </row>
    <row r="39" spans="2:27" ht="30" customHeight="1" x14ac:dyDescent="0.25">
      <c r="B39" s="209" t="s">
        <v>86</v>
      </c>
      <c r="C39" s="204"/>
      <c r="D39" s="204"/>
      <c r="E39" s="204"/>
      <c r="F39" s="204"/>
      <c r="G39" s="204"/>
      <c r="H39" s="204"/>
      <c r="I39" s="204"/>
      <c r="J39" s="204"/>
      <c r="K39" s="204"/>
      <c r="L39" s="204"/>
      <c r="M39" s="204"/>
      <c r="N39" s="204"/>
      <c r="O39" s="204"/>
      <c r="P39" s="204"/>
      <c r="Q39" s="204"/>
      <c r="R39" s="204"/>
      <c r="S39" s="204"/>
      <c r="T39" s="204"/>
      <c r="U39" s="204"/>
      <c r="V39" s="204"/>
      <c r="W39" s="204"/>
      <c r="X39" s="204"/>
      <c r="Y39" s="205"/>
      <c r="Z39" s="42" t="s">
        <v>49</v>
      </c>
      <c r="AA39" s="50">
        <f>12*(100%+25%)</f>
        <v>15</v>
      </c>
    </row>
    <row r="40" spans="2:27" ht="24" customHeight="1" x14ac:dyDescent="0.25">
      <c r="B40" s="206"/>
      <c r="C40" s="207"/>
      <c r="D40" s="207"/>
      <c r="E40" s="207"/>
      <c r="F40" s="207"/>
      <c r="G40" s="207"/>
      <c r="H40" s="207"/>
      <c r="I40" s="207"/>
      <c r="J40" s="207"/>
      <c r="K40" s="207"/>
      <c r="L40" s="207"/>
      <c r="M40" s="207"/>
      <c r="N40" s="207"/>
      <c r="O40" s="207"/>
      <c r="P40" s="207"/>
      <c r="Q40" s="207"/>
      <c r="R40" s="207"/>
      <c r="S40" s="207"/>
      <c r="T40" s="207"/>
      <c r="U40" s="207"/>
      <c r="V40" s="207"/>
      <c r="W40" s="207"/>
      <c r="X40" s="207"/>
      <c r="Y40" s="207"/>
      <c r="Z40" s="207"/>
      <c r="AA40" s="208"/>
    </row>
    <row r="41" spans="2:27" ht="15.75" x14ac:dyDescent="0.25">
      <c r="B41" s="216" t="s">
        <v>59</v>
      </c>
      <c r="C41" s="217"/>
      <c r="D41" s="217"/>
      <c r="E41" s="217"/>
      <c r="F41" s="217"/>
      <c r="G41" s="217"/>
      <c r="H41" s="217"/>
      <c r="I41" s="217"/>
      <c r="J41" s="217"/>
      <c r="K41" s="217"/>
      <c r="L41" s="217"/>
      <c r="M41" s="217"/>
      <c r="N41" s="217"/>
      <c r="O41" s="217"/>
      <c r="P41" s="217"/>
      <c r="Q41" s="217"/>
      <c r="R41" s="217"/>
      <c r="S41" s="217"/>
      <c r="T41" s="217"/>
      <c r="U41" s="217"/>
      <c r="V41" s="217"/>
      <c r="W41" s="217"/>
      <c r="X41" s="217"/>
      <c r="Y41" s="217"/>
      <c r="Z41" s="217"/>
      <c r="AA41" s="218"/>
    </row>
    <row r="42" spans="2:27" ht="41.25" customHeight="1" x14ac:dyDescent="0.25">
      <c r="B42" s="209" t="s">
        <v>57</v>
      </c>
      <c r="C42" s="204"/>
      <c r="D42" s="204"/>
      <c r="E42" s="204"/>
      <c r="F42" s="204"/>
      <c r="G42" s="204"/>
      <c r="H42" s="204"/>
      <c r="I42" s="204"/>
      <c r="J42" s="204"/>
      <c r="K42" s="204"/>
      <c r="L42" s="204"/>
      <c r="M42" s="204"/>
      <c r="N42" s="214"/>
      <c r="O42" s="214"/>
      <c r="P42" s="214"/>
      <c r="Q42" s="214"/>
      <c r="R42" s="214"/>
      <c r="S42" s="214"/>
      <c r="T42" s="214"/>
      <c r="U42" s="214"/>
      <c r="V42" s="214"/>
      <c r="W42" s="214"/>
      <c r="X42" s="214"/>
      <c r="Y42" s="215"/>
      <c r="Z42" s="42" t="s">
        <v>58</v>
      </c>
      <c r="AA42" s="42">
        <f>230*(100%+25%)</f>
        <v>287.5</v>
      </c>
    </row>
    <row r="43" spans="2:27" ht="41.25" customHeight="1" x14ac:dyDescent="0.25">
      <c r="B43" s="209" t="s">
        <v>67</v>
      </c>
      <c r="C43" s="214"/>
      <c r="D43" s="214"/>
      <c r="E43" s="214"/>
      <c r="F43" s="214"/>
      <c r="G43" s="214"/>
      <c r="H43" s="214"/>
      <c r="I43" s="214"/>
      <c r="J43" s="214"/>
      <c r="K43" s="214"/>
      <c r="L43" s="214"/>
      <c r="M43" s="214"/>
      <c r="N43" s="214"/>
      <c r="O43" s="214"/>
      <c r="P43" s="214"/>
      <c r="Q43" s="214"/>
      <c r="R43" s="214"/>
      <c r="S43" s="214"/>
      <c r="T43" s="214"/>
      <c r="U43" s="214"/>
      <c r="V43" s="214"/>
      <c r="W43" s="214"/>
      <c r="X43" s="214"/>
      <c r="Y43" s="215"/>
      <c r="Z43" s="42" t="s">
        <v>58</v>
      </c>
      <c r="AA43" s="61">
        <f>180*(100%+25%)</f>
        <v>225</v>
      </c>
    </row>
    <row r="44" spans="2:27" ht="41.25" customHeight="1" x14ac:dyDescent="0.25">
      <c r="B44" s="209" t="s">
        <v>71</v>
      </c>
      <c r="C44" s="214"/>
      <c r="D44" s="214"/>
      <c r="E44" s="214"/>
      <c r="F44" s="214"/>
      <c r="G44" s="214"/>
      <c r="H44" s="214"/>
      <c r="I44" s="214"/>
      <c r="J44" s="214"/>
      <c r="K44" s="214"/>
      <c r="L44" s="214"/>
      <c r="M44" s="214"/>
      <c r="N44" s="214"/>
      <c r="O44" s="214"/>
      <c r="P44" s="214"/>
      <c r="Q44" s="214"/>
      <c r="R44" s="214"/>
      <c r="S44" s="214"/>
      <c r="T44" s="214"/>
      <c r="U44" s="214"/>
      <c r="V44" s="214"/>
      <c r="W44" s="214"/>
      <c r="X44" s="214"/>
      <c r="Y44" s="215"/>
      <c r="Z44" s="42" t="s">
        <v>58</v>
      </c>
      <c r="AA44" s="61">
        <f>190*(100%+25%)</f>
        <v>237.5</v>
      </c>
    </row>
    <row r="45" spans="2:27" ht="41.25" customHeight="1" x14ac:dyDescent="0.25">
      <c r="B45" s="209" t="s">
        <v>68</v>
      </c>
      <c r="C45" s="214"/>
      <c r="D45" s="214"/>
      <c r="E45" s="214"/>
      <c r="F45" s="214"/>
      <c r="G45" s="214"/>
      <c r="H45" s="214"/>
      <c r="I45" s="214"/>
      <c r="J45" s="214"/>
      <c r="K45" s="214"/>
      <c r="L45" s="214"/>
      <c r="M45" s="214"/>
      <c r="N45" s="214"/>
      <c r="O45" s="214"/>
      <c r="P45" s="214"/>
      <c r="Q45" s="214"/>
      <c r="R45" s="214"/>
      <c r="S45" s="214"/>
      <c r="T45" s="214"/>
      <c r="U45" s="214"/>
      <c r="V45" s="214"/>
      <c r="W45" s="214"/>
      <c r="X45" s="214"/>
      <c r="Y45" s="215"/>
      <c r="Z45" s="42" t="s">
        <v>58</v>
      </c>
      <c r="AA45" s="61">
        <f>200*(100%+25%)</f>
        <v>250</v>
      </c>
    </row>
    <row r="46" spans="2:27" ht="41.25" customHeight="1" x14ac:dyDescent="0.25">
      <c r="B46" s="209" t="s">
        <v>69</v>
      </c>
      <c r="C46" s="214"/>
      <c r="D46" s="214"/>
      <c r="E46" s="214"/>
      <c r="F46" s="214"/>
      <c r="G46" s="214"/>
      <c r="H46" s="214"/>
      <c r="I46" s="214"/>
      <c r="J46" s="214"/>
      <c r="K46" s="214"/>
      <c r="L46" s="214"/>
      <c r="M46" s="214"/>
      <c r="N46" s="214"/>
      <c r="O46" s="214"/>
      <c r="P46" s="214"/>
      <c r="Q46" s="214"/>
      <c r="R46" s="214"/>
      <c r="S46" s="214"/>
      <c r="T46" s="214"/>
      <c r="U46" s="214"/>
      <c r="V46" s="214"/>
      <c r="W46" s="214"/>
      <c r="X46" s="214"/>
      <c r="Y46" s="215"/>
      <c r="Z46" s="42" t="s">
        <v>58</v>
      </c>
      <c r="AA46" s="61">
        <f>200*(100%+25%)</f>
        <v>250</v>
      </c>
    </row>
    <row r="47" spans="2:27" ht="41.25" customHeight="1" x14ac:dyDescent="0.25">
      <c r="B47" s="209" t="s">
        <v>70</v>
      </c>
      <c r="C47" s="214"/>
      <c r="D47" s="214"/>
      <c r="E47" s="214"/>
      <c r="F47" s="214"/>
      <c r="G47" s="214"/>
      <c r="H47" s="214"/>
      <c r="I47" s="214"/>
      <c r="J47" s="214"/>
      <c r="K47" s="214"/>
      <c r="L47" s="214"/>
      <c r="M47" s="214"/>
      <c r="N47" s="214"/>
      <c r="O47" s="214"/>
      <c r="P47" s="214"/>
      <c r="Q47" s="214"/>
      <c r="R47" s="214"/>
      <c r="S47" s="214"/>
      <c r="T47" s="214"/>
      <c r="U47" s="214"/>
      <c r="V47" s="214"/>
      <c r="W47" s="214"/>
      <c r="X47" s="214"/>
      <c r="Y47" s="215"/>
      <c r="Z47" s="42" t="s">
        <v>58</v>
      </c>
      <c r="AA47" s="61">
        <f>220*(100%+25%)</f>
        <v>275</v>
      </c>
    </row>
    <row r="48" spans="2:27" ht="41.25" customHeight="1" x14ac:dyDescent="0.25">
      <c r="B48" s="209" t="s">
        <v>72</v>
      </c>
      <c r="C48" s="210"/>
      <c r="D48" s="210"/>
      <c r="E48" s="210"/>
      <c r="F48" s="210"/>
      <c r="G48" s="210"/>
      <c r="H48" s="210"/>
      <c r="I48" s="210"/>
      <c r="J48" s="210"/>
      <c r="K48" s="210"/>
      <c r="L48" s="210"/>
      <c r="M48" s="210"/>
      <c r="N48" s="214"/>
      <c r="O48" s="214"/>
      <c r="P48" s="214"/>
      <c r="Q48" s="214"/>
      <c r="R48" s="214"/>
      <c r="S48" s="214"/>
      <c r="T48" s="214"/>
      <c r="U48" s="214"/>
      <c r="V48" s="214"/>
      <c r="W48" s="214"/>
      <c r="X48" s="214"/>
      <c r="Y48" s="215"/>
      <c r="Z48" s="42" t="s">
        <v>58</v>
      </c>
      <c r="AA48" s="61">
        <f>150*(100%+25%)</f>
        <v>187.5</v>
      </c>
    </row>
    <row r="49" spans="2:27" ht="24.75" customHeight="1" x14ac:dyDescent="0.25">
      <c r="B49" s="206"/>
      <c r="C49" s="212"/>
      <c r="D49" s="212"/>
      <c r="E49" s="212"/>
      <c r="F49" s="212"/>
      <c r="G49" s="212"/>
      <c r="H49" s="212"/>
      <c r="I49" s="212"/>
      <c r="J49" s="212"/>
      <c r="K49" s="212"/>
      <c r="L49" s="212"/>
      <c r="M49" s="212"/>
      <c r="N49" s="212"/>
      <c r="O49" s="212"/>
      <c r="P49" s="212"/>
      <c r="Q49" s="212"/>
      <c r="R49" s="212"/>
      <c r="S49" s="212"/>
      <c r="T49" s="212"/>
      <c r="U49" s="212"/>
      <c r="V49" s="212"/>
      <c r="W49" s="212"/>
      <c r="X49" s="212"/>
      <c r="Y49" s="212"/>
      <c r="Z49" s="43"/>
      <c r="AA49" s="44"/>
    </row>
    <row r="50" spans="2:27" ht="79.5" customHeight="1" x14ac:dyDescent="0.25">
      <c r="B50" s="40"/>
      <c r="C50" s="213" t="s">
        <v>88</v>
      </c>
      <c r="D50" s="213"/>
      <c r="E50" s="213"/>
      <c r="F50" s="213"/>
      <c r="G50" s="213"/>
      <c r="H50" s="213"/>
      <c r="I50" s="213"/>
      <c r="J50" s="213"/>
      <c r="K50" s="213"/>
      <c r="L50" s="213"/>
      <c r="M50" s="213"/>
      <c r="N50" s="213"/>
      <c r="O50" s="213"/>
      <c r="P50" s="213"/>
      <c r="Q50" s="213"/>
      <c r="R50" s="213"/>
      <c r="S50" s="213"/>
      <c r="T50" s="213"/>
      <c r="U50" s="213"/>
      <c r="V50" s="213"/>
      <c r="W50" s="213"/>
      <c r="X50" s="45"/>
      <c r="Y50" s="45"/>
      <c r="Z50" s="45"/>
      <c r="AA50" s="45"/>
    </row>
  </sheetData>
  <mergeCells count="34">
    <mergeCell ref="B27:AA27"/>
    <mergeCell ref="B28:Y28"/>
    <mergeCell ref="B29:Y29"/>
    <mergeCell ref="B1:AA2"/>
    <mergeCell ref="C4:Y4"/>
    <mergeCell ref="B3:AA3"/>
    <mergeCell ref="C5:Y5"/>
    <mergeCell ref="C6:C19"/>
    <mergeCell ref="B21:AA21"/>
    <mergeCell ref="B22:Y22"/>
    <mergeCell ref="B23:Y23"/>
    <mergeCell ref="B24:Y24"/>
    <mergeCell ref="B25:Y25"/>
    <mergeCell ref="C50:W50"/>
    <mergeCell ref="B48:Y48"/>
    <mergeCell ref="B30:Y30"/>
    <mergeCell ref="B39:Y39"/>
    <mergeCell ref="B41:AA41"/>
    <mergeCell ref="B42:Y42"/>
    <mergeCell ref="B43:Y43"/>
    <mergeCell ref="B44:Y44"/>
    <mergeCell ref="B45:Y45"/>
    <mergeCell ref="B46:Y46"/>
    <mergeCell ref="B47:Y47"/>
    <mergeCell ref="B32:Y32"/>
    <mergeCell ref="B33:Y33"/>
    <mergeCell ref="B34:Y34"/>
    <mergeCell ref="B36:Y36"/>
    <mergeCell ref="B31:Y31"/>
    <mergeCell ref="B37:Y37"/>
    <mergeCell ref="B38:Y38"/>
    <mergeCell ref="B40:AA40"/>
    <mergeCell ref="B35:Y35"/>
    <mergeCell ref="B49:Y49"/>
  </mergeCells>
  <pageMargins left="0.7" right="0.7" top="0.75" bottom="0.75" header="0.3" footer="0.3"/>
  <pageSetup paperSize="9" scale="65" fitToHeight="0" orientation="landscape" r:id="rId1"/>
  <rowBreaks count="1" manualBreakCount="1">
    <brk id="2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Опис  Ворота</vt:lpstr>
      <vt:lpstr>Тип монтажу</vt:lpstr>
      <vt:lpstr>Пружини </vt:lpstr>
      <vt:lpstr>Торсіон</vt:lpstr>
      <vt:lpstr>'Пружини 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Pavlo Bezkyshkin</cp:lastModifiedBy>
  <cp:lastPrinted>2025-01-08T12:15:06Z</cp:lastPrinted>
  <dcterms:created xsi:type="dcterms:W3CDTF">2024-03-14T14:17:44Z</dcterms:created>
  <dcterms:modified xsi:type="dcterms:W3CDTF">2025-07-08T16:55:03Z</dcterms:modified>
</cp:coreProperties>
</file>